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40.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Log20.xml" ContentType="application/vnd.openxmlformats-officedocument.spreadsheetml.revisionLog+xml"/>
  <Override PartName="/xl/revisions/revisionLog70.xml" ContentType="application/vnd.openxmlformats-officedocument.spreadsheetml.revisionLog+xml"/>
  <Override PartName="/xl/revisions/revisionLog57.xml" ContentType="application/vnd.openxmlformats-officedocument.spreadsheetml.revisionLog+xml"/>
  <Override PartName="/xl/revisions/revisionLog49.xml" ContentType="application/vnd.openxmlformats-officedocument.spreadsheetml.revisionLog+xml"/>
  <Override PartName="/xl/revisions/revisionLog44.xml" ContentType="application/vnd.openxmlformats-officedocument.spreadsheetml.revisionLog+xml"/>
  <Override PartName="/xl/revisions/revisionLog52.xml" ContentType="application/vnd.openxmlformats-officedocument.spreadsheetml.revisionLog+xml"/>
  <Override PartName="/xl/revisions/revisionLog65.xml" ContentType="application/vnd.openxmlformats-officedocument.spreadsheetml.revisionLog+xml"/>
  <Override PartName="/xl/revisions/revisionLog73.xml" ContentType="application/vnd.openxmlformats-officedocument.spreadsheetml.revisionLog+xml"/>
  <Override PartName="/xl/revisions/revisionLog78.xml" ContentType="application/vnd.openxmlformats-officedocument.spreadsheetml.revisionLog+xml"/>
  <Override PartName="/xl/revisions/revisionLog82.xml" ContentType="application/vnd.openxmlformats-officedocument.spreadsheetml.revisionLog+xml"/>
  <Override PartName="/xl/revisions/revisionLog87.xml" ContentType="application/vnd.openxmlformats-officedocument.spreadsheetml.revisionLog+xml"/>
  <Override PartName="/xl/revisions/revisionLog2.xml" ContentType="application/vnd.openxmlformats-officedocument.spreadsheetml.revisionLog+xml"/>
  <Override PartName="/xl/revisions/revisionLog7.xml" ContentType="application/vnd.openxmlformats-officedocument.spreadsheetml.revisionLog+xml"/>
  <Override PartName="/xl/revisions/revisionLog15.xml" ContentType="application/vnd.openxmlformats-officedocument.spreadsheetml.revisionLog+xml"/>
  <Override PartName="/xl/revisions/revisionLog23.xml" ContentType="application/vnd.openxmlformats-officedocument.spreadsheetml.revisionLog+xml"/>
  <Override PartName="/xl/revisions/revisionLog28.xml" ContentType="application/vnd.openxmlformats-officedocument.spreadsheetml.revisionLog+xml"/>
  <Override PartName="/xl/revisions/revisionLog36.xml" ContentType="application/vnd.openxmlformats-officedocument.spreadsheetml.revisionLog+xml"/>
  <Override PartName="/xl/revisions/revisionLog10.xml" ContentType="application/vnd.openxmlformats-officedocument.spreadsheetml.revisionLog+xml"/>
  <Override PartName="/xl/revisions/revisionLog31.xml" ContentType="application/vnd.openxmlformats-officedocument.spreadsheetml.revisionLog+xml"/>
  <Override PartName="/xl/revisions/revisionLog39.xml" ContentType="application/vnd.openxmlformats-officedocument.spreadsheetml.revisionLog+xml"/>
  <Override PartName="/xl/revisions/revisionLog60.xml" ContentType="application/vnd.openxmlformats-officedocument.spreadsheetml.revisionLog+xml"/>
  <Override PartName="/xl/revisions/revisionLog90.xml" ContentType="application/vnd.openxmlformats-officedocument.spreadsheetml.revisionLog+xml"/>
  <Override PartName="/xl/revisions/revisionLog42.xml" ContentType="application/vnd.openxmlformats-officedocument.spreadsheetml.revisionLog+xml"/>
  <Override PartName="/xl/revisions/revisionLog47.xml" ContentType="application/vnd.openxmlformats-officedocument.spreadsheetml.revisionLog+xml"/>
  <Override PartName="/xl/revisions/revisionLog55.xml" ContentType="application/vnd.openxmlformats-officedocument.spreadsheetml.revisionLog+xml"/>
  <Override PartName="/xl/revisions/revisionLog63.xml" ContentType="application/vnd.openxmlformats-officedocument.spreadsheetml.revisionLog+xml"/>
  <Override PartName="/xl/revisions/revisionLog68.xml" ContentType="application/vnd.openxmlformats-officedocument.spreadsheetml.revisionLog+xml"/>
  <Override PartName="/xl/revisions/revisionLog76.xml" ContentType="application/vnd.openxmlformats-officedocument.spreadsheetml.revisionLog+xml"/>
  <Override PartName="/xl/revisions/revisionLog81.xml" ContentType="application/vnd.openxmlformats-officedocument.spreadsheetml.revisionLog+xml"/>
  <Override PartName="/xl/revisions/revisionLog85.xml" ContentType="application/vnd.openxmlformats-officedocument.spreadsheetml.revisionLog+xml"/>
  <Override PartName="/xl/revisions/revisionLog5.xml" ContentType="application/vnd.openxmlformats-officedocument.spreadsheetml.revisionLog+xml"/>
  <Override PartName="/xl/revisions/revisionLog18.xml" ContentType="application/vnd.openxmlformats-officedocument.spreadsheetml.revisionLog+xml"/>
  <Override PartName="/xl/revisions/revisionLog26.xml" ContentType="application/vnd.openxmlformats-officedocument.spreadsheetml.revisionLog+xml"/>
  <Override PartName="/xl/revisions/revisionLog93.xml" ContentType="application/vnd.openxmlformats-officedocument.spreadsheetml.revisionLog+xml"/>
  <Override PartName="/xl/revisions/revisionLog13.xml" ContentType="application/vnd.openxmlformats-officedocument.spreadsheetml.revisionLog+xml"/>
  <Override PartName="/xl/revisions/revisionLog21.xml" ContentType="application/vnd.openxmlformats-officedocument.spreadsheetml.revisionLog+xml"/>
  <Override PartName="/xl/revisions/revisionLog29.xml" ContentType="application/vnd.openxmlformats-officedocument.spreadsheetml.revisionLog+xml"/>
  <Override PartName="/xl/revisions/revisionLog34.xml" ContentType="application/vnd.openxmlformats-officedocument.spreadsheetml.revisionLog+xml"/>
  <Override PartName="/xl/revisions/revisionLog50.xml" ContentType="application/vnd.openxmlformats-officedocument.spreadsheetml.revisionLog+xml"/>
  <Override PartName="/xl/revisions/revisionLog88.xml" ContentType="application/vnd.openxmlformats-officedocument.spreadsheetml.revisionLog+xml"/>
  <Override PartName="/xl/revisions/revisionLog79.xml" ContentType="application/vnd.openxmlformats-officedocument.spreadsheetml.revisionLog+xml"/>
  <Override PartName="/xl/revisions/revisionLog74.xml" ContentType="application/vnd.openxmlformats-officedocument.spreadsheetml.revisionLog+xml"/>
  <Override PartName="/xl/revisions/revisionLog71.xml" ContentType="application/vnd.openxmlformats-officedocument.spreadsheetml.revisionLog+xml"/>
  <Override PartName="/xl/revisions/revisionLog45.xml" ContentType="application/vnd.openxmlformats-officedocument.spreadsheetml.revisionLog+xml"/>
  <Override PartName="/xl/revisions/revisionLog53.xml" ContentType="application/vnd.openxmlformats-officedocument.spreadsheetml.revisionLog+xml"/>
  <Override PartName="/xl/revisions/revisionLog58.xml" ContentType="application/vnd.openxmlformats-officedocument.spreadsheetml.revisionLog+xml"/>
  <Override PartName="/xl/revisions/revisionLog66.xml" ContentType="application/vnd.openxmlformats-officedocument.spreadsheetml.revisionLog+xml"/>
  <Override PartName="/xl/revisions/revisionLog8.xml" ContentType="application/vnd.openxmlformats-officedocument.spreadsheetml.revisionLog+xml"/>
  <Override PartName="/xl/revisions/revisionLog16.xml" ContentType="application/vnd.openxmlformats-officedocument.spreadsheetml.revisionLog+xml"/>
  <Override PartName="/xl/revisions/revisionLog83.xml" ContentType="application/vnd.openxmlformats-officedocument.spreadsheetml.revisionLog+xml"/>
  <Override PartName="/xl/revisions/revisionLog3.xml" ContentType="application/vnd.openxmlformats-officedocument.spreadsheetml.revisionLog+xml"/>
  <Override PartName="/xl/revisions/revisionLog11.xml" ContentType="application/vnd.openxmlformats-officedocument.spreadsheetml.revisionLog+xml"/>
  <Override PartName="/xl/revisions/revisionLog19.xml" ContentType="application/vnd.openxmlformats-officedocument.spreadsheetml.revisionLog+xml"/>
  <Override PartName="/xl/revisions/revisionLog24.xml" ContentType="application/vnd.openxmlformats-officedocument.spreadsheetml.revisionLog+xml"/>
  <Override PartName="/xl/revisions/revisionLog32.xml" ContentType="application/vnd.openxmlformats-officedocument.spreadsheetml.revisionLog+xml"/>
  <Override PartName="/xl/revisions/revisionLog37.xml" ContentType="application/vnd.openxmlformats-officedocument.spreadsheetml.revisionLog+xml"/>
  <Override PartName="/xl/revisions/revisionLog91.xml" ContentType="application/vnd.openxmlformats-officedocument.spreadsheetml.revisionLog+xml"/>
  <Override PartName="/xl/revisions/revisionLog77.xml" ContentType="application/vnd.openxmlformats-officedocument.spreadsheetml.revisionLog+xml"/>
  <Override PartName="/xl/revisions/revisionLog69.xml" ContentType="application/vnd.openxmlformats-officedocument.spreadsheetml.revisionLog+xml"/>
  <Override PartName="/xl/revisions/revisionLog64.xml" ContentType="application/vnd.openxmlformats-officedocument.spreadsheetml.revisionLog+xml"/>
  <Override PartName="/xl/revisions/revisionLog43.xml" ContentType="application/vnd.openxmlformats-officedocument.spreadsheetml.revisionLog+xml"/>
  <Override PartName="/xl/revisions/revisionLog48.xml" ContentType="application/vnd.openxmlformats-officedocument.spreadsheetml.revisionLog+xml"/>
  <Override PartName="/xl/revisions/revisionLog56.xml" ContentType="application/vnd.openxmlformats-officedocument.spreadsheetml.revisionLog+xml"/>
  <Override PartName="/xl/revisions/revisionLog61.xml" ContentType="application/vnd.openxmlformats-officedocument.spreadsheetml.revisionLog+xml"/>
  <Override PartName="/xl/revisions/revisionLog6.xml" ContentType="application/vnd.openxmlformats-officedocument.spreadsheetml.revisionLog+xml"/>
  <Override PartName="/xl/revisions/revisionLog86.xml" ContentType="application/vnd.openxmlformats-officedocument.spreadsheetml.revisionLog+xml"/>
  <Override PartName="/xl/revisions/revisionLog72.xml" ContentType="application/vnd.openxmlformats-officedocument.spreadsheetml.revisionLog+xml"/>
  <Override PartName="/xl/revisions/revisionLog1.xml" ContentType="application/vnd.openxmlformats-officedocument.spreadsheetml.revisionLog+xml"/>
  <Override PartName="/xl/revisions/revisionLog9.xml" ContentType="application/vnd.openxmlformats-officedocument.spreadsheetml.revisionLog+xml"/>
  <Override PartName="/xl/revisions/revisionLog14.xml" ContentType="application/vnd.openxmlformats-officedocument.spreadsheetml.revisionLog+xml"/>
  <Override PartName="/xl/revisions/revisionLog22.xml" ContentType="application/vnd.openxmlformats-officedocument.spreadsheetml.revisionLog+xml"/>
  <Override PartName="/xl/revisions/revisionLog27.xml" ContentType="application/vnd.openxmlformats-officedocument.spreadsheetml.revisionLog+xml"/>
  <Override PartName="/xl/revisions/revisionLog30.xml" ContentType="application/vnd.openxmlformats-officedocument.spreadsheetml.revisionLog+xml"/>
  <Override PartName="/xl/revisions/revisionLog35.xml" ContentType="application/vnd.openxmlformats-officedocument.spreadsheetml.revisionLog+xml"/>
  <Override PartName="/xl/revisions/revisionLog80.xml" ContentType="application/vnd.openxmlformats-officedocument.spreadsheetml.revisionLog+xml"/>
  <Override PartName="/xl/revisions/revisionLog67.xml" ContentType="application/vnd.openxmlformats-officedocument.spreadsheetml.revisionLog+xml"/>
  <Override PartName="/xl/revisions/revisionLog59.xml" ContentType="application/vnd.openxmlformats-officedocument.spreadsheetml.revisionLog+xml"/>
  <Override PartName="/xl/revisions/revisionLog51.xml" ContentType="application/vnd.openxmlformats-officedocument.spreadsheetml.revisionLog+xml"/>
  <Override PartName="/xl/revisions/revisionLog46.xml" ContentType="application/vnd.openxmlformats-officedocument.spreadsheetml.revisionLog+xml"/>
  <Override PartName="/xl/revisions/revisionLog92.xml" ContentType="application/vnd.openxmlformats-officedocument.spreadsheetml.revisionLog+xml"/>
  <Override PartName="/xl/revisions/revisionLog89.xml" ContentType="application/vnd.openxmlformats-officedocument.spreadsheetml.revisionLog+xml"/>
  <Override PartName="/xl/revisions/revisionLog84.xml" ContentType="application/vnd.openxmlformats-officedocument.spreadsheetml.revisionLog+xml"/>
  <Override PartName="/xl/revisions/revisionLog75.xml" ContentType="application/vnd.openxmlformats-officedocument.spreadsheetml.revisionLog+xml"/>
  <Override PartName="/xl/revisions/revisionLog54.xml" ContentType="application/vnd.openxmlformats-officedocument.spreadsheetml.revisionLog+xml"/>
  <Override PartName="/xl/revisions/revisionLog62.xml" ContentType="application/vnd.openxmlformats-officedocument.spreadsheetml.revisionLog+xml"/>
  <Override PartName="/xl/revisions/revisionLog4.xml" ContentType="application/vnd.openxmlformats-officedocument.spreadsheetml.revisionLog+xml"/>
  <Override PartName="/xl/revisions/revisionLog12.xml" ContentType="application/vnd.openxmlformats-officedocument.spreadsheetml.revisionLog+xml"/>
  <Override PartName="/xl/revisions/revisionLog17.xml" ContentType="application/vnd.openxmlformats-officedocument.spreadsheetml.revisionLog+xml"/>
  <Override PartName="/xl/revisions/revisionLog25.xml" ContentType="application/vnd.openxmlformats-officedocument.spreadsheetml.revisionLog+xml"/>
  <Override PartName="/xl/revisions/revisionLog33.xml" ContentType="application/vnd.openxmlformats-officedocument.spreadsheetml.revisionLog+xml"/>
  <Override PartName="/xl/revisions/revisionLog38.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N:\УК\- ОТДЕЛ КУЛЬТУРЫ -\СЕТЕВЫЕ ГРАФИКИ И ТЕХЗАДАНИЯ\2024\МП Культурное пространство\в УЭ и на сайт\6. июнь\"/>
    </mc:Choice>
  </mc:AlternateContent>
  <bookViews>
    <workbookView xWindow="0" yWindow="0" windowWidth="28800" windowHeight="12300" tabRatio="798" firstSheet="7" activeTab="7"/>
  </bookViews>
  <sheets>
    <sheet name="Оглавление" sheetId="1" state="hidden" r:id="rId1"/>
    <sheet name="1.СЗН" sheetId="2" state="hidden" r:id="rId2"/>
    <sheet name="2.АПК" sheetId="3" state="hidden" r:id="rId3"/>
    <sheet name="3.БЖД" sheetId="4" state="hidden" r:id="rId4"/>
    <sheet name="4.УМИ" sheetId="5" state="hidden" r:id="rId5"/>
    <sheet name="5.Проф. прав." sheetId="6" state="hidden" r:id="rId6"/>
    <sheet name="6.Экстримизм" sheetId="7" state="hidden" r:id="rId7"/>
    <sheet name="7.МП КП" sheetId="8" r:id="rId8"/>
    <sheet name="8.МП РМС" sheetId="9" state="hidden" r:id="rId9"/>
    <sheet name="Лист3" sheetId="10" state="hidden" r:id="rId10"/>
    <sheet name="9.МП РИГО" sheetId="11" state="hidden" r:id="rId11"/>
    <sheet name="10.МП РФКиС" sheetId="12" state="hidden" r:id="rId12"/>
    <sheet name="Лист2" sheetId="13" state="hidden" r:id="rId13"/>
    <sheet name="11.МП РО" sheetId="14" state="hidden" r:id="rId14"/>
    <sheet name="12.МП УМФ" sheetId="15" state="hidden" r:id="rId15"/>
    <sheet name="Лист1" sheetId="16" state="hidden" r:id="rId16"/>
    <sheet name="13.МП РЖС" sheetId="17" state="hidden" r:id="rId17"/>
    <sheet name="14.МП СЭР" sheetId="18" state="hidden" r:id="rId18"/>
    <sheet name="15.МП ЭБ" sheetId="19" state="hidden" r:id="rId19"/>
    <sheet name="16.МП РЖКК" sheetId="20" state="hidden" r:id="rId20"/>
    <sheet name="17.МП РТС" sheetId="21" state="hidden" r:id="rId21"/>
    <sheet name="18.МП ФКГС" sheetId="22" state="hidden" r:id="rId22"/>
    <sheet name="19.МП СОГХ" sheetId="23" state="hidden" r:id="rId23"/>
  </sheets>
  <externalReferences>
    <externalReference r:id="rId24"/>
  </externalReferences>
  <definedNames>
    <definedName name="_xlnm._FilterDatabase" localSheetId="1" hidden="1">'1.СЗН'!$A$1:$AF$63</definedName>
    <definedName name="_xlnm._FilterDatabase" localSheetId="13" hidden="1">'11.МП РО'!$A$4:$A$380</definedName>
    <definedName name="_xlnm._FilterDatabase" localSheetId="2" hidden="1">'2.АПК'!$A$1:$AF$36</definedName>
    <definedName name="_xlnm._FilterDatabase" localSheetId="3" hidden="1">'3.БЖД'!$A$1:$AF$17</definedName>
    <definedName name="_xlnm._FilterDatabase" localSheetId="4" hidden="1">'4.УМИ'!$A$1:$AF$11</definedName>
    <definedName name="_xlnm._FilterDatabase" localSheetId="5" hidden="1">'5.Проф. прав.'!$A$1:$AF$12</definedName>
    <definedName name="_xlnm._FilterDatabase" localSheetId="6" hidden="1">'6.Экстримизм'!$A$1:$AF$11</definedName>
    <definedName name="Z_009B3074_D8EC_4952_BF50_43CD64449612_.wvu.Cols" localSheetId="16" hidden="1">'13.МП РЖС'!$AG:$AG</definedName>
    <definedName name="Z_009B3074_D8EC_4952_BF50_43CD64449612_.wvu.FilterData" localSheetId="1" hidden="1">'1.СЗН'!$A$1:$AF$63</definedName>
    <definedName name="Z_009B3074_D8EC_4952_BF50_43CD64449612_.wvu.FilterData" localSheetId="2" hidden="1">'2.АПК'!$A$1:$AF$36</definedName>
    <definedName name="Z_009B3074_D8EC_4952_BF50_43CD64449612_.wvu.FilterData" localSheetId="3" hidden="1">'3.БЖД'!$A$1:$AF$17</definedName>
    <definedName name="Z_009B3074_D8EC_4952_BF50_43CD64449612_.wvu.FilterData" localSheetId="4" hidden="1">'4.УМИ'!$A$1:$AF$11</definedName>
    <definedName name="Z_009B3074_D8EC_4952_BF50_43CD64449612_.wvu.FilterData" localSheetId="5" hidden="1">'5.Проф. прав.'!$A$1:$AF$12</definedName>
    <definedName name="Z_009B3074_D8EC_4952_BF50_43CD64449612_.wvu.FilterData" localSheetId="6" hidden="1">'6.Экстримизм'!$A$1:$AF$11</definedName>
    <definedName name="Z_009B3074_D8EC_4952_BF50_43CD64449612_.wvu.Rows" localSheetId="1" hidden="1">'1.СЗН'!$69:$73</definedName>
    <definedName name="Z_009B3074_D8EC_4952_BF50_43CD64449612_.wvu.Rows" localSheetId="16" hidden="1">'13.МП РЖС'!$122:$127</definedName>
    <definedName name="Z_009B3074_D8EC_4952_BF50_43CD64449612_.wvu.Rows" localSheetId="6" hidden="1">'6.Экстримизм'!$9:$23,'6.Экстримизм'!$30:$38,'6.Экстримизм'!$44:$49,'6.Экстримизм'!$65:$67,'6.Экстримизм'!$71:$76,'6.Экстримизм'!$86:$88,'6.Экстримизм'!$95:$97</definedName>
    <definedName name="Z_046AFB83_FD50_413F_A7DB_BE0EF3893FF7_.wvu.FilterData" localSheetId="3" hidden="1">'3.БЖД'!$A$1:$AF$17</definedName>
    <definedName name="Z_06D4F6C4_78B9_4E41_B83A_C6D0A12202C6_.wvu.FilterData" localSheetId="3" hidden="1">'3.БЖД'!$A$1:$AF$17</definedName>
    <definedName name="Z_06D4F6C4_78B9_4E41_B83A_C6D0A12202C6_.wvu.FilterData" localSheetId="4" hidden="1">'4.УМИ'!$A$1:$AF$11</definedName>
    <definedName name="Z_06D4F6C4_78B9_4E41_B83A_C6D0A12202C6_.wvu.FilterData" localSheetId="5" hidden="1">'5.Проф. прав.'!$A$1:$AF$12</definedName>
    <definedName name="Z_09C3E205_981E_4A4E_BE89_8B7044192060_.wvu.Cols" localSheetId="16" hidden="1">'13.МП РЖС'!$AG:$AG</definedName>
    <definedName name="Z_09C3E205_981E_4A4E_BE89_8B7044192060_.wvu.FilterData" localSheetId="1" hidden="1">'1.СЗН'!$A$1:$AF$63</definedName>
    <definedName name="Z_09C3E205_981E_4A4E_BE89_8B7044192060_.wvu.FilterData" localSheetId="13" hidden="1">'11.МП РО'!$A$4:$A$380</definedName>
    <definedName name="Z_09C3E205_981E_4A4E_BE89_8B7044192060_.wvu.FilterData" localSheetId="2" hidden="1">'2.АПК'!$A$1:$AF$36</definedName>
    <definedName name="Z_09C3E205_981E_4A4E_BE89_8B7044192060_.wvu.FilterData" localSheetId="3" hidden="1">'3.БЖД'!$A$1:$AF$17</definedName>
    <definedName name="Z_09C3E205_981E_4A4E_BE89_8B7044192060_.wvu.FilterData" localSheetId="4" hidden="1">'4.УМИ'!$A$1:$AF$11</definedName>
    <definedName name="Z_09C3E205_981E_4A4E_BE89_8B7044192060_.wvu.FilterData" localSheetId="5" hidden="1">'5.Проф. прав.'!$A$1:$AF$12</definedName>
    <definedName name="Z_09C3E205_981E_4A4E_BE89_8B7044192060_.wvu.FilterData" localSheetId="6" hidden="1">'6.Экстримизм'!$A$1:$AF$11</definedName>
    <definedName name="Z_09C3E205_981E_4A4E_BE89_8B7044192060_.wvu.Rows" localSheetId="1" hidden="1">'1.СЗН'!$69:$73</definedName>
    <definedName name="Z_09C3E205_981E_4A4E_BE89_8B7044192060_.wvu.Rows" localSheetId="16" hidden="1">'13.МП РЖС'!$122:$127</definedName>
    <definedName name="Z_09C3E205_981E_4A4E_BE89_8B7044192060_.wvu.Rows" localSheetId="6" hidden="1">'6.Экстримизм'!$9:$23,'6.Экстримизм'!$30:$38,'6.Экстримизм'!$44:$49,'6.Экстримизм'!$65:$67,'6.Экстримизм'!$71:$76,'6.Экстримизм'!$86:$88,'6.Экстримизм'!$95:$97</definedName>
    <definedName name="Z_0C2B9C2A_7B94_41EF_A2E6_F8AC9A67DE25_.wvu.Cols" localSheetId="16" hidden="1">'13.МП РЖС'!$AG:$AG</definedName>
    <definedName name="Z_0C2B9C2A_7B94_41EF_A2E6_F8AC9A67DE25_.wvu.FilterData" localSheetId="1" hidden="1">'1.СЗН'!$A$1:$AF$63</definedName>
    <definedName name="Z_0C2B9C2A_7B94_41EF_A2E6_F8AC9A67DE25_.wvu.FilterData" localSheetId="13" hidden="1">'11.МП РО'!$A$4:$A$380</definedName>
    <definedName name="Z_0C2B9C2A_7B94_41EF_A2E6_F8AC9A67DE25_.wvu.FilterData" localSheetId="2" hidden="1">'2.АПК'!$A$1:$AF$36</definedName>
    <definedName name="Z_0C2B9C2A_7B94_41EF_A2E6_F8AC9A67DE25_.wvu.FilterData" localSheetId="3" hidden="1">'3.БЖД'!$A$1:$AF$17</definedName>
    <definedName name="Z_0C2B9C2A_7B94_41EF_A2E6_F8AC9A67DE25_.wvu.FilterData" localSheetId="4" hidden="1">'4.УМИ'!$A$1:$AF$11</definedName>
    <definedName name="Z_0C2B9C2A_7B94_41EF_A2E6_F8AC9A67DE25_.wvu.FilterData" localSheetId="5" hidden="1">'5.Проф. прав.'!$A$1:$AF$12</definedName>
    <definedName name="Z_0C2B9C2A_7B94_41EF_A2E6_F8AC9A67DE25_.wvu.FilterData" localSheetId="6" hidden="1">'6.Экстримизм'!$A$1:$AF$11</definedName>
    <definedName name="Z_0C2B9C2A_7B94_41EF_A2E6_F8AC9A67DE25_.wvu.Rows" localSheetId="1" hidden="1">'1.СЗН'!$69:$73</definedName>
    <definedName name="Z_0C2B9C2A_7B94_41EF_A2E6_F8AC9A67DE25_.wvu.Rows" localSheetId="16" hidden="1">'13.МП РЖС'!$122:$127</definedName>
    <definedName name="Z_0C2B9C2A_7B94_41EF_A2E6_F8AC9A67DE25_.wvu.Rows" localSheetId="6" hidden="1">'6.Экстримизм'!$9:$23,'6.Экстримизм'!$30:$38,'6.Экстримизм'!$44:$49,'6.Экстримизм'!$65:$67,'6.Экстримизм'!$71:$76,'6.Экстримизм'!$86:$88,'6.Экстримизм'!$95:$97</definedName>
    <definedName name="Z_14D8F805_178B_4C67_A6E6_FCFB130EDA62_.wvu.FilterData" localSheetId="5" hidden="1">'5.Проф. прав.'!$A$1:$AF$12</definedName>
    <definedName name="Z_1CF6352E_51FD_47C8_A7C6_38926E6D82A3_.wvu.FilterData" localSheetId="5" hidden="1">'5.Проф. прав.'!$A$1:$AF$12</definedName>
    <definedName name="Z_391AB76E_B386_49C1_800F_016A48AA1A46_.wvu.Cols" localSheetId="16" hidden="1">'13.МП РЖС'!$AG:$AG</definedName>
    <definedName name="Z_391AB76E_B386_49C1_800F_016A48AA1A46_.wvu.FilterData" localSheetId="1" hidden="1">'1.СЗН'!$A$1:$AF$63</definedName>
    <definedName name="Z_391AB76E_B386_49C1_800F_016A48AA1A46_.wvu.FilterData" localSheetId="13" hidden="1">'11.МП РО'!$A$4:$A$380</definedName>
    <definedName name="Z_391AB76E_B386_49C1_800F_016A48AA1A46_.wvu.FilterData" localSheetId="2" hidden="1">'2.АПК'!$A$1:$AF$36</definedName>
    <definedName name="Z_391AB76E_B386_49C1_800F_016A48AA1A46_.wvu.FilterData" localSheetId="3" hidden="1">'3.БЖД'!$A$1:$AF$17</definedName>
    <definedName name="Z_391AB76E_B386_49C1_800F_016A48AA1A46_.wvu.FilterData" localSheetId="4" hidden="1">'4.УМИ'!$A$1:$AF$11</definedName>
    <definedName name="Z_391AB76E_B386_49C1_800F_016A48AA1A46_.wvu.FilterData" localSheetId="5" hidden="1">'5.Проф. прав.'!$A$1:$AF$12</definedName>
    <definedName name="Z_391AB76E_B386_49C1_800F_016A48AA1A46_.wvu.FilterData" localSheetId="6" hidden="1">'6.Экстримизм'!$A$1:$AF$11</definedName>
    <definedName name="Z_391AB76E_B386_49C1_800F_016A48AA1A46_.wvu.Rows" localSheetId="1" hidden="1">'1.СЗН'!$69:$73</definedName>
    <definedName name="Z_391AB76E_B386_49C1_800F_016A48AA1A46_.wvu.Rows" localSheetId="16" hidden="1">'13.МП РЖС'!$122:$127</definedName>
    <definedName name="Z_391AB76E_B386_49C1_800F_016A48AA1A46_.wvu.Rows" localSheetId="6" hidden="1">'6.Экстримизм'!$9:$23,'6.Экстримизм'!$30:$38,'6.Экстримизм'!$44:$49,'6.Экстримизм'!$65:$67,'6.Экстримизм'!$71:$76,'6.Экстримизм'!$86:$88,'6.Экстримизм'!$95:$97</definedName>
    <definedName name="Z_442F2C94_DD1B_4A01_8694_513D4D6F3BD9_.wvu.Cols" localSheetId="16" hidden="1">'13.МП РЖС'!$AG:$AG</definedName>
    <definedName name="Z_442F2C94_DD1B_4A01_8694_513D4D6F3BD9_.wvu.FilterData" localSheetId="1" hidden="1">'1.СЗН'!$A$1:$AF$63</definedName>
    <definedName name="Z_442F2C94_DD1B_4A01_8694_513D4D6F3BD9_.wvu.FilterData" localSheetId="13" hidden="1">'11.МП РО'!$A$4:$A$380</definedName>
    <definedName name="Z_442F2C94_DD1B_4A01_8694_513D4D6F3BD9_.wvu.FilterData" localSheetId="2" hidden="1">'2.АПК'!$A$1:$AF$36</definedName>
    <definedName name="Z_442F2C94_DD1B_4A01_8694_513D4D6F3BD9_.wvu.FilterData" localSheetId="3" hidden="1">'3.БЖД'!$A$1:$AF$17</definedName>
    <definedName name="Z_442F2C94_DD1B_4A01_8694_513D4D6F3BD9_.wvu.FilterData" localSheetId="4" hidden="1">'4.УМИ'!$A$1:$AF$11</definedName>
    <definedName name="Z_442F2C94_DD1B_4A01_8694_513D4D6F3BD9_.wvu.FilterData" localSheetId="5" hidden="1">'5.Проф. прав.'!$A$1:$AF$12</definedName>
    <definedName name="Z_442F2C94_DD1B_4A01_8694_513D4D6F3BD9_.wvu.FilterData" localSheetId="6" hidden="1">'6.Экстримизм'!$A$1:$AF$11</definedName>
    <definedName name="Z_442F2C94_DD1B_4A01_8694_513D4D6F3BD9_.wvu.Rows" localSheetId="1" hidden="1">'1.СЗН'!$69:$73</definedName>
    <definedName name="Z_442F2C94_DD1B_4A01_8694_513D4D6F3BD9_.wvu.Rows" localSheetId="16" hidden="1">'13.МП РЖС'!$122:$127</definedName>
    <definedName name="Z_442F2C94_DD1B_4A01_8694_513D4D6F3BD9_.wvu.Rows" localSheetId="6" hidden="1">'6.Экстримизм'!$9:$23,'6.Экстримизм'!$30:$38,'6.Экстримизм'!$44:$49,'6.Экстримизм'!$65:$67,'6.Экстримизм'!$71:$76,'6.Экстримизм'!$86:$88,'6.Экстримизм'!$95:$97</definedName>
    <definedName name="Z_47289B59_0596_438D_8672_7306C0E055AF_.wvu.FilterData" localSheetId="3" hidden="1">'3.БЖД'!$A$1:$AF$17</definedName>
    <definedName name="Z_47B983AB_FE5F_4725_860C_A2F29420596D_.wvu.Cols" localSheetId="16" hidden="1">'13.МП РЖС'!$AG:$AG</definedName>
    <definedName name="Z_47B983AB_FE5F_4725_860C_A2F29420596D_.wvu.FilterData" localSheetId="1" hidden="1">'1.СЗН'!$A$1:$AF$63</definedName>
    <definedName name="Z_47B983AB_FE5F_4725_860C_A2F29420596D_.wvu.FilterData" localSheetId="2" hidden="1">'2.АПК'!$A$1:$AF$36</definedName>
    <definedName name="Z_47B983AB_FE5F_4725_860C_A2F29420596D_.wvu.FilterData" localSheetId="3" hidden="1">'3.БЖД'!$A$1:$AF$17</definedName>
    <definedName name="Z_47B983AB_FE5F_4725_860C_A2F29420596D_.wvu.FilterData" localSheetId="4" hidden="1">'4.УМИ'!$A$1:$AF$11</definedName>
    <definedName name="Z_47B983AB_FE5F_4725_860C_A2F29420596D_.wvu.FilterData" localSheetId="5" hidden="1">'5.Проф. прав.'!$A$1:$AF$12</definedName>
    <definedName name="Z_47B983AB_FE5F_4725_860C_A2F29420596D_.wvu.FilterData" localSheetId="6" hidden="1">'6.Экстримизм'!$A$1:$AF$11</definedName>
    <definedName name="Z_47B983AB_FE5F_4725_860C_A2F29420596D_.wvu.Rows" localSheetId="1" hidden="1">'1.СЗН'!$69:$73</definedName>
    <definedName name="Z_47B983AB_FE5F_4725_860C_A2F29420596D_.wvu.Rows" localSheetId="16" hidden="1">'13.МП РЖС'!$122:$127</definedName>
    <definedName name="Z_47B983AB_FE5F_4725_860C_A2F29420596D_.wvu.Rows" localSheetId="6" hidden="1">'6.Экстримизм'!$9:$23,'6.Экстримизм'!$30:$38,'6.Экстримизм'!$44:$49,'6.Экстримизм'!$65:$67,'6.Экстримизм'!$71:$76,'6.Экстримизм'!$86:$88,'6.Экстримизм'!$95:$97</definedName>
    <definedName name="Z_486916EB_0C05_4C27_9E6E_3AB53BA5102E_.wvu.FilterData" localSheetId="1" hidden="1">'1.СЗН'!$A$1:$AF$63</definedName>
    <definedName name="Z_4D0DFB57_2CBA_42F2_9A97_C453A6851FBA_.wvu.Cols" localSheetId="16" hidden="1">'13.МП РЖС'!$AG:$AG</definedName>
    <definedName name="Z_4D0DFB57_2CBA_42F2_9A97_C453A6851FBA_.wvu.FilterData" localSheetId="1" hidden="1">'1.СЗН'!$A$1:$AF$63</definedName>
    <definedName name="Z_4D0DFB57_2CBA_42F2_9A97_C453A6851FBA_.wvu.FilterData" localSheetId="13" hidden="1">'11.МП РО'!$A$4:$A$380</definedName>
    <definedName name="Z_4D0DFB57_2CBA_42F2_9A97_C453A6851FBA_.wvu.FilterData" localSheetId="2" hidden="1">'2.АПК'!$A$1:$AF$36</definedName>
    <definedName name="Z_4D0DFB57_2CBA_42F2_9A97_C453A6851FBA_.wvu.FilterData" localSheetId="3" hidden="1">'3.БЖД'!$A$1:$AF$17</definedName>
    <definedName name="Z_4D0DFB57_2CBA_42F2_9A97_C453A6851FBA_.wvu.FilterData" localSheetId="4" hidden="1">'4.УМИ'!$A$1:$AF$11</definedName>
    <definedName name="Z_4D0DFB57_2CBA_42F2_9A97_C453A6851FBA_.wvu.FilterData" localSheetId="5" hidden="1">'5.Проф. прав.'!$A$1:$AF$12</definedName>
    <definedName name="Z_4D0DFB57_2CBA_42F2_9A97_C453A6851FBA_.wvu.FilterData" localSheetId="6" hidden="1">'6.Экстримизм'!$A$1:$AF$11</definedName>
    <definedName name="Z_4D0DFB57_2CBA_42F2_9A97_C453A6851FBA_.wvu.Rows" localSheetId="1" hidden="1">'1.СЗН'!$69:$73</definedName>
    <definedName name="Z_4D0DFB57_2CBA_42F2_9A97_C453A6851FBA_.wvu.Rows" localSheetId="16" hidden="1">'13.МП РЖС'!$122:$127</definedName>
    <definedName name="Z_4D0DFB57_2CBA_42F2_9A97_C453A6851FBA_.wvu.Rows" localSheetId="6" hidden="1">'6.Экстримизм'!$9:$23,'6.Экстримизм'!$30:$38,'6.Экстримизм'!$44:$49,'6.Экстримизм'!$65:$67,'6.Экстримизм'!$71:$76,'6.Экстримизм'!$86:$88,'6.Экстримизм'!$95:$97</definedName>
    <definedName name="Z_4F41B9CC_959D_442C_80B0_1F0DB2C76D27_.wvu.Cols" localSheetId="16" hidden="1">'13.МП РЖС'!$AG:$AG</definedName>
    <definedName name="Z_4F41B9CC_959D_442C_80B0_1F0DB2C76D27_.wvu.FilterData" localSheetId="1" hidden="1">'1.СЗН'!$A$1:$AF$63</definedName>
    <definedName name="Z_4F41B9CC_959D_442C_80B0_1F0DB2C76D27_.wvu.FilterData" localSheetId="13" hidden="1">'11.МП РО'!$A$4:$A$380</definedName>
    <definedName name="Z_4F41B9CC_959D_442C_80B0_1F0DB2C76D27_.wvu.FilterData" localSheetId="2" hidden="1">'2.АПК'!$A$1:$AF$36</definedName>
    <definedName name="Z_4F41B9CC_959D_442C_80B0_1F0DB2C76D27_.wvu.FilterData" localSheetId="3" hidden="1">'3.БЖД'!$A$1:$AF$17</definedName>
    <definedName name="Z_4F41B9CC_959D_442C_80B0_1F0DB2C76D27_.wvu.FilterData" localSheetId="4" hidden="1">'4.УМИ'!$A$1:$AF$11</definedName>
    <definedName name="Z_4F41B9CC_959D_442C_80B0_1F0DB2C76D27_.wvu.FilterData" localSheetId="5" hidden="1">'5.Проф. прав.'!$A$1:$AF$12</definedName>
    <definedName name="Z_4F41B9CC_959D_442C_80B0_1F0DB2C76D27_.wvu.FilterData" localSheetId="6" hidden="1">'6.Экстримизм'!$A$1:$AF$11</definedName>
    <definedName name="Z_4F41B9CC_959D_442C_80B0_1F0DB2C76D27_.wvu.Rows" localSheetId="1" hidden="1">'1.СЗН'!$69:$73</definedName>
    <definedName name="Z_4F41B9CC_959D_442C_80B0_1F0DB2C76D27_.wvu.Rows" localSheetId="16" hidden="1">'13.МП РЖС'!$122:$127</definedName>
    <definedName name="Z_4F41B9CC_959D_442C_80B0_1F0DB2C76D27_.wvu.Rows" localSheetId="6" hidden="1">'6.Экстримизм'!$9:$23,'6.Экстримизм'!$30:$38,'6.Экстримизм'!$44:$49,'6.Экстримизм'!$65:$67,'6.Экстримизм'!$71:$76,'6.Экстримизм'!$86:$88,'6.Экстримизм'!$95:$97</definedName>
    <definedName name="Z_533DC55B_6AD4_4674_9488_685EF2039F3E_.wvu.Cols" localSheetId="16" hidden="1">'13.МП РЖС'!$AG:$AG</definedName>
    <definedName name="Z_533DC55B_6AD4_4674_9488_685EF2039F3E_.wvu.FilterData" localSheetId="1" hidden="1">'1.СЗН'!$A$1:$AF$63</definedName>
    <definedName name="Z_533DC55B_6AD4_4674_9488_685EF2039F3E_.wvu.FilterData" localSheetId="13" hidden="1">'11.МП РО'!$A$4:$A$380</definedName>
    <definedName name="Z_533DC55B_6AD4_4674_9488_685EF2039F3E_.wvu.FilterData" localSheetId="2" hidden="1">'2.АПК'!$A$1:$AF$36</definedName>
    <definedName name="Z_533DC55B_6AD4_4674_9488_685EF2039F3E_.wvu.FilterData" localSheetId="3" hidden="1">'3.БЖД'!$A$1:$AF$17</definedName>
    <definedName name="Z_533DC55B_6AD4_4674_9488_685EF2039F3E_.wvu.FilterData" localSheetId="4" hidden="1">'4.УМИ'!$A$1:$AF$11</definedName>
    <definedName name="Z_533DC55B_6AD4_4674_9488_685EF2039F3E_.wvu.FilterData" localSheetId="5" hidden="1">'5.Проф. прав.'!$A$1:$AF$12</definedName>
    <definedName name="Z_533DC55B_6AD4_4674_9488_685EF2039F3E_.wvu.FilterData" localSheetId="6" hidden="1">'6.Экстримизм'!$A$1:$AF$11</definedName>
    <definedName name="Z_533DC55B_6AD4_4674_9488_685EF2039F3E_.wvu.Rows" localSheetId="1" hidden="1">'1.СЗН'!$69:$73</definedName>
    <definedName name="Z_533DC55B_6AD4_4674_9488_685EF2039F3E_.wvu.Rows" localSheetId="16" hidden="1">'13.МП РЖС'!$122:$127</definedName>
    <definedName name="Z_533DC55B_6AD4_4674_9488_685EF2039F3E_.wvu.Rows" localSheetId="6" hidden="1">'6.Экстримизм'!$9:$23,'6.Экстримизм'!$30:$38,'6.Экстримизм'!$44:$49,'6.Экстримизм'!$65:$67,'6.Экстримизм'!$71:$76,'6.Экстримизм'!$86:$88,'6.Экстримизм'!$95:$97</definedName>
    <definedName name="Z_559B20E7_1863_4723_9C86_5DC769A2C901_.wvu.FilterData" localSheetId="4" hidden="1">'4.УМИ'!$A$1:$AF$11</definedName>
    <definedName name="Z_58A3D13A_3888_403D_96DC_C17B50A66BD1_.wvu.FilterData" localSheetId="4" hidden="1">'4.УМИ'!$A$1:$AF$11</definedName>
    <definedName name="Z_59FDF3A8_C81A_46DA_9159_19578DCD4FC1_.wvu.FilterData" localSheetId="4" hidden="1">'4.УМИ'!$A$1:$AF$11</definedName>
    <definedName name="Z_602C8EDB_B9EF_4C85_B0D5_0558C3A0ABAB_.wvu.Cols" localSheetId="16" hidden="1">'13.МП РЖС'!$AG:$AG</definedName>
    <definedName name="Z_602C8EDB_B9EF_4C85_B0D5_0558C3A0ABAB_.wvu.FilterData" localSheetId="1" hidden="1">'1.СЗН'!$A$1:$AF$63</definedName>
    <definedName name="Z_602C8EDB_B9EF_4C85_B0D5_0558C3A0ABAB_.wvu.FilterData" localSheetId="13" hidden="1">'11.МП РО'!$A$4:$A$380</definedName>
    <definedName name="Z_602C8EDB_B9EF_4C85_B0D5_0558C3A0ABAB_.wvu.FilterData" localSheetId="2" hidden="1">'2.АПК'!$A$1:$AF$36</definedName>
    <definedName name="Z_602C8EDB_B9EF_4C85_B0D5_0558C3A0ABAB_.wvu.FilterData" localSheetId="3" hidden="1">'3.БЖД'!$A$1:$AF$17</definedName>
    <definedName name="Z_602C8EDB_B9EF_4C85_B0D5_0558C3A0ABAB_.wvu.FilterData" localSheetId="4" hidden="1">'4.УМИ'!$A$1:$AF$11</definedName>
    <definedName name="Z_602C8EDB_B9EF_4C85_B0D5_0558C3A0ABAB_.wvu.FilterData" localSheetId="5" hidden="1">'5.Проф. прав.'!$A$1:$AF$12</definedName>
    <definedName name="Z_602C8EDB_B9EF_4C85_B0D5_0558C3A0ABAB_.wvu.FilterData" localSheetId="6" hidden="1">'6.Экстримизм'!$A$1:$AF$11</definedName>
    <definedName name="Z_602C8EDB_B9EF_4C85_B0D5_0558C3A0ABAB_.wvu.Rows" localSheetId="1" hidden="1">'1.СЗН'!$69:$73</definedName>
    <definedName name="Z_602C8EDB_B9EF_4C85_B0D5_0558C3A0ABAB_.wvu.Rows" localSheetId="16" hidden="1">'13.МП РЖС'!$122:$127</definedName>
    <definedName name="Z_602C8EDB_B9EF_4C85_B0D5_0558C3A0ABAB_.wvu.Rows" localSheetId="6" hidden="1">'6.Экстримизм'!$9:$23,'6.Экстримизм'!$30:$38,'6.Экстримизм'!$44:$49,'6.Экстримизм'!$65:$67,'6.Экстримизм'!$71:$76,'6.Экстримизм'!$86:$88,'6.Экстримизм'!$95:$97</definedName>
    <definedName name="Z_67F37135_922C_4F1A_88E3_D221FC606A22_.wvu.FilterData" localSheetId="1" hidden="1">'1.СЗН'!$A$1:$AF$63</definedName>
    <definedName name="Z_69DABE6F_6182_4403_A4A2_969F10F1C13A_.wvu.Cols" localSheetId="16" hidden="1">'13.МП РЖС'!$AG:$AG</definedName>
    <definedName name="Z_69DABE6F_6182_4403_A4A2_969F10F1C13A_.wvu.FilterData" localSheetId="1" hidden="1">'1.СЗН'!$A$1:$AF$63</definedName>
    <definedName name="Z_69DABE6F_6182_4403_A4A2_969F10F1C13A_.wvu.FilterData" localSheetId="13" hidden="1">'11.МП РО'!$A$4:$A$380</definedName>
    <definedName name="Z_69DABE6F_6182_4403_A4A2_969F10F1C13A_.wvu.FilterData" localSheetId="2" hidden="1">'2.АПК'!$A$1:$AF$36</definedName>
    <definedName name="Z_69DABE6F_6182_4403_A4A2_969F10F1C13A_.wvu.FilterData" localSheetId="3" hidden="1">'3.БЖД'!$A$1:$AF$17</definedName>
    <definedName name="Z_69DABE6F_6182_4403_A4A2_969F10F1C13A_.wvu.FilterData" localSheetId="4" hidden="1">'4.УМИ'!$A$1:$AF$11</definedName>
    <definedName name="Z_69DABE6F_6182_4403_A4A2_969F10F1C13A_.wvu.FilterData" localSheetId="5" hidden="1">'5.Проф. прав.'!$A$1:$AF$12</definedName>
    <definedName name="Z_69DABE6F_6182_4403_A4A2_969F10F1C13A_.wvu.FilterData" localSheetId="6" hidden="1">'6.Экстримизм'!$A$1:$AF$11</definedName>
    <definedName name="Z_69DABE6F_6182_4403_A4A2_969F10F1C13A_.wvu.Rows" localSheetId="1" hidden="1">'1.СЗН'!$69:$73</definedName>
    <definedName name="Z_69DABE6F_6182_4403_A4A2_969F10F1C13A_.wvu.Rows" localSheetId="16" hidden="1">'13.МП РЖС'!$122:$127</definedName>
    <definedName name="Z_69DABE6F_6182_4403_A4A2_969F10F1C13A_.wvu.Rows" localSheetId="6" hidden="1">'6.Экстримизм'!$9:$23,'6.Экстримизм'!$30:$38,'6.Экстримизм'!$44:$49,'6.Экстримизм'!$65:$67,'6.Экстримизм'!$71:$76,'6.Экстримизм'!$86:$88,'6.Экстримизм'!$95:$97</definedName>
    <definedName name="Z_6A602CB8_B24C_4ED4_B378_B27354BE0A1A_.wvu.Cols" localSheetId="16" hidden="1">'13.МП РЖС'!$AG:$AG</definedName>
    <definedName name="Z_6A602CB8_B24C_4ED4_B378_B27354BE0A1A_.wvu.FilterData" localSheetId="1" hidden="1">'1.СЗН'!$A$1:$AF$63</definedName>
    <definedName name="Z_6A602CB8_B24C_4ED4_B378_B27354BE0A1A_.wvu.FilterData" localSheetId="13" hidden="1">'11.МП РО'!$A$4:$A$380</definedName>
    <definedName name="Z_6A602CB8_B24C_4ED4_B378_B27354BE0A1A_.wvu.FilterData" localSheetId="2" hidden="1">'2.АПК'!$A$1:$AF$36</definedName>
    <definedName name="Z_6A602CB8_B24C_4ED4_B378_B27354BE0A1A_.wvu.FilterData" localSheetId="3" hidden="1">'3.БЖД'!$A$1:$AF$17</definedName>
    <definedName name="Z_6A602CB8_B24C_4ED4_B378_B27354BE0A1A_.wvu.FilterData" localSheetId="4" hidden="1">'4.УМИ'!$A$1:$AF$11</definedName>
    <definedName name="Z_6A602CB8_B24C_4ED4_B378_B27354BE0A1A_.wvu.FilterData" localSheetId="5" hidden="1">'5.Проф. прав.'!$A$1:$AF$12</definedName>
    <definedName name="Z_6A602CB8_B24C_4ED4_B378_B27354BE0A1A_.wvu.FilterData" localSheetId="6" hidden="1">'6.Экстримизм'!$A$1:$AF$11</definedName>
    <definedName name="Z_6A602CB8_B24C_4ED4_B378_B27354BE0A1A_.wvu.Rows" localSheetId="1" hidden="1">'1.СЗН'!$69:$73</definedName>
    <definedName name="Z_6A602CB8_B24C_4ED4_B378_B27354BE0A1A_.wvu.Rows" localSheetId="16" hidden="1">'13.МП РЖС'!$122:$127</definedName>
    <definedName name="Z_6A602CB8_B24C_4ED4_B378_B27354BE0A1A_.wvu.Rows" localSheetId="6" hidden="1">'6.Экстримизм'!$9:$23,'6.Экстримизм'!$30:$38,'6.Экстримизм'!$44:$49,'6.Экстримизм'!$65:$67,'6.Экстримизм'!$71:$76,'6.Экстримизм'!$86:$88,'6.Экстримизм'!$95:$97</definedName>
    <definedName name="Z_7399FF56_0BD1_4279_8999_2C7364E6813B_.wvu.FilterData" localSheetId="5" hidden="1">'5.Проф. прав.'!$A$1:$AF$12</definedName>
    <definedName name="Z_74870EE6_26B9_40F7_9DC9_260EF16D8959_.wvu.Cols" localSheetId="16" hidden="1">'13.МП РЖС'!$AG:$AG</definedName>
    <definedName name="Z_74870EE6_26B9_40F7_9DC9_260EF16D8959_.wvu.FilterData" localSheetId="1" hidden="1">'1.СЗН'!$A$1:$AF$63</definedName>
    <definedName name="Z_74870EE6_26B9_40F7_9DC9_260EF16D8959_.wvu.FilterData" localSheetId="13" hidden="1">'11.МП РО'!$A$4:$A$380</definedName>
    <definedName name="Z_74870EE6_26B9_40F7_9DC9_260EF16D8959_.wvu.FilterData" localSheetId="2" hidden="1">'2.АПК'!$A$1:$AF$36</definedName>
    <definedName name="Z_74870EE6_26B9_40F7_9DC9_260EF16D8959_.wvu.FilterData" localSheetId="3" hidden="1">'3.БЖД'!$A$1:$AF$17</definedName>
    <definedName name="Z_74870EE6_26B9_40F7_9DC9_260EF16D8959_.wvu.FilterData" localSheetId="4" hidden="1">'4.УМИ'!$A$1:$AF$11</definedName>
    <definedName name="Z_74870EE6_26B9_40F7_9DC9_260EF16D8959_.wvu.FilterData" localSheetId="5" hidden="1">'5.Проф. прав.'!$A$1:$AF$12</definedName>
    <definedName name="Z_74870EE6_26B9_40F7_9DC9_260EF16D8959_.wvu.FilterData" localSheetId="6" hidden="1">'6.Экстримизм'!$A$1:$AF$11</definedName>
    <definedName name="Z_74870EE6_26B9_40F7_9DC9_260EF16D8959_.wvu.Rows" localSheetId="1" hidden="1">'1.СЗН'!$69:$73</definedName>
    <definedName name="Z_74870EE6_26B9_40F7_9DC9_260EF16D8959_.wvu.Rows" localSheetId="16" hidden="1">'13.МП РЖС'!$122:$127</definedName>
    <definedName name="Z_74870EE6_26B9_40F7_9DC9_260EF16D8959_.wvu.Rows" localSheetId="6" hidden="1">'6.Экстримизм'!$9:$23,'6.Экстримизм'!$30:$38,'6.Экстримизм'!$44:$49,'6.Экстримизм'!$65:$67,'6.Экстримизм'!$71:$76,'6.Экстримизм'!$86:$88,'6.Экстримизм'!$95:$97</definedName>
    <definedName name="Z_76A2FC6A_9BE3_44D7_9733_B985F812D16C_.wvu.FilterData" localSheetId="6" hidden="1">'6.Экстримизм'!$A$1:$AF$11</definedName>
    <definedName name="Z_770624BF_07F3_44B6_94C3_4CC447CDD45C_.wvu.Cols" localSheetId="16" hidden="1">'13.МП РЖС'!$AG:$AG</definedName>
    <definedName name="Z_770624BF_07F3_44B6_94C3_4CC447CDD45C_.wvu.FilterData" localSheetId="1" hidden="1">'1.СЗН'!$A$1:$AF$63</definedName>
    <definedName name="Z_770624BF_07F3_44B6_94C3_4CC447CDD45C_.wvu.FilterData" localSheetId="2" hidden="1">'2.АПК'!$A$1:$AF$36</definedName>
    <definedName name="Z_770624BF_07F3_44B6_94C3_4CC447CDD45C_.wvu.FilterData" localSheetId="3" hidden="1">'3.БЖД'!$A$1:$AF$17</definedName>
    <definedName name="Z_770624BF_07F3_44B6_94C3_4CC447CDD45C_.wvu.FilterData" localSheetId="4" hidden="1">'4.УМИ'!$A$1:$AF$11</definedName>
    <definedName name="Z_770624BF_07F3_44B6_94C3_4CC447CDD45C_.wvu.FilterData" localSheetId="5" hidden="1">'5.Проф. прав.'!$A$1:$AF$12</definedName>
    <definedName name="Z_770624BF_07F3_44B6_94C3_4CC447CDD45C_.wvu.FilterData" localSheetId="6" hidden="1">'6.Экстримизм'!$A$1:$AF$11</definedName>
    <definedName name="Z_770624BF_07F3_44B6_94C3_4CC447CDD45C_.wvu.Rows" localSheetId="1" hidden="1">'1.СЗН'!$69:$73</definedName>
    <definedName name="Z_770624BF_07F3_44B6_94C3_4CC447CDD45C_.wvu.Rows" localSheetId="16" hidden="1">'13.МП РЖС'!$122:$127</definedName>
    <definedName name="Z_770624BF_07F3_44B6_94C3_4CC447CDD45C_.wvu.Rows" localSheetId="6" hidden="1">'6.Экстримизм'!$9:$23,'6.Экстримизм'!$30:$38,'6.Экстримизм'!$44:$49,'6.Экстримизм'!$65:$67,'6.Экстримизм'!$71:$76,'6.Экстримизм'!$86:$88,'6.Экстримизм'!$95:$97</definedName>
    <definedName name="Z_7C130984_112A_4861_AA43_E2940708E3DC_.wvu.Cols" localSheetId="16" hidden="1">'13.МП РЖС'!$AG:$AG</definedName>
    <definedName name="Z_7C130984_112A_4861_AA43_E2940708E3DC_.wvu.FilterData" localSheetId="1" hidden="1">'1.СЗН'!$A$1:$AF$63</definedName>
    <definedName name="Z_7C130984_112A_4861_AA43_E2940708E3DC_.wvu.FilterData" localSheetId="13" hidden="1">'11.МП РО'!$A$4:$A$380</definedName>
    <definedName name="Z_7C130984_112A_4861_AA43_E2940708E3DC_.wvu.FilterData" localSheetId="2" hidden="1">'2.АПК'!$A$1:$AF$36</definedName>
    <definedName name="Z_7C130984_112A_4861_AA43_E2940708E3DC_.wvu.FilterData" localSheetId="3" hidden="1">'3.БЖД'!$A$1:$AF$17</definedName>
    <definedName name="Z_7C130984_112A_4861_AA43_E2940708E3DC_.wvu.FilterData" localSheetId="4" hidden="1">'4.УМИ'!$A$1:$AF$11</definedName>
    <definedName name="Z_7C130984_112A_4861_AA43_E2940708E3DC_.wvu.FilterData" localSheetId="5" hidden="1">'5.Проф. прав.'!$A$1:$AF$12</definedName>
    <definedName name="Z_7C130984_112A_4861_AA43_E2940708E3DC_.wvu.FilterData" localSheetId="6" hidden="1">'6.Экстримизм'!$A$1:$AF$11</definedName>
    <definedName name="Z_7C130984_112A_4861_AA43_E2940708E3DC_.wvu.Rows" localSheetId="1" hidden="1">'1.СЗН'!$69:$73</definedName>
    <definedName name="Z_7C130984_112A_4861_AA43_E2940708E3DC_.wvu.Rows" localSheetId="16" hidden="1">'13.МП РЖС'!$122:$127</definedName>
    <definedName name="Z_7C130984_112A_4861_AA43_E2940708E3DC_.wvu.Rows" localSheetId="6" hidden="1">'6.Экстримизм'!$9:$23,'6.Экстримизм'!$30:$38,'6.Экстримизм'!$44:$49,'6.Экстримизм'!$65:$67,'6.Экстримизм'!$71:$76,'6.Экстримизм'!$86:$88,'6.Экстримизм'!$95:$97</definedName>
    <definedName name="Z_7CD24FD2_07C9_4FAA_B21A_20D64BFE57D0_.wvu.FilterData" localSheetId="13" hidden="1">'11.МП РО'!$A$4:$A$380</definedName>
    <definedName name="Z_7CD24FD2_07C9_4FAA_B21A_20D64BFE57D0_.wvu.FilterData" localSheetId="4" hidden="1">'4.УМИ'!$A$1:$AF$11</definedName>
    <definedName name="Z_7D151C70_775E_4CD8_97D9_12DE8F888BBD_.wvu.FilterData" localSheetId="2" hidden="1">'2.АПК'!$A$1:$AF$36</definedName>
    <definedName name="Z_7D151C70_775E_4CD8_97D9_12DE8F888BBD_.wvu.FilterData" localSheetId="4" hidden="1">'4.УМИ'!$A$1:$AF$11</definedName>
    <definedName name="Z_81BBD094_3984_45D0_AF10_227C246C3771_.wvu.FilterData" localSheetId="5" hidden="1">'5.Проф. прав.'!$A$1:$AF$12</definedName>
    <definedName name="Z_84867370_1F3E_4368_AF79_FBCE46FFFE92_.wvu.Cols" localSheetId="16" hidden="1">'13.МП РЖС'!$AG:$AG</definedName>
    <definedName name="Z_84867370_1F3E_4368_AF79_FBCE46FFFE92_.wvu.FilterData" localSheetId="1" hidden="1">'1.СЗН'!$A$1:$AF$63</definedName>
    <definedName name="Z_84867370_1F3E_4368_AF79_FBCE46FFFE92_.wvu.FilterData" localSheetId="13" hidden="1">'11.МП РО'!$A$4:$A$380</definedName>
    <definedName name="Z_84867370_1F3E_4368_AF79_FBCE46FFFE92_.wvu.FilterData" localSheetId="2" hidden="1">'2.АПК'!$A$1:$AF$36</definedName>
    <definedName name="Z_84867370_1F3E_4368_AF79_FBCE46FFFE92_.wvu.FilterData" localSheetId="3" hidden="1">'3.БЖД'!$A$1:$AF$17</definedName>
    <definedName name="Z_84867370_1F3E_4368_AF79_FBCE46FFFE92_.wvu.FilterData" localSheetId="4" hidden="1">'4.УМИ'!$A$1:$AF$11</definedName>
    <definedName name="Z_84867370_1F3E_4368_AF79_FBCE46FFFE92_.wvu.FilterData" localSheetId="5" hidden="1">'5.Проф. прав.'!$A$1:$AF$12</definedName>
    <definedName name="Z_84867370_1F3E_4368_AF79_FBCE46FFFE92_.wvu.FilterData" localSheetId="6" hidden="1">'6.Экстримизм'!$A$1:$AF$11</definedName>
    <definedName name="Z_84867370_1F3E_4368_AF79_FBCE46FFFE92_.wvu.Rows" localSheetId="1" hidden="1">'1.СЗН'!$69:$73</definedName>
    <definedName name="Z_84867370_1F3E_4368_AF79_FBCE46FFFE92_.wvu.Rows" localSheetId="16" hidden="1">'13.МП РЖС'!$122:$127</definedName>
    <definedName name="Z_84867370_1F3E_4368_AF79_FBCE46FFFE92_.wvu.Rows" localSheetId="6" hidden="1">'6.Экстримизм'!$9:$23,'6.Экстримизм'!$30:$38,'6.Экстримизм'!$44:$49,'6.Экстримизм'!$65:$67,'6.Экстримизм'!$71:$76,'6.Экстримизм'!$86:$88,'6.Экстримизм'!$95:$97</definedName>
    <definedName name="Z_85F4575B_DBC5_482A_9916_255D8F0BC94E_.wvu.Cols" localSheetId="16" hidden="1">'13.МП РЖС'!$AG:$AG</definedName>
    <definedName name="Z_85F4575B_DBC5_482A_9916_255D8F0BC94E_.wvu.FilterData" localSheetId="1" hidden="1">'1.СЗН'!$A$1:$AF$63</definedName>
    <definedName name="Z_85F4575B_DBC5_482A_9916_255D8F0BC94E_.wvu.FilterData" localSheetId="2" hidden="1">'2.АПК'!$A$1:$AF$36</definedName>
    <definedName name="Z_85F4575B_DBC5_482A_9916_255D8F0BC94E_.wvu.FilterData" localSheetId="3" hidden="1">'3.БЖД'!$A$1:$AF$17</definedName>
    <definedName name="Z_85F4575B_DBC5_482A_9916_255D8F0BC94E_.wvu.FilterData" localSheetId="4" hidden="1">'4.УМИ'!$A$1:$AF$11</definedName>
    <definedName name="Z_85F4575B_DBC5_482A_9916_255D8F0BC94E_.wvu.FilterData" localSheetId="5" hidden="1">'5.Проф. прав.'!$A$1:$AF$12</definedName>
    <definedName name="Z_85F4575B_DBC5_482A_9916_255D8F0BC94E_.wvu.FilterData" localSheetId="6" hidden="1">'6.Экстримизм'!$A$1:$AF$11</definedName>
    <definedName name="Z_85F4575B_DBC5_482A_9916_255D8F0BC94E_.wvu.Rows" localSheetId="1" hidden="1">'1.СЗН'!$69:$73</definedName>
    <definedName name="Z_85F4575B_DBC5_482A_9916_255D8F0BC94E_.wvu.Rows" localSheetId="16" hidden="1">'13.МП РЖС'!$122:$127</definedName>
    <definedName name="Z_85F4575B_DBC5_482A_9916_255D8F0BC94E_.wvu.Rows" localSheetId="6" hidden="1">'6.Экстримизм'!$9:$23,'6.Экстримизм'!$30:$38,'6.Экстримизм'!$44:$49,'6.Экстримизм'!$65:$67,'6.Экстримизм'!$71:$76,'6.Экстримизм'!$86:$88,'6.Экстримизм'!$95:$97</definedName>
    <definedName name="Z_87218168_6C8E_4D5B_A5E5_DCCC26803AA3_.wvu.Cols" localSheetId="16" hidden="1">'13.МП РЖС'!$AG:$AG</definedName>
    <definedName name="Z_87218168_6C8E_4D5B_A5E5_DCCC26803AA3_.wvu.FilterData" localSheetId="1" hidden="1">'1.СЗН'!$A$1:$AF$63</definedName>
    <definedName name="Z_87218168_6C8E_4D5B_A5E5_DCCC26803AA3_.wvu.FilterData" localSheetId="13" hidden="1">'11.МП РО'!$A$4:$A$380</definedName>
    <definedName name="Z_87218168_6C8E_4D5B_A5E5_DCCC26803AA3_.wvu.FilterData" localSheetId="2" hidden="1">'2.АПК'!$A$1:$AF$36</definedName>
    <definedName name="Z_87218168_6C8E_4D5B_A5E5_DCCC26803AA3_.wvu.FilterData" localSheetId="3" hidden="1">'3.БЖД'!$A$1:$AF$17</definedName>
    <definedName name="Z_87218168_6C8E_4D5B_A5E5_DCCC26803AA3_.wvu.FilterData" localSheetId="4" hidden="1">'4.УМИ'!$A$1:$AF$11</definedName>
    <definedName name="Z_87218168_6C8E_4D5B_A5E5_DCCC26803AA3_.wvu.FilterData" localSheetId="5" hidden="1">'5.Проф. прав.'!$A$1:$AF$12</definedName>
    <definedName name="Z_87218168_6C8E_4D5B_A5E5_DCCC26803AA3_.wvu.FilterData" localSheetId="6" hidden="1">'6.Экстримизм'!$A$1:$AF$11</definedName>
    <definedName name="Z_87218168_6C8E_4D5B_A5E5_DCCC26803AA3_.wvu.Rows" localSheetId="1" hidden="1">'1.СЗН'!$69:$73</definedName>
    <definedName name="Z_87218168_6C8E_4D5B_A5E5_DCCC26803AA3_.wvu.Rows" localSheetId="16" hidden="1">'13.МП РЖС'!$122:$127</definedName>
    <definedName name="Z_87218168_6C8E_4D5B_A5E5_DCCC26803AA3_.wvu.Rows" localSheetId="6" hidden="1">'6.Экстримизм'!$9:$23,'6.Экстримизм'!$30:$38,'6.Экстримизм'!$44:$49,'6.Экстримизм'!$65:$67,'6.Экстримизм'!$71:$76,'6.Экстримизм'!$86:$88,'6.Экстримизм'!$95:$97</definedName>
    <definedName name="Z_874882D1_E741_4CCA_BF0D_E72FA60B771D_.wvu.FilterData" localSheetId="1" hidden="1">'1.СЗН'!$A$1:$AF$63</definedName>
    <definedName name="Z_874882D1_E741_4CCA_BF0D_E72FA60B771D_.wvu.FilterData" localSheetId="2" hidden="1">'2.АПК'!$A$1:$AF$36</definedName>
    <definedName name="Z_874882D1_E741_4CCA_BF0D_E72FA60B771D_.wvu.FilterData" localSheetId="3" hidden="1">'3.БЖД'!$A$1:$AF$17</definedName>
    <definedName name="Z_874882D1_E741_4CCA_BF0D_E72FA60B771D_.wvu.FilterData" localSheetId="4" hidden="1">'4.УМИ'!$A$1:$AF$11</definedName>
    <definedName name="Z_874882D1_E741_4CCA_BF0D_E72FA60B771D_.wvu.FilterData" localSheetId="5" hidden="1">'5.Проф. прав.'!$A$1:$AF$12</definedName>
    <definedName name="Z_874882D1_E741_4CCA_BF0D_E72FA60B771D_.wvu.FilterData" localSheetId="6" hidden="1">'6.Экстримизм'!$A$1:$AF$11</definedName>
    <definedName name="Z_874882D1_E741_4CCA_BF0D_E72FA60B771D_.wvu.Rows" localSheetId="1" hidden="1">'1.СЗН'!$69:$73</definedName>
    <definedName name="Z_8795A258_FFD6_43A8_BF42_860FF53ACE92_.wvu.FilterData" localSheetId="4" hidden="1">'4.УМИ'!$A$1:$AF$11</definedName>
    <definedName name="Z_93497ED3_E346_43BF_A10F_56A5EA743183_.wvu.FilterData" localSheetId="3" hidden="1">'3.БЖД'!$A$1:$AF$17</definedName>
    <definedName name="Z_93497ED3_E346_43BF_A10F_56A5EA743183_.wvu.FilterData" localSheetId="4" hidden="1">'4.УМИ'!$A$1:$AF$11</definedName>
    <definedName name="Z_959E901C_5DDE_42EE_AE94_AB8976B5E00B_.wvu.Cols" localSheetId="16" hidden="1">'13.МП РЖС'!$AG:$AG</definedName>
    <definedName name="Z_959E901C_5DDE_42EE_AE94_AB8976B5E00B_.wvu.FilterData" localSheetId="1" hidden="1">'1.СЗН'!$A$1:$AF$63</definedName>
    <definedName name="Z_959E901C_5DDE_42EE_AE94_AB8976B5E00B_.wvu.FilterData" localSheetId="2" hidden="1">'2.АПК'!$A$1:$AF$36</definedName>
    <definedName name="Z_959E901C_5DDE_42EE_AE94_AB8976B5E00B_.wvu.FilterData" localSheetId="3" hidden="1">'3.БЖД'!$A$1:$AF$17</definedName>
    <definedName name="Z_959E901C_5DDE_42EE_AE94_AB8976B5E00B_.wvu.FilterData" localSheetId="4" hidden="1">'4.УМИ'!$A$1:$AF$11</definedName>
    <definedName name="Z_959E901C_5DDE_42EE_AE94_AB8976B5E00B_.wvu.FilterData" localSheetId="5" hidden="1">'5.Проф. прав.'!$A$1:$AF$12</definedName>
    <definedName name="Z_959E901C_5DDE_42EE_AE94_AB8976B5E00B_.wvu.FilterData" localSheetId="6" hidden="1">'6.Экстримизм'!$A$1:$AF$11</definedName>
    <definedName name="Z_959E901C_5DDE_42EE_AE94_AB8976B5E00B_.wvu.Rows" localSheetId="1" hidden="1">'1.СЗН'!$69:$73</definedName>
    <definedName name="Z_959E901C_5DDE_42EE_AE94_AB8976B5E00B_.wvu.Rows" localSheetId="16" hidden="1">'13.МП РЖС'!$122:$127</definedName>
    <definedName name="Z_959E901C_5DDE_42EE_AE94_AB8976B5E00B_.wvu.Rows" localSheetId="6" hidden="1">'6.Экстримизм'!$9:$23,'6.Экстримизм'!$30:$38,'6.Экстримизм'!$44:$49,'6.Экстримизм'!$65:$67,'6.Экстримизм'!$71:$76,'6.Экстримизм'!$86:$88,'6.Экстримизм'!$95:$97</definedName>
    <definedName name="Z_96AAD949_FBDB_412F_ABD0_257B4F6B6642_.wvu.FilterData" localSheetId="3" hidden="1">'3.БЖД'!$A$1:$AF$17</definedName>
    <definedName name="Z_98850856_C09C_4036_9D8B_A5D35155891B_.wvu.FilterData" localSheetId="4" hidden="1">'4.УМИ'!$A$1:$AF$11</definedName>
    <definedName name="Z_9CA8AEDB_B446_4A7E_A5FF_3D96A2FCF0E9_.wvu.FilterData" localSheetId="1" hidden="1">'1.СЗН'!$A$1:$AF$63</definedName>
    <definedName name="Z_A8E27B0B_C059_4079_998C_DCFA718098A6_.wvu.FilterData" localSheetId="1" hidden="1">'1.СЗН'!$A$1:$AF$63</definedName>
    <definedName name="Z_A915DEAF_56CE_41F9_A2A7_4514A4E594A1_.wvu.FilterData" localSheetId="6" hidden="1">'6.Экстримизм'!$A$1:$AF$11</definedName>
    <definedName name="Z_AC2D5927_4079_4C74_AF69_1BFAC505648F_.wvu.Cols" localSheetId="16" hidden="1">'13.МП РЖС'!$AG:$AG</definedName>
    <definedName name="Z_AC2D5927_4079_4C74_AF69_1BFAC505648F_.wvu.FilterData" localSheetId="1" hidden="1">'1.СЗН'!$A$1:$AF$63</definedName>
    <definedName name="Z_AC2D5927_4079_4C74_AF69_1BFAC505648F_.wvu.FilterData" localSheetId="13" hidden="1">'11.МП РО'!$A$4:$A$380</definedName>
    <definedName name="Z_AC2D5927_4079_4C74_AF69_1BFAC505648F_.wvu.FilterData" localSheetId="2" hidden="1">'2.АПК'!$A$1:$AF$36</definedName>
    <definedName name="Z_AC2D5927_4079_4C74_AF69_1BFAC505648F_.wvu.FilterData" localSheetId="3" hidden="1">'3.БЖД'!$A$1:$AF$17</definedName>
    <definedName name="Z_AC2D5927_4079_4C74_AF69_1BFAC505648F_.wvu.FilterData" localSheetId="4" hidden="1">'4.УМИ'!$A$1:$AF$11</definedName>
    <definedName name="Z_AC2D5927_4079_4C74_AF69_1BFAC505648F_.wvu.FilterData" localSheetId="5" hidden="1">'5.Проф. прав.'!$A$1:$AF$12</definedName>
    <definedName name="Z_AC2D5927_4079_4C74_AF69_1BFAC505648F_.wvu.FilterData" localSheetId="6" hidden="1">'6.Экстримизм'!$A$1:$AF$11</definedName>
    <definedName name="Z_AC2D5927_4079_4C74_AF69_1BFAC505648F_.wvu.Rows" localSheetId="1" hidden="1">'1.СЗН'!$69:$73</definedName>
    <definedName name="Z_AC2D5927_4079_4C74_AF69_1BFAC505648F_.wvu.Rows" localSheetId="16" hidden="1">'13.МП РЖС'!$122:$127</definedName>
    <definedName name="Z_AC2D5927_4079_4C74_AF69_1BFAC505648F_.wvu.Rows" localSheetId="6" hidden="1">'6.Экстримизм'!$9:$23,'6.Экстримизм'!$30:$38,'6.Экстримизм'!$44:$49,'6.Экстримизм'!$65:$67,'6.Экстримизм'!$71:$76,'6.Экстримизм'!$86:$88,'6.Экстримизм'!$95:$97</definedName>
    <definedName name="Z_B05A9EE8_9269_4880_AD7F_693A0DFDCC46_.wvu.FilterData" localSheetId="5" hidden="1">'5.Проф. прав.'!$A$1:$AF$12</definedName>
    <definedName name="Z_B0704FAE_98CF_466B_8A65_A7DDE99AEB1D_.wvu.FilterData" localSheetId="5" hidden="1">'5.Проф. прав.'!$A$1:$AF$12</definedName>
    <definedName name="Z_B1BF08D1_D416_4B47_ADD0_4F59132DC9E8_.wvu.Cols" localSheetId="16" hidden="1">'13.МП РЖС'!$AG:$AG</definedName>
    <definedName name="Z_B1BF08D1_D416_4B47_ADD0_4F59132DC9E8_.wvu.FilterData" localSheetId="1" hidden="1">'1.СЗН'!$A$1:$AF$63</definedName>
    <definedName name="Z_B1BF08D1_D416_4B47_ADD0_4F59132DC9E8_.wvu.FilterData" localSheetId="2" hidden="1">'2.АПК'!$A$1:$AF$36</definedName>
    <definedName name="Z_B1BF08D1_D416_4B47_ADD0_4F59132DC9E8_.wvu.FilterData" localSheetId="3" hidden="1">'3.БЖД'!$A$1:$AF$17</definedName>
    <definedName name="Z_B1BF08D1_D416_4B47_ADD0_4F59132DC9E8_.wvu.FilterData" localSheetId="4" hidden="1">'4.УМИ'!$A$1:$AF$11</definedName>
    <definedName name="Z_B1BF08D1_D416_4B47_ADD0_4F59132DC9E8_.wvu.FilterData" localSheetId="5" hidden="1">'5.Проф. прав.'!$A$1:$AF$12</definedName>
    <definedName name="Z_B1BF08D1_D416_4B47_ADD0_4F59132DC9E8_.wvu.FilterData" localSheetId="6" hidden="1">'6.Экстримизм'!$A$1:$AF$11</definedName>
    <definedName name="Z_B1BF08D1_D416_4B47_ADD0_4F59132DC9E8_.wvu.Rows" localSheetId="1" hidden="1">'1.СЗН'!$69:$73</definedName>
    <definedName name="Z_B1BF08D1_D416_4B47_ADD0_4F59132DC9E8_.wvu.Rows" localSheetId="16" hidden="1">'13.МП РЖС'!$122:$127</definedName>
    <definedName name="Z_B1BF08D1_D416_4B47_ADD0_4F59132DC9E8_.wvu.Rows" localSheetId="6" hidden="1">'6.Экстримизм'!$9:$23,'6.Экстримизм'!$30:$38,'6.Экстримизм'!$44:$49,'6.Экстримизм'!$65:$67,'6.Экстримизм'!$71:$76,'6.Экстримизм'!$86:$88,'6.Экстримизм'!$95:$97</definedName>
    <definedName name="Z_B82BA08A_1A30_4F4D_A478_74A6BD09EA97_.wvu.FilterData" localSheetId="1" hidden="1">'1.СЗН'!$A$1:$AF$63</definedName>
    <definedName name="Z_B82BA08A_1A30_4F4D_A478_74A6BD09EA97_.wvu.FilterData" localSheetId="2" hidden="1">'2.АПК'!$A$1:$AF$36</definedName>
    <definedName name="Z_B82BA08A_1A30_4F4D_A478_74A6BD09EA97_.wvu.FilterData" localSheetId="3" hidden="1">'3.БЖД'!$A$1:$AF$17</definedName>
    <definedName name="Z_B82BA08A_1A30_4F4D_A478_74A6BD09EA97_.wvu.FilterData" localSheetId="4" hidden="1">'4.УМИ'!$A$1:$AF$11</definedName>
    <definedName name="Z_B82BA08A_1A30_4F4D_A478_74A6BD09EA97_.wvu.FilterData" localSheetId="5" hidden="1">'5.Проф. прав.'!$A$1:$AF$12</definedName>
    <definedName name="Z_B82BA08A_1A30_4F4D_A478_74A6BD09EA97_.wvu.FilterData" localSheetId="6" hidden="1">'6.Экстримизм'!$A$1:$AF$11</definedName>
    <definedName name="Z_B82BA08A_1A30_4F4D_A478_74A6BD09EA97_.wvu.Rows" localSheetId="1" hidden="1">'1.СЗН'!$69:$73</definedName>
    <definedName name="Z_B82BA08A_1A30_4F4D_A478_74A6BD09EA97_.wvu.Rows" localSheetId="6" hidden="1">'6.Экстримизм'!$9:$23,'6.Экстримизм'!$30:$38,'6.Экстримизм'!$44:$49,'6.Экстримизм'!$65:$67,'6.Экстримизм'!$71:$76,'6.Экстримизм'!$86:$88,'6.Экстримизм'!$95:$97</definedName>
    <definedName name="Z_BBEF1F7B_D9AB_4581_A2C3_2714FC8B8087_.wvu.FilterData" localSheetId="1" hidden="1">'1.СЗН'!$A$1:$AF$63</definedName>
    <definedName name="Z_BCD82A82_B724_4763_8580_D765356E09BA_.wvu.FilterData" localSheetId="1" hidden="1">'1.СЗН'!$A$1:$AF$63</definedName>
    <definedName name="Z_BCD82A82_B724_4763_8580_D765356E09BA_.wvu.FilterData" localSheetId="2" hidden="1">'2.АПК'!$A$1:$AF$36</definedName>
    <definedName name="Z_BCD82A82_B724_4763_8580_D765356E09BA_.wvu.FilterData" localSheetId="3" hidden="1">'3.БЖД'!$A$1:$AF$17</definedName>
    <definedName name="Z_BCD82A82_B724_4763_8580_D765356E09BA_.wvu.FilterData" localSheetId="4" hidden="1">'4.УМИ'!$A$1:$AF$11</definedName>
    <definedName name="Z_BCD82A82_B724_4763_8580_D765356E09BA_.wvu.FilterData" localSheetId="5" hidden="1">'5.Проф. прав.'!$A$1:$AF$12</definedName>
    <definedName name="Z_BCD82A82_B724_4763_8580_D765356E09BA_.wvu.FilterData" localSheetId="6" hidden="1">'6.Экстримизм'!$A$1:$AF$11</definedName>
    <definedName name="Z_BFB65469_8A67_4736_8DC0_83D872D88103_.wvu.FilterData" localSheetId="5" hidden="1">'5.Проф. прав.'!$A$1:$AF$12</definedName>
    <definedName name="Z_C1161D56_B3D2_40B4_B546_1FC5139DD261_.wvu.FilterData" localSheetId="2" hidden="1">'2.АПК'!$A$1:$AF$36</definedName>
    <definedName name="Z_C236B307_BD63_48C4_A75F_B3F3717BF55C_.wvu.FilterData" localSheetId="1" hidden="1">'1.СЗН'!$A$1:$AF$63</definedName>
    <definedName name="Z_C236B307_BD63_48C4_A75F_B3F3717BF55C_.wvu.FilterData" localSheetId="2" hidden="1">'2.АПК'!$A$1:$AF$36</definedName>
    <definedName name="Z_C236B307_BD63_48C4_A75F_B3F3717BF55C_.wvu.FilterData" localSheetId="3" hidden="1">'3.БЖД'!$A$1:$AF$17</definedName>
    <definedName name="Z_C236B307_BD63_48C4_A75F_B3F3717BF55C_.wvu.FilterData" localSheetId="4" hidden="1">'4.УМИ'!$A$1:$AF$11</definedName>
    <definedName name="Z_C236B307_BD63_48C4_A75F_B3F3717BF55C_.wvu.FilterData" localSheetId="5" hidden="1">'5.Проф. прав.'!$A$1:$AF$12</definedName>
    <definedName name="Z_C236B307_BD63_48C4_A75F_B3F3717BF55C_.wvu.FilterData" localSheetId="6" hidden="1">'6.Экстримизм'!$A$1:$AF$11</definedName>
    <definedName name="Z_C236B307_BD63_48C4_A75F_B3F3717BF55C_.wvu.Rows" localSheetId="1" hidden="1">'1.СЗН'!$69:$73</definedName>
    <definedName name="Z_CA2BE1F2_B913_4CFF_9E8E_4555FD2D2B7E_.wvu.FilterData" localSheetId="4" hidden="1">'4.УМИ'!$A$1:$AF$11</definedName>
    <definedName name="Z_CBFBCA7F_56FD_45D6_9519_98FF92DE6720_.wvu.FilterData" localSheetId="3" hidden="1">'3.БЖД'!$A$1:$AF$17</definedName>
    <definedName name="Z_CE1CCA00_200D_4EAA_9FBE_F8EE7C5F82FE_.wvu.Cols" localSheetId="16" hidden="1">'13.МП РЖС'!$AG:$AG</definedName>
    <definedName name="Z_CE1CCA00_200D_4EAA_9FBE_F8EE7C5F82FE_.wvu.FilterData" localSheetId="1" hidden="1">'1.СЗН'!$A$1:$AF$63</definedName>
    <definedName name="Z_CE1CCA00_200D_4EAA_9FBE_F8EE7C5F82FE_.wvu.FilterData" localSheetId="13" hidden="1">'11.МП РО'!$A$4:$A$380</definedName>
    <definedName name="Z_CE1CCA00_200D_4EAA_9FBE_F8EE7C5F82FE_.wvu.FilterData" localSheetId="2" hidden="1">'2.АПК'!$A$1:$AF$36</definedName>
    <definedName name="Z_CE1CCA00_200D_4EAA_9FBE_F8EE7C5F82FE_.wvu.FilterData" localSheetId="3" hidden="1">'3.БЖД'!$A$1:$AF$17</definedName>
    <definedName name="Z_CE1CCA00_200D_4EAA_9FBE_F8EE7C5F82FE_.wvu.FilterData" localSheetId="4" hidden="1">'4.УМИ'!$A$1:$AF$11</definedName>
    <definedName name="Z_CE1CCA00_200D_4EAA_9FBE_F8EE7C5F82FE_.wvu.FilterData" localSheetId="5" hidden="1">'5.Проф. прав.'!$A$1:$AF$12</definedName>
    <definedName name="Z_CE1CCA00_200D_4EAA_9FBE_F8EE7C5F82FE_.wvu.FilterData" localSheetId="6" hidden="1">'6.Экстримизм'!$A$1:$AF$11</definedName>
    <definedName name="Z_CE1CCA00_200D_4EAA_9FBE_F8EE7C5F82FE_.wvu.Rows" localSheetId="1" hidden="1">'1.СЗН'!$69:$73</definedName>
    <definedName name="Z_CE1CCA00_200D_4EAA_9FBE_F8EE7C5F82FE_.wvu.Rows" localSheetId="16" hidden="1">'13.МП РЖС'!$122:$127</definedName>
    <definedName name="Z_CE1CCA00_200D_4EAA_9FBE_F8EE7C5F82FE_.wvu.Rows" localSheetId="6" hidden="1">'6.Экстримизм'!$9:$23,'6.Экстримизм'!$30:$38,'6.Экстримизм'!$44:$49,'6.Экстримизм'!$65:$67,'6.Экстримизм'!$71:$76,'6.Экстримизм'!$86:$88,'6.Экстримизм'!$95:$97</definedName>
    <definedName name="Z_D01FA037_9AEC_4167_ADB8_2F327C01ECE6_.wvu.Cols" localSheetId="16" hidden="1">'13.МП РЖС'!$AG:$AG</definedName>
    <definedName name="Z_D01FA037_9AEC_4167_ADB8_2F327C01ECE6_.wvu.FilterData" localSheetId="1" hidden="1">'1.СЗН'!$A$1:$AF$63</definedName>
    <definedName name="Z_D01FA037_9AEC_4167_ADB8_2F327C01ECE6_.wvu.FilterData" localSheetId="13" hidden="1">'11.МП РО'!$A$4:$A$380</definedName>
    <definedName name="Z_D01FA037_9AEC_4167_ADB8_2F327C01ECE6_.wvu.FilterData" localSheetId="2" hidden="1">'2.АПК'!$A$1:$AF$36</definedName>
    <definedName name="Z_D01FA037_9AEC_4167_ADB8_2F327C01ECE6_.wvu.FilterData" localSheetId="3" hidden="1">'3.БЖД'!$A$1:$AF$17</definedName>
    <definedName name="Z_D01FA037_9AEC_4167_ADB8_2F327C01ECE6_.wvu.FilterData" localSheetId="4" hidden="1">'4.УМИ'!$A$1:$AF$11</definedName>
    <definedName name="Z_D01FA037_9AEC_4167_ADB8_2F327C01ECE6_.wvu.FilterData" localSheetId="5" hidden="1">'5.Проф. прав.'!$A$1:$AF$12</definedName>
    <definedName name="Z_D01FA037_9AEC_4167_ADB8_2F327C01ECE6_.wvu.FilterData" localSheetId="6" hidden="1">'6.Экстримизм'!$A$1:$AF$11</definedName>
    <definedName name="Z_D01FA037_9AEC_4167_ADB8_2F327C01ECE6_.wvu.Rows" localSheetId="1" hidden="1">'1.СЗН'!$69:$73</definedName>
    <definedName name="Z_D01FA037_9AEC_4167_ADB8_2F327C01ECE6_.wvu.Rows" localSheetId="16" hidden="1">'13.МП РЖС'!$122:$127</definedName>
    <definedName name="Z_D01FA037_9AEC_4167_ADB8_2F327C01ECE6_.wvu.Rows" localSheetId="6" hidden="1">'6.Экстримизм'!$9:$23,'6.Экстримизм'!$30:$38,'6.Экстримизм'!$44:$49,'6.Экстримизм'!$65:$67,'6.Экстримизм'!$71:$76,'6.Экстримизм'!$86:$88,'6.Экстримизм'!$95:$97</definedName>
    <definedName name="Z_D131C00F_9BDA_43A0_BF73_917985003D17_.wvu.FilterData" localSheetId="6" hidden="1">'6.Экстримизм'!$A$1:$AF$11</definedName>
    <definedName name="Z_D9C8C987_8580_4630_B25D_27B2C5F59692_.wvu.FilterData" localSheetId="2" hidden="1">'2.АПК'!$A$1:$AF$36</definedName>
    <definedName name="Z_DAA8A688_7558_4B5B_8DBD_E2629BD9E9A8_.wvu.Cols" localSheetId="16" hidden="1">'13.МП РЖС'!$AG:$AG</definedName>
    <definedName name="Z_DAA8A688_7558_4B5B_8DBD_E2629BD9E9A8_.wvu.FilterData" localSheetId="1" hidden="1">'1.СЗН'!$A$1:$AF$63</definedName>
    <definedName name="Z_DAA8A688_7558_4B5B_8DBD_E2629BD9E9A8_.wvu.FilterData" localSheetId="13" hidden="1">'11.МП РО'!$A$4:$A$380</definedName>
    <definedName name="Z_DAA8A688_7558_4B5B_8DBD_E2629BD9E9A8_.wvu.FilterData" localSheetId="2" hidden="1">'2.АПК'!$A$1:$AF$36</definedName>
    <definedName name="Z_DAA8A688_7558_4B5B_8DBD_E2629BD9E9A8_.wvu.FilterData" localSheetId="3" hidden="1">'3.БЖД'!$A$1:$AF$17</definedName>
    <definedName name="Z_DAA8A688_7558_4B5B_8DBD_E2629BD9E9A8_.wvu.FilterData" localSheetId="4" hidden="1">'4.УМИ'!$A$1:$AF$11</definedName>
    <definedName name="Z_DAA8A688_7558_4B5B_8DBD_E2629BD9E9A8_.wvu.FilterData" localSheetId="5" hidden="1">'5.Проф. прав.'!$A$1:$AF$12</definedName>
    <definedName name="Z_DAA8A688_7558_4B5B_8DBD_E2629BD9E9A8_.wvu.FilterData" localSheetId="6" hidden="1">'6.Экстримизм'!$A$1:$AF$11</definedName>
    <definedName name="Z_DAA8A688_7558_4B5B_8DBD_E2629BD9E9A8_.wvu.Rows" localSheetId="1" hidden="1">'1.СЗН'!$69:$73</definedName>
    <definedName name="Z_DAA8A688_7558_4B5B_8DBD_E2629BD9E9A8_.wvu.Rows" localSheetId="16" hidden="1">'13.МП РЖС'!$122:$127</definedName>
    <definedName name="Z_DAA8A688_7558_4B5B_8DBD_E2629BD9E9A8_.wvu.Rows" localSheetId="6" hidden="1">'6.Экстримизм'!$9:$23,'6.Экстримизм'!$30:$38,'6.Экстримизм'!$44:$49,'6.Экстримизм'!$65:$67,'6.Экстримизм'!$71:$76,'6.Экстримизм'!$86:$88,'6.Экстримизм'!$95:$97</definedName>
    <definedName name="Z_DE3D13C4_7341_41B5_9139_A9C8E0C99898_.wvu.FilterData" localSheetId="3" hidden="1">'3.БЖД'!$A$1:$AF$17</definedName>
    <definedName name="Z_E508E171_4ED9_4B07_84DF_DA28C60E1969_.wvu.Cols" localSheetId="16" hidden="1">'13.МП РЖС'!$AG:$AG</definedName>
    <definedName name="Z_E508E171_4ED9_4B07_84DF_DA28C60E1969_.wvu.FilterData" localSheetId="1" hidden="1">'1.СЗН'!$A$1:$AF$63</definedName>
    <definedName name="Z_E508E171_4ED9_4B07_84DF_DA28C60E1969_.wvu.FilterData" localSheetId="13" hidden="1">'11.МП РО'!$A$4:$A$380</definedName>
    <definedName name="Z_E508E171_4ED9_4B07_84DF_DA28C60E1969_.wvu.FilterData" localSheetId="2" hidden="1">'2.АПК'!$A$1:$AF$36</definedName>
    <definedName name="Z_E508E171_4ED9_4B07_84DF_DA28C60E1969_.wvu.FilterData" localSheetId="3" hidden="1">'3.БЖД'!$A$1:$AF$17</definedName>
    <definedName name="Z_E508E171_4ED9_4B07_84DF_DA28C60E1969_.wvu.FilterData" localSheetId="4" hidden="1">'4.УМИ'!$A$1:$AF$11</definedName>
    <definedName name="Z_E508E171_4ED9_4B07_84DF_DA28C60E1969_.wvu.FilterData" localSheetId="5" hidden="1">'5.Проф. прав.'!$A$1:$AF$12</definedName>
    <definedName name="Z_E508E171_4ED9_4B07_84DF_DA28C60E1969_.wvu.FilterData" localSheetId="6" hidden="1">'6.Экстримизм'!$A$1:$AF$11</definedName>
    <definedName name="Z_E508E171_4ED9_4B07_84DF_DA28C60E1969_.wvu.Rows" localSheetId="1" hidden="1">'1.СЗН'!$69:$73</definedName>
    <definedName name="Z_E508E171_4ED9_4B07_84DF_DA28C60E1969_.wvu.Rows" localSheetId="16" hidden="1">'13.МП РЖС'!$122:$127</definedName>
    <definedName name="Z_E508E171_4ED9_4B07_84DF_DA28C60E1969_.wvu.Rows" localSheetId="6" hidden="1">'6.Экстримизм'!$9:$23,'6.Экстримизм'!$30:$38,'6.Экстримизм'!$44:$49,'6.Экстримизм'!$65:$67,'6.Экстримизм'!$71:$76,'6.Экстримизм'!$86:$88,'6.Экстримизм'!$95:$97</definedName>
    <definedName name="Z_E78997D0_B342_4B0F_924C_DFBC1377A883_.wvu.FilterData" localSheetId="5" hidden="1">'5.Проф. прав.'!$A$1:$AF$12</definedName>
    <definedName name="Z_EB3F7096_B579_4E53_8ADC_53C03933AE73_.wvu.FilterData" localSheetId="3" hidden="1">'3.БЖД'!$A$1:$AF$17</definedName>
    <definedName name="Z_EE4E416A_731C_4840_AAAF_B170B045E0A2_.wvu.FilterData" localSheetId="2" hidden="1">'2.АПК'!$A$1:$AF$36</definedName>
    <definedName name="Z_EE4E416A_731C_4840_AAAF_B170B045E0A2_.wvu.FilterData" localSheetId="5" hidden="1">'5.Проф. прав.'!$A$1:$AF$12</definedName>
    <definedName name="Z_F679EF4A_C5FD_4B86_B87B_D85968E0F2CA_.wvu.Cols" localSheetId="16" hidden="1">'13.МП РЖС'!$AG:$AG</definedName>
    <definedName name="Z_F679EF4A_C5FD_4B86_B87B_D85968E0F2CA_.wvu.FilterData" localSheetId="1" hidden="1">'1.СЗН'!$A$1:$AF$63</definedName>
    <definedName name="Z_F679EF4A_C5FD_4B86_B87B_D85968E0F2CA_.wvu.FilterData" localSheetId="2" hidden="1">'2.АПК'!$A$1:$AF$36</definedName>
    <definedName name="Z_F679EF4A_C5FD_4B86_B87B_D85968E0F2CA_.wvu.FilterData" localSheetId="3" hidden="1">'3.БЖД'!$A$1:$AF$17</definedName>
    <definedName name="Z_F679EF4A_C5FD_4B86_B87B_D85968E0F2CA_.wvu.FilterData" localSheetId="4" hidden="1">'4.УМИ'!$A$1:$AF$11</definedName>
    <definedName name="Z_F679EF4A_C5FD_4B86_B87B_D85968E0F2CA_.wvu.FilterData" localSheetId="5" hidden="1">'5.Проф. прав.'!$A$1:$AF$12</definedName>
    <definedName name="Z_F679EF4A_C5FD_4B86_B87B_D85968E0F2CA_.wvu.FilterData" localSheetId="6" hidden="1">'6.Экстримизм'!$A$1:$AF$11</definedName>
    <definedName name="Z_F679EF4A_C5FD_4B86_B87B_D85968E0F2CA_.wvu.Rows" localSheetId="1" hidden="1">'1.СЗН'!$69:$73</definedName>
    <definedName name="Z_F679EF4A_C5FD_4B86_B87B_D85968E0F2CA_.wvu.Rows" localSheetId="16" hidden="1">'13.МП РЖС'!$122:$127</definedName>
    <definedName name="Z_F679EF4A_C5FD_4B86_B87B_D85968E0F2CA_.wvu.Rows" localSheetId="6" hidden="1">'6.Экстримизм'!$9:$23,'6.Экстримизм'!$30:$38,'6.Экстримизм'!$44:$49,'6.Экстримизм'!$65:$67,'6.Экстримизм'!$71:$76,'6.Экстримизм'!$86:$88,'6.Экстримизм'!$95:$97</definedName>
    <definedName name="Z_F9B70720_F297_4239_9B4F_C1EB59A5C247_.wvu.FilterData" localSheetId="2" hidden="1">'2.АПК'!$A$1:$AF$36</definedName>
    <definedName name="Z_FB3C65CE_A6AE_4512_BF0D_063EB54C23BB_.wvu.FilterData" localSheetId="4" hidden="1">'4.УМИ'!$A$1:$AF$11</definedName>
  </definedNames>
  <calcPr calcId="162913" iterate="1"/>
  <customWorkbookViews>
    <customWorkbookView name="Тихонова Лариса Анатольевна - Личное представление" guid="{7C130984-112A-4861-AA43-E2940708E3DC}" mergeInterval="0" personalView="1" maximized="1" xWindow="-8" yWindow="-8" windowWidth="1936" windowHeight="1056" tabRatio="798" activeSheetId="8"/>
    <customWorkbookView name="Подворчан Оксана - Личное представление" guid="{4F41B9CC-959D-442C-80B0-1F0DB2C76D27}" mergeInterval="0" personalView="1" maximized="1" xWindow="-4" yWindow="-4" windowWidth="1928" windowHeight="1038" tabRatio="798" activeSheetId="11"/>
    <customWorkbookView name="Чекменева Наталья Валерьевна - Личное представление" guid="{391AB76E-B386-49C1-800F-016A48AA1A46}" mergeInterval="0" personalView="1" maximized="1" xWindow="-8" yWindow="-8" windowWidth="1936" windowHeight="1056" tabRatio="798" activeSheetId="22"/>
    <customWorkbookView name="Колесник Елена Николаевна - Личное представление" guid="{D01FA037-9AEC-4167-ADB8-2F327C01ECE6}" mergeInterval="0" personalView="1" maximized="1" xWindow="-4" yWindow="-4" windowWidth="1928" windowHeight="1048" tabRatio="798" activeSheetId="6"/>
    <customWorkbookView name="Цёвка Елена Александровна - Личное представление" guid="{6A602CB8-B24C-4ED4-B378-B27354BE0A1A}" mergeInterval="0" personalView="1" maximized="1" xWindow="-8" yWindow="-8" windowWidth="1936" windowHeight="1048" tabRatio="798" activeSheetId="15"/>
    <customWorkbookView name="Епифанова Елена Валерьевна - Личное представление" guid="{DAA8A688-7558-4B5B-8DBD-E2629BD9E9A8}" mergeInterval="0" personalView="1" maximized="1" xWindow="-8" yWindow="-8" windowWidth="1936" windowHeight="1056" tabRatio="842" activeSheetId="20"/>
    <customWorkbookView name="Цыганкова Ирина Анатольевн - Личное представление" guid="{0C2B9C2A-7B94-41EF-A2E6-F8AC9A67DE25}" mergeInterval="0" personalView="1" maximized="1" xWindow="-8" yWindow="-8" windowWidth="1936" windowHeight="1056" tabRatio="798" activeSheetId="21"/>
    <customWorkbookView name="Лукманова Эльвира Наильевна - Личное представление" guid="{87218168-6C8E-4D5B-A5E5-DCCC26803AA3}" mergeInterval="0" personalView="1" maximized="1" xWindow="-8" yWindow="-8" windowWidth="1296" windowHeight="1000" tabRatio="842" activeSheetId="7"/>
    <customWorkbookView name="Степаненко Наталья Алексеевна - Личное представление" guid="{533DC55B-6AD4-4674-9488-685EF2039F3E}" mergeInterval="0" personalView="1" maximized="1" xWindow="-8" yWindow="-8" windowWidth="1936" windowHeight="1056" tabRatio="773" activeSheetId="7"/>
    <customWorkbookView name="Смекалин Дмитрий Александрович - Личное представление" guid="{69DABE6F-6182-4403-A4A2-969F10F1C13A}" mergeInterval="0" personalView="1" xWindow="62" windowWidth="1858" windowHeight="1080" tabRatio="798" activeSheetId="4"/>
    <customWorkbookView name="Мартынова Снежана Владимировна - Личное представление" guid="{84867370-1F3E-4368-AF79-FBCE46FFFE92}" mergeInterval="0" personalView="1" maximized="1" xWindow="-8" yWindow="-8" windowWidth="1936" windowHeight="1056" tabRatio="798" activeSheetId="2"/>
    <customWorkbookView name="Шамерзоева Татьяна Федоровна - Личное представление" guid="{47B983AB-FE5F-4725-860C-A2F29420596D}" mergeInterval="0" personalView="1" maximized="1" xWindow="-8" yWindow="-8" windowWidth="1936" windowHeight="1056" tabRatio="798" activeSheetId="3"/>
    <customWorkbookView name="Крюков Сергей Александрович - Личное представление" guid="{959E901C-5DDE-42EE-AE94-AB8976B5E00B}" mergeInterval="0" personalView="1" maximized="1" xWindow="-8" yWindow="-8" windowWidth="1936" windowHeight="1056" tabRatio="775" activeSheetId="12"/>
    <customWorkbookView name="Ватаву Рада Вячеславовна - Личное представление" guid="{F679EF4A-C5FD-4B86-B87B-D85968E0F2CA}" mergeInterval="0" personalView="1" maximized="1" xWindow="-8" yWindow="-8" windowWidth="1936" windowHeight="1056" tabRatio="798" activeSheetId="12"/>
    <customWorkbookView name="Сорокина Ольга Сергеевна - Личное представление" guid="{009B3074-D8EC-4952-BF50-43CD64449612}" mergeInterval="0" personalView="1" maximized="1" xWindow="-9" yWindow="-9" windowWidth="1938" windowHeight="1050" tabRatio="798" activeSheetId="15"/>
    <customWorkbookView name="Игошкина Марина Юрьевна - Личное представление" guid="{770624BF-07F3-44B6-94C3-4CC447CDD45C}" mergeInterval="0" personalView="1" maximized="1" xWindow="-8" yWindow="-8" windowWidth="1936" windowHeight="1056" tabRatio="798" activeSheetId="9"/>
    <customWorkbookView name="Шишкина Юлия Андреева - Личное представление" guid="{B82BA08A-1A30-4F4D-A478-74A6BD09EA97}" mergeInterval="0" personalView="1" xWindow="-15" yWindow="49" windowWidth="902" windowHeight="878" tabRatio="798" activeSheetId="5"/>
    <customWorkbookView name="Титкова Наталья Ивановна - Личное представление" guid="{874882D1-E741-4CCA-BF0D-E72FA60B771D}" mergeInterval="0" personalView="1" maximized="1" xWindow="-8" yWindow="-8" windowWidth="1936" windowHeight="1056" tabRatio="798" activeSheetId="19"/>
    <customWorkbookView name="Горохова Оксана Юсуповна - Личное представление" guid="{C236B307-BD63-48C4-A75F-B3F3717BF55C}" mergeInterval="0" personalView="1" maximized="1" xWindow="-8" yWindow="-8" windowWidth="1936" windowHeight="1056" tabRatio="798" activeSheetId="22"/>
    <customWorkbookView name="Бондарева Оксана Петровна - Личное представление" guid="{BCD82A82-B724-4763-8580-D765356E09BA}" mergeInterval="0" personalView="1" maximized="1" xWindow="-8" yWindow="-8" windowWidth="1936" windowHeight="1056" tabRatio="798" activeSheetId="1"/>
    <customWorkbookView name="Мягкова Оксана Викторовна - Личное представление" guid="{B1BF08D1-D416-4B47-ADD0-4F59132DC9E8}" mergeInterval="0" personalView="1" maximized="1" xWindow="-8" yWindow="-8" windowWidth="1936" windowHeight="1056" tabRatio="798" activeSheetId="12"/>
    <customWorkbookView name="Терсин Роман Олегович - Личное представление" guid="{85F4575B-DBC5-482A-9916-255D8F0BC94E}" mergeInterval="0" personalView="1" maximized="1" xWindow="-8" yWindow="-8" windowWidth="1936" windowHeight="1056" tabRatio="798" activeSheetId="22"/>
    <customWorkbookView name="Хамадуллина Анастасия Олеговна - Личное представление" guid="{74870EE6-26B9-40F7-9DC9-260EF16D8959}" mergeInterval="0" personalView="1" maximized="1" xWindow="-8" yWindow="-8" windowWidth="1936" windowHeight="1056" tabRatio="798" activeSheetId="5"/>
    <customWorkbookView name="Ларионова Галина Владимировна - Личное представление" guid="{E508E171-4ED9-4B07-84DF-DA28C60E1969}" mergeInterval="0" personalView="1" maximized="1" xWindow="-8" yWindow="-8" windowWidth="1696" windowHeight="1026" tabRatio="798" activeSheetId="23"/>
    <customWorkbookView name="Грязнова Екатерина Владимировна - Личное представление" guid="{4D0DFB57-2CBA-42F2-9A97-C453A6851FBA}" mergeInterval="0" personalView="1" maximized="1" xWindow="-8" yWindow="-8" windowWidth="1936" windowHeight="1056" tabRatio="798" activeSheetId="15"/>
    <customWorkbookView name="Краева Ольга Витальевна - Личное представление" guid="{CE1CCA00-200D-4EAA-9FBE-F8EE7C5F82FE}" mergeInterval="0" personalView="1" xWindow="523" yWindow="38" windowWidth="1264" windowHeight="863" tabRatio="798" activeSheetId="17"/>
    <customWorkbookView name="агомедов Алихан Магомедханович - Личное представление" guid="{442F2C94-DD1B-4A01-8694-513D4D6F3BD9}" mergeInterval="0" personalView="1" xWindow="220" yWindow="28" windowWidth="769" windowHeight="991" tabRatio="798" activeSheetId="22"/>
    <customWorkbookView name="Огиренко Ольга Ивановна - Личное представление" guid="{AC2D5927-4079-4C74-AF69-1BFAC505648F}" mergeInterval="0" personalView="1" maximized="1" xWindow="-8" yWindow="-8" windowWidth="1936" windowHeight="1056" tabRatio="798" activeSheetId="22"/>
    <customWorkbookView name="Митина Екатерина Сергеевна - Личное представление" guid="{602C8EDB-B9EF-4C85-B0D5-0558C3A0ABAB}" mergeInterval="0" personalView="1" xWindow="960" windowWidth="960" windowHeight="1040" tabRatio="798" activeSheetId="18"/>
    <customWorkbookView name="Харченко Ольга Владимировна - Личное представление" guid="{09C3E205-981E-4A4E-BE89-8B7044192060}" mergeInterval="0" personalView="1" maximized="1" xWindow="-8" yWindow="-8" windowWidth="1936" windowHeight="1056" tabRatio="798" activeSheetId="14"/>
  </customWorkbookViews>
</workbook>
</file>

<file path=xl/calcChain.xml><?xml version="1.0" encoding="utf-8"?>
<calcChain xmlns="http://schemas.openxmlformats.org/spreadsheetml/2006/main">
  <c r="Q103" i="11" l="1"/>
  <c r="E103" i="11"/>
  <c r="F103" i="11"/>
  <c r="D91" i="11"/>
  <c r="E91" i="11"/>
  <c r="D84" i="11"/>
  <c r="F70" i="11"/>
  <c r="G70" i="11"/>
  <c r="P97" i="11"/>
  <c r="Q97" i="11"/>
  <c r="AD53" i="9" l="1"/>
  <c r="S50" i="8"/>
  <c r="C121" i="6"/>
  <c r="C117" i="6"/>
  <c r="C93" i="6"/>
  <c r="C87" i="6"/>
  <c r="C69" i="6"/>
  <c r="C50" i="6"/>
  <c r="C47" i="6"/>
  <c r="C35" i="6"/>
  <c r="C32" i="6"/>
  <c r="C20" i="6"/>
  <c r="C16" i="6"/>
  <c r="C13" i="6"/>
  <c r="C25" i="5"/>
  <c r="X183" i="14" l="1"/>
  <c r="R183" i="14"/>
  <c r="C78" i="9" l="1"/>
  <c r="B78" i="9"/>
  <c r="C77" i="9"/>
  <c r="B77" i="9"/>
  <c r="E76" i="9"/>
  <c r="D76" i="9" s="1"/>
  <c r="C76" i="9"/>
  <c r="B76" i="9"/>
  <c r="K75" i="9"/>
  <c r="E75" i="9" s="1"/>
  <c r="E74" i="9" s="1"/>
  <c r="E73" i="9" s="1"/>
  <c r="C75" i="9"/>
  <c r="B75" i="9"/>
  <c r="AD74" i="9"/>
  <c r="AB74" i="9"/>
  <c r="Z74" i="9"/>
  <c r="X74" i="9"/>
  <c r="X73" i="9" s="1"/>
  <c r="V74" i="9"/>
  <c r="T74" i="9"/>
  <c r="S74" i="9"/>
  <c r="R74" i="9"/>
  <c r="Q74" i="9"/>
  <c r="P74" i="9"/>
  <c r="O74" i="9"/>
  <c r="N74" i="9"/>
  <c r="M74" i="9"/>
  <c r="L74" i="9"/>
  <c r="K74" i="9"/>
  <c r="J74" i="9"/>
  <c r="I74" i="9"/>
  <c r="H74" i="9"/>
  <c r="C74" i="9"/>
  <c r="AD73" i="9"/>
  <c r="AB73" i="9"/>
  <c r="Z73" i="9"/>
  <c r="V73" i="9"/>
  <c r="T73" i="9"/>
  <c r="S73" i="9"/>
  <c r="R73" i="9"/>
  <c r="Q73" i="9"/>
  <c r="P73" i="9"/>
  <c r="O73" i="9"/>
  <c r="N73" i="9"/>
  <c r="M73" i="9"/>
  <c r="L73" i="9"/>
  <c r="K73" i="9"/>
  <c r="J73" i="9"/>
  <c r="I73" i="9"/>
  <c r="H73" i="9"/>
  <c r="C73" i="9"/>
  <c r="D72" i="9"/>
  <c r="C72" i="9"/>
  <c r="B72" i="9"/>
  <c r="E71" i="9"/>
  <c r="G71" i="9" s="1"/>
  <c r="C71" i="9"/>
  <c r="B71" i="9"/>
  <c r="E70" i="9"/>
  <c r="G70" i="9" s="1"/>
  <c r="D70" i="9"/>
  <c r="C70" i="9"/>
  <c r="B70" i="9"/>
  <c r="B68" i="9" s="1"/>
  <c r="B67" i="9" s="1"/>
  <c r="D69" i="9"/>
  <c r="C69" i="9"/>
  <c r="B69" i="9"/>
  <c r="AD68" i="9"/>
  <c r="AD67" i="9" s="1"/>
  <c r="AB68" i="9"/>
  <c r="AB67" i="9" s="1"/>
  <c r="Z68" i="9"/>
  <c r="Z67" i="9" s="1"/>
  <c r="X68" i="9"/>
  <c r="V68" i="9"/>
  <c r="T68" i="9"/>
  <c r="T67" i="9" s="1"/>
  <c r="S68" i="9"/>
  <c r="S67" i="9" s="1"/>
  <c r="R68" i="9"/>
  <c r="Q68" i="9"/>
  <c r="P68" i="9"/>
  <c r="P67" i="9" s="1"/>
  <c r="O68" i="9"/>
  <c r="O67" i="9" s="1"/>
  <c r="N68" i="9"/>
  <c r="M68" i="9"/>
  <c r="L68" i="9"/>
  <c r="L67" i="9" s="1"/>
  <c r="K68" i="9"/>
  <c r="K67" i="9" s="1"/>
  <c r="J68" i="9"/>
  <c r="I68" i="9"/>
  <c r="H68" i="9"/>
  <c r="H67" i="9" s="1"/>
  <c r="C68" i="9"/>
  <c r="C67" i="9" s="1"/>
  <c r="X67" i="9"/>
  <c r="V67" i="9"/>
  <c r="R67" i="9"/>
  <c r="Q67" i="9"/>
  <c r="N67" i="9"/>
  <c r="M67" i="9"/>
  <c r="J67" i="9"/>
  <c r="I67" i="9"/>
  <c r="D66" i="9"/>
  <c r="C66" i="9"/>
  <c r="B66" i="9"/>
  <c r="E65" i="9"/>
  <c r="D65" i="9" s="1"/>
  <c r="C65" i="9"/>
  <c r="B65" i="9"/>
  <c r="F65" i="9" s="1"/>
  <c r="F62" i="9" s="1"/>
  <c r="D64" i="9"/>
  <c r="C64" i="9"/>
  <c r="B64" i="9"/>
  <c r="D63" i="9"/>
  <c r="C63" i="9"/>
  <c r="B63" i="9"/>
  <c r="AD62" i="9"/>
  <c r="AB62" i="9"/>
  <c r="AB61" i="9" s="1"/>
  <c r="Z62" i="9"/>
  <c r="X62" i="9"/>
  <c r="V62" i="9"/>
  <c r="T62" i="9"/>
  <c r="T61" i="9" s="1"/>
  <c r="S62" i="9"/>
  <c r="R62" i="9"/>
  <c r="Q62" i="9"/>
  <c r="P62" i="9"/>
  <c r="P61" i="9" s="1"/>
  <c r="O62" i="9"/>
  <c r="N62" i="9"/>
  <c r="M62" i="9"/>
  <c r="L62" i="9"/>
  <c r="L61" i="9" s="1"/>
  <c r="K62" i="9"/>
  <c r="J62" i="9"/>
  <c r="I62" i="9"/>
  <c r="H62" i="9"/>
  <c r="H61" i="9" s="1"/>
  <c r="E62" i="9"/>
  <c r="D62" i="9" s="1"/>
  <c r="AD61" i="9"/>
  <c r="Z61" i="9"/>
  <c r="X61" i="9"/>
  <c r="V61" i="9"/>
  <c r="S61" i="9"/>
  <c r="R61" i="9"/>
  <c r="Q61" i="9"/>
  <c r="O61" i="9"/>
  <c r="N61" i="9"/>
  <c r="M61" i="9"/>
  <c r="K61" i="9"/>
  <c r="J61" i="9"/>
  <c r="I61" i="9"/>
  <c r="E61" i="9"/>
  <c r="D61" i="9" s="1"/>
  <c r="D60" i="9"/>
  <c r="C60" i="9"/>
  <c r="B60" i="9"/>
  <c r="E59" i="9"/>
  <c r="E56" i="9" s="1"/>
  <c r="C59" i="9"/>
  <c r="B59" i="9"/>
  <c r="D58" i="9"/>
  <c r="C58" i="9"/>
  <c r="B58" i="9"/>
  <c r="D57" i="9"/>
  <c r="C57" i="9"/>
  <c r="B57" i="9"/>
  <c r="AD56" i="9"/>
  <c r="AD55" i="9" s="1"/>
  <c r="AB56" i="9"/>
  <c r="AB55" i="9" s="1"/>
  <c r="Z56" i="9"/>
  <c r="Z55" i="9" s="1"/>
  <c r="X56" i="9"/>
  <c r="V56" i="9"/>
  <c r="V55" i="9" s="1"/>
  <c r="T56" i="9"/>
  <c r="T55" i="9" s="1"/>
  <c r="S56" i="9"/>
  <c r="S55" i="9" s="1"/>
  <c r="R56" i="9"/>
  <c r="R55" i="9" s="1"/>
  <c r="Q56" i="9"/>
  <c r="Q55" i="9" s="1"/>
  <c r="P56" i="9"/>
  <c r="P55" i="9" s="1"/>
  <c r="O56" i="9"/>
  <c r="O55" i="9" s="1"/>
  <c r="N56" i="9"/>
  <c r="N55" i="9" s="1"/>
  <c r="M56" i="9"/>
  <c r="M55" i="9" s="1"/>
  <c r="L56" i="9"/>
  <c r="L55" i="9" s="1"/>
  <c r="K56" i="9"/>
  <c r="K55" i="9" s="1"/>
  <c r="J56" i="9"/>
  <c r="J55" i="9" s="1"/>
  <c r="I56" i="9"/>
  <c r="I55" i="9" s="1"/>
  <c r="H56" i="9"/>
  <c r="H55" i="9" s="1"/>
  <c r="X55" i="9"/>
  <c r="D54" i="9"/>
  <c r="C54" i="9"/>
  <c r="B54" i="9"/>
  <c r="AD50" i="9"/>
  <c r="AD49" i="9" s="1"/>
  <c r="E53" i="9"/>
  <c r="C53" i="9"/>
  <c r="D52" i="9"/>
  <c r="C52" i="9"/>
  <c r="B52" i="9"/>
  <c r="D51" i="9"/>
  <c r="C51" i="9"/>
  <c r="B51" i="9"/>
  <c r="AB50" i="9"/>
  <c r="AB49" i="9" s="1"/>
  <c r="Z50" i="9"/>
  <c r="Z49" i="9" s="1"/>
  <c r="X50" i="9"/>
  <c r="V50" i="9"/>
  <c r="V49" i="9" s="1"/>
  <c r="T50" i="9"/>
  <c r="S50" i="9"/>
  <c r="S49" i="9" s="1"/>
  <c r="R50" i="9"/>
  <c r="Q50" i="9"/>
  <c r="Q49" i="9" s="1"/>
  <c r="P50" i="9"/>
  <c r="P49" i="9" s="1"/>
  <c r="O50" i="9"/>
  <c r="O49" i="9" s="1"/>
  <c r="N50" i="9"/>
  <c r="M50" i="9"/>
  <c r="M49" i="9" s="1"/>
  <c r="L50" i="9"/>
  <c r="L49" i="9" s="1"/>
  <c r="K50" i="9"/>
  <c r="K49" i="9" s="1"/>
  <c r="J50" i="9"/>
  <c r="I50" i="9"/>
  <c r="I49" i="9" s="1"/>
  <c r="H50" i="9"/>
  <c r="H49" i="9" s="1"/>
  <c r="E50" i="9"/>
  <c r="D50" i="9" s="1"/>
  <c r="X49" i="9"/>
  <c r="T49" i="9"/>
  <c r="R49" i="9"/>
  <c r="N49" i="9"/>
  <c r="J49" i="9"/>
  <c r="D48" i="9"/>
  <c r="C48" i="9"/>
  <c r="B48" i="9"/>
  <c r="E47" i="9"/>
  <c r="G47" i="9" s="1"/>
  <c r="C47" i="9"/>
  <c r="B47" i="9"/>
  <c r="D46" i="9"/>
  <c r="C46" i="9"/>
  <c r="B46" i="9"/>
  <c r="D45" i="9"/>
  <c r="C45" i="9"/>
  <c r="B45" i="9"/>
  <c r="AD44" i="9"/>
  <c r="AB44" i="9"/>
  <c r="Z44" i="9"/>
  <c r="X44" i="9"/>
  <c r="V44" i="9"/>
  <c r="T44" i="9"/>
  <c r="S44" i="9"/>
  <c r="R44" i="9"/>
  <c r="Q44" i="9"/>
  <c r="P44" i="9"/>
  <c r="O44" i="9"/>
  <c r="N44" i="9"/>
  <c r="M44" i="9"/>
  <c r="L44" i="9"/>
  <c r="K44" i="9"/>
  <c r="J44" i="9"/>
  <c r="I44" i="9"/>
  <c r="H44" i="9"/>
  <c r="E44" i="9"/>
  <c r="D44" i="9" s="1"/>
  <c r="AD43" i="9"/>
  <c r="AB43" i="9"/>
  <c r="Z43" i="9"/>
  <c r="X43" i="9"/>
  <c r="V43" i="9"/>
  <c r="T43" i="9"/>
  <c r="S43" i="9"/>
  <c r="R43" i="9"/>
  <c r="Q43" i="9"/>
  <c r="P43" i="9"/>
  <c r="O43" i="9"/>
  <c r="N43" i="9"/>
  <c r="M43" i="9"/>
  <c r="L43" i="9"/>
  <c r="K43" i="9"/>
  <c r="J43" i="9"/>
  <c r="I43" i="9"/>
  <c r="H43" i="9"/>
  <c r="E43" i="9"/>
  <c r="D43" i="9" s="1"/>
  <c r="D42" i="9"/>
  <c r="C42" i="9"/>
  <c r="B42" i="9"/>
  <c r="B36" i="9" s="1"/>
  <c r="E41" i="9"/>
  <c r="E38" i="9" s="1"/>
  <c r="C41" i="9"/>
  <c r="B41" i="9"/>
  <c r="D40" i="9"/>
  <c r="C40" i="9"/>
  <c r="B40" i="9"/>
  <c r="D39" i="9"/>
  <c r="C39" i="9"/>
  <c r="B39" i="9"/>
  <c r="AD38" i="9"/>
  <c r="AB38" i="9"/>
  <c r="AB37" i="9" s="1"/>
  <c r="Z38" i="9"/>
  <c r="Z37" i="9" s="1"/>
  <c r="X38" i="9"/>
  <c r="V38" i="9"/>
  <c r="T38" i="9"/>
  <c r="T37" i="9" s="1"/>
  <c r="S38" i="9"/>
  <c r="S37" i="9" s="1"/>
  <c r="R38" i="9"/>
  <c r="Q38" i="9"/>
  <c r="P38" i="9"/>
  <c r="P37" i="9" s="1"/>
  <c r="O38" i="9"/>
  <c r="O37" i="9" s="1"/>
  <c r="N38" i="9"/>
  <c r="M38" i="9"/>
  <c r="L38" i="9"/>
  <c r="L37" i="9" s="1"/>
  <c r="K38" i="9"/>
  <c r="K37" i="9" s="1"/>
  <c r="J38" i="9"/>
  <c r="I38" i="9"/>
  <c r="H38" i="9"/>
  <c r="H37" i="9" s="1"/>
  <c r="C38" i="9"/>
  <c r="C37" i="9" s="1"/>
  <c r="AD37" i="9"/>
  <c r="X37" i="9"/>
  <c r="V37" i="9"/>
  <c r="R37" i="9"/>
  <c r="Q37" i="9"/>
  <c r="N37" i="9"/>
  <c r="M37" i="9"/>
  <c r="J37" i="9"/>
  <c r="I37" i="9"/>
  <c r="AD36" i="9"/>
  <c r="AB36" i="9"/>
  <c r="Z36" i="9"/>
  <c r="X36" i="9"/>
  <c r="V36" i="9"/>
  <c r="T36" i="9"/>
  <c r="S36" i="9"/>
  <c r="R36" i="9"/>
  <c r="P36" i="9"/>
  <c r="O36" i="9"/>
  <c r="N36" i="9"/>
  <c r="M36" i="9"/>
  <c r="L36" i="9"/>
  <c r="K36" i="9"/>
  <c r="J36" i="9"/>
  <c r="I36" i="9"/>
  <c r="H36" i="9"/>
  <c r="E36" i="9"/>
  <c r="D36" i="9" s="1"/>
  <c r="AD35" i="9"/>
  <c r="AB35" i="9"/>
  <c r="Z35" i="9"/>
  <c r="X35" i="9"/>
  <c r="V35" i="9"/>
  <c r="T35" i="9"/>
  <c r="S35" i="9"/>
  <c r="R35" i="9"/>
  <c r="Q35" i="9"/>
  <c r="P35" i="9"/>
  <c r="O35" i="9"/>
  <c r="N35" i="9"/>
  <c r="M35" i="9"/>
  <c r="L35" i="9"/>
  <c r="K35" i="9"/>
  <c r="J35" i="9"/>
  <c r="I35" i="9"/>
  <c r="H35" i="9"/>
  <c r="AD34" i="9"/>
  <c r="AB34" i="9"/>
  <c r="Z34" i="9"/>
  <c r="X34" i="9"/>
  <c r="V34" i="9"/>
  <c r="T34" i="9"/>
  <c r="S34" i="9"/>
  <c r="R34" i="9"/>
  <c r="Q34" i="9"/>
  <c r="P34" i="9"/>
  <c r="O34" i="9"/>
  <c r="N34" i="9"/>
  <c r="M34" i="9"/>
  <c r="L34" i="9"/>
  <c r="K34" i="9"/>
  <c r="J34" i="9"/>
  <c r="I34" i="9"/>
  <c r="H34" i="9"/>
  <c r="E34" i="9"/>
  <c r="D34" i="9" s="1"/>
  <c r="B34" i="9"/>
  <c r="AD33" i="9"/>
  <c r="AB33" i="9"/>
  <c r="Z33" i="9"/>
  <c r="X33" i="9"/>
  <c r="X32" i="9" s="1"/>
  <c r="X31" i="9" s="1"/>
  <c r="V33" i="9"/>
  <c r="T33" i="9"/>
  <c r="S33" i="9"/>
  <c r="R33" i="9"/>
  <c r="R32" i="9" s="1"/>
  <c r="R31" i="9" s="1"/>
  <c r="Q33" i="9"/>
  <c r="Q32" i="9" s="1"/>
  <c r="Q31" i="9" s="1"/>
  <c r="P33" i="9"/>
  <c r="O33" i="9"/>
  <c r="O32" i="9" s="1"/>
  <c r="O31" i="9" s="1"/>
  <c r="N33" i="9"/>
  <c r="N32" i="9" s="1"/>
  <c r="N31" i="9" s="1"/>
  <c r="M33" i="9"/>
  <c r="M32" i="9" s="1"/>
  <c r="M31" i="9" s="1"/>
  <c r="L33" i="9"/>
  <c r="K33" i="9"/>
  <c r="J33" i="9"/>
  <c r="J32" i="9" s="1"/>
  <c r="J31" i="9" s="1"/>
  <c r="I33" i="9"/>
  <c r="I32" i="9" s="1"/>
  <c r="I31" i="9" s="1"/>
  <c r="H33" i="9"/>
  <c r="E33" i="9"/>
  <c r="D33" i="9"/>
  <c r="B33" i="9"/>
  <c r="D30" i="9"/>
  <c r="B30" i="9"/>
  <c r="E29" i="9"/>
  <c r="D29" i="9" s="1"/>
  <c r="C29" i="9"/>
  <c r="B29" i="9"/>
  <c r="D28" i="9"/>
  <c r="B28" i="9"/>
  <c r="B26" i="9" s="1"/>
  <c r="B25" i="9" s="1"/>
  <c r="D27" i="9"/>
  <c r="B27" i="9"/>
  <c r="AD26" i="9"/>
  <c r="AD25" i="9" s="1"/>
  <c r="AB26" i="9"/>
  <c r="AB25" i="9" s="1"/>
  <c r="Z26" i="9"/>
  <c r="X26" i="9"/>
  <c r="V26" i="9"/>
  <c r="V25" i="9" s="1"/>
  <c r="T26" i="9"/>
  <c r="T25" i="9" s="1"/>
  <c r="S26" i="9"/>
  <c r="R26" i="9"/>
  <c r="Q26" i="9"/>
  <c r="Q25" i="9" s="1"/>
  <c r="P26" i="9"/>
  <c r="P25" i="9" s="1"/>
  <c r="O26" i="9"/>
  <c r="N26" i="9"/>
  <c r="M26" i="9"/>
  <c r="M25" i="9" s="1"/>
  <c r="L26" i="9"/>
  <c r="L25" i="9" s="1"/>
  <c r="K26" i="9"/>
  <c r="J26" i="9"/>
  <c r="I26" i="9"/>
  <c r="I25" i="9" s="1"/>
  <c r="H26" i="9"/>
  <c r="H25" i="9" s="1"/>
  <c r="G26" i="9"/>
  <c r="F26" i="9"/>
  <c r="F25" i="9" s="1"/>
  <c r="C26" i="9"/>
  <c r="Z25" i="9"/>
  <c r="X25" i="9"/>
  <c r="S25" i="9"/>
  <c r="R25" i="9"/>
  <c r="O25" i="9"/>
  <c r="N25" i="9"/>
  <c r="K25" i="9"/>
  <c r="J25" i="9"/>
  <c r="C25" i="9"/>
  <c r="D24" i="9"/>
  <c r="B24" i="9"/>
  <c r="E23" i="9"/>
  <c r="D23" i="9" s="1"/>
  <c r="C23" i="9"/>
  <c r="C20" i="9" s="1"/>
  <c r="C19" i="9" s="1"/>
  <c r="B23" i="9"/>
  <c r="D22" i="9"/>
  <c r="B22" i="9"/>
  <c r="D21" i="9"/>
  <c r="B21" i="9"/>
  <c r="AD20" i="9"/>
  <c r="AB20" i="9"/>
  <c r="Z20" i="9"/>
  <c r="Z19" i="9" s="1"/>
  <c r="X20" i="9"/>
  <c r="X19" i="9" s="1"/>
  <c r="V20" i="9"/>
  <c r="T20" i="9"/>
  <c r="T19" i="9" s="1"/>
  <c r="S20" i="9"/>
  <c r="S19" i="9" s="1"/>
  <c r="R20" i="9"/>
  <c r="R19" i="9" s="1"/>
  <c r="Q20" i="9"/>
  <c r="P20" i="9"/>
  <c r="O20" i="9"/>
  <c r="O19" i="9" s="1"/>
  <c r="N20" i="9"/>
  <c r="N19" i="9" s="1"/>
  <c r="M20" i="9"/>
  <c r="L20" i="9"/>
  <c r="L19" i="9" s="1"/>
  <c r="K20" i="9"/>
  <c r="K19" i="9" s="1"/>
  <c r="J20" i="9"/>
  <c r="J19" i="9" s="1"/>
  <c r="I20" i="9"/>
  <c r="H20" i="9"/>
  <c r="G20" i="9"/>
  <c r="G19" i="9" s="1"/>
  <c r="F20" i="9"/>
  <c r="F19" i="9" s="1"/>
  <c r="AD19" i="9"/>
  <c r="AB19" i="9"/>
  <c r="V19" i="9"/>
  <c r="Q19" i="9"/>
  <c r="P19" i="9"/>
  <c r="M19" i="9"/>
  <c r="I19" i="9"/>
  <c r="H19" i="9"/>
  <c r="D16" i="9"/>
  <c r="C16" i="9"/>
  <c r="B16" i="9"/>
  <c r="E15" i="9"/>
  <c r="E12" i="9" s="1"/>
  <c r="E11" i="9" s="1"/>
  <c r="D15" i="9"/>
  <c r="C15" i="9"/>
  <c r="B15" i="9"/>
  <c r="D14" i="9"/>
  <c r="C14" i="9"/>
  <c r="C12" i="9" s="1"/>
  <c r="C11" i="9" s="1"/>
  <c r="B14" i="9"/>
  <c r="D13" i="9"/>
  <c r="C13" i="9"/>
  <c r="B13" i="9"/>
  <c r="B12" i="9" s="1"/>
  <c r="B11" i="9" s="1"/>
  <c r="AD12" i="9"/>
  <c r="AB12" i="9"/>
  <c r="Z12" i="9"/>
  <c r="Z11" i="9" s="1"/>
  <c r="X12" i="9"/>
  <c r="X11" i="9" s="1"/>
  <c r="V12" i="9"/>
  <c r="T12" i="9"/>
  <c r="S12" i="9"/>
  <c r="S11" i="9" s="1"/>
  <c r="R12" i="9"/>
  <c r="R11" i="9" s="1"/>
  <c r="Q12" i="9"/>
  <c r="P12" i="9"/>
  <c r="O12" i="9"/>
  <c r="O11" i="9" s="1"/>
  <c r="N12" i="9"/>
  <c r="N11" i="9" s="1"/>
  <c r="M12" i="9"/>
  <c r="L12" i="9"/>
  <c r="K12" i="9"/>
  <c r="K11" i="9" s="1"/>
  <c r="J12" i="9"/>
  <c r="J11" i="9" s="1"/>
  <c r="I12" i="9"/>
  <c r="H12" i="9"/>
  <c r="G12" i="9"/>
  <c r="G11" i="9" s="1"/>
  <c r="F12" i="9"/>
  <c r="F11" i="9" s="1"/>
  <c r="AD11" i="9"/>
  <c r="AB11" i="9"/>
  <c r="V11" i="9"/>
  <c r="T11" i="9"/>
  <c r="Q11" i="9"/>
  <c r="P11" i="9"/>
  <c r="M11" i="9"/>
  <c r="L11" i="9"/>
  <c r="I11" i="9"/>
  <c r="H11" i="9"/>
  <c r="D56" i="9" l="1"/>
  <c r="E55" i="9"/>
  <c r="D55" i="9" s="1"/>
  <c r="D12" i="9"/>
  <c r="D11" i="9" s="1"/>
  <c r="E26" i="9"/>
  <c r="E25" i="9" s="1"/>
  <c r="C50" i="9"/>
  <c r="C49" i="9" s="1"/>
  <c r="C56" i="9"/>
  <c r="C55" i="9" s="1"/>
  <c r="K32" i="9"/>
  <c r="K31" i="9" s="1"/>
  <c r="B20" i="9"/>
  <c r="B19" i="9" s="1"/>
  <c r="T32" i="9"/>
  <c r="T31" i="9" s="1"/>
  <c r="AB32" i="9"/>
  <c r="AB31" i="9" s="1"/>
  <c r="D47" i="9"/>
  <c r="G59" i="9"/>
  <c r="D26" i="9"/>
  <c r="D25" i="9" s="1"/>
  <c r="V32" i="9"/>
  <c r="V31" i="9" s="1"/>
  <c r="B62" i="9"/>
  <c r="B61" i="9" s="1"/>
  <c r="B74" i="9"/>
  <c r="B73" i="9" s="1"/>
  <c r="F73" i="9" s="1"/>
  <c r="E49" i="9"/>
  <c r="D49" i="9" s="1"/>
  <c r="B53" i="9"/>
  <c r="B35" i="9" s="1"/>
  <c r="B32" i="9" s="1"/>
  <c r="B31" i="9" s="1"/>
  <c r="B56" i="9"/>
  <c r="B55" i="9" s="1"/>
  <c r="F71" i="9"/>
  <c r="S32" i="9"/>
  <c r="S31" i="9" s="1"/>
  <c r="Z32" i="9"/>
  <c r="Z31" i="9" s="1"/>
  <c r="F47" i="9"/>
  <c r="F44" i="9" s="1"/>
  <c r="F43" i="9" s="1"/>
  <c r="B44" i="9"/>
  <c r="B43" i="9" s="1"/>
  <c r="G53" i="9"/>
  <c r="C62" i="9"/>
  <c r="C61" i="9" s="1"/>
  <c r="F75" i="9"/>
  <c r="AD32" i="9"/>
  <c r="AD31" i="9" s="1"/>
  <c r="H32" i="9"/>
  <c r="H31" i="9" s="1"/>
  <c r="L32" i="9"/>
  <c r="L31" i="9" s="1"/>
  <c r="P32" i="9"/>
  <c r="P31" i="9" s="1"/>
  <c r="B38" i="9"/>
  <c r="B37" i="9" s="1"/>
  <c r="G65" i="9"/>
  <c r="E68" i="9"/>
  <c r="E67" i="9" s="1"/>
  <c r="F67" i="9" s="1"/>
  <c r="D71" i="9"/>
  <c r="G76" i="9"/>
  <c r="D38" i="9"/>
  <c r="F41" i="9"/>
  <c r="D41" i="9"/>
  <c r="E35" i="9"/>
  <c r="G50" i="9"/>
  <c r="G49" i="9" s="1"/>
  <c r="G56" i="9"/>
  <c r="G55" i="9" s="1"/>
  <c r="E20" i="9"/>
  <c r="E19" i="9" s="1"/>
  <c r="D20" i="9"/>
  <c r="D19" i="9" s="1"/>
  <c r="E37" i="9"/>
  <c r="G38" i="9"/>
  <c r="C33" i="9"/>
  <c r="C35" i="9"/>
  <c r="G41" i="9"/>
  <c r="C36" i="9"/>
  <c r="G44" i="9"/>
  <c r="G43" i="9" s="1"/>
  <c r="C44" i="9"/>
  <c r="C43" i="9" s="1"/>
  <c r="C34" i="9"/>
  <c r="D53" i="9"/>
  <c r="F59" i="9"/>
  <c r="F56" i="9" s="1"/>
  <c r="F55" i="9" s="1"/>
  <c r="D59" i="9"/>
  <c r="F68" i="9"/>
  <c r="F74" i="9"/>
  <c r="F70" i="9"/>
  <c r="G73" i="9"/>
  <c r="G74" i="9"/>
  <c r="G75" i="9"/>
  <c r="F76" i="9"/>
  <c r="D75" i="9"/>
  <c r="D74" i="9" s="1"/>
  <c r="D73" i="9" s="1"/>
  <c r="C34" i="8"/>
  <c r="C273" i="8"/>
  <c r="C270" i="8" s="1"/>
  <c r="C108" i="12"/>
  <c r="C42" i="17"/>
  <c r="C48" i="2"/>
  <c r="C54" i="2" s="1"/>
  <c r="F38" i="9" l="1"/>
  <c r="F53" i="9"/>
  <c r="F50" i="9" s="1"/>
  <c r="F49" i="9" s="1"/>
  <c r="G67" i="9"/>
  <c r="D67" i="9"/>
  <c r="G68" i="9"/>
  <c r="G62" i="9"/>
  <c r="D68" i="9"/>
  <c r="B50" i="9"/>
  <c r="B49" i="9" s="1"/>
  <c r="C32" i="9"/>
  <c r="C31" i="9" s="1"/>
  <c r="F37" i="9"/>
  <c r="D37" i="9"/>
  <c r="G37" i="9"/>
  <c r="G35" i="9"/>
  <c r="E32" i="9"/>
  <c r="F35" i="9"/>
  <c r="F32" i="9" s="1"/>
  <c r="F31" i="9" s="1"/>
  <c r="D35" i="9"/>
  <c r="D47" i="11"/>
  <c r="E90" i="11"/>
  <c r="D90" i="11" s="1"/>
  <c r="C90" i="11"/>
  <c r="B90" i="11"/>
  <c r="F90" i="11" l="1"/>
  <c r="G90" i="11"/>
  <c r="G32" i="9"/>
  <c r="G31" i="9" s="1"/>
  <c r="E31" i="9"/>
  <c r="D31" i="9" s="1"/>
  <c r="D32" i="9"/>
  <c r="S38" i="11"/>
  <c r="S37" i="11"/>
  <c r="S58" i="11"/>
  <c r="S57" i="11" s="1"/>
  <c r="C61" i="11"/>
  <c r="E61" i="11"/>
  <c r="S87" i="11"/>
  <c r="C83" i="11"/>
  <c r="E83" i="11"/>
  <c r="S80" i="11"/>
  <c r="C76" i="11"/>
  <c r="E76" i="11"/>
  <c r="E55" i="11"/>
  <c r="E46" i="11" s="1"/>
  <c r="C55" i="11"/>
  <c r="S52" i="11"/>
  <c r="S51" i="11" s="1"/>
  <c r="D46" i="11" l="1"/>
  <c r="D45" i="11" s="1"/>
  <c r="E45" i="11"/>
  <c r="H66" i="18"/>
  <c r="I66" i="18"/>
  <c r="J66" i="18"/>
  <c r="K66" i="18"/>
  <c r="L66" i="18"/>
  <c r="M66" i="18"/>
  <c r="N66" i="18"/>
  <c r="O66" i="18"/>
  <c r="P66" i="18"/>
  <c r="Q66" i="18"/>
  <c r="H65" i="18"/>
  <c r="I65" i="18"/>
  <c r="J65" i="18"/>
  <c r="K65" i="18"/>
  <c r="L65" i="18"/>
  <c r="M65" i="18"/>
  <c r="N65" i="18"/>
  <c r="O65" i="18"/>
  <c r="P65" i="18"/>
  <c r="Q65" i="18"/>
  <c r="H64" i="18"/>
  <c r="I64" i="18"/>
  <c r="J64" i="18"/>
  <c r="K64" i="18"/>
  <c r="L64" i="18"/>
  <c r="M64" i="18"/>
  <c r="N64" i="18"/>
  <c r="O64" i="18"/>
  <c r="P64" i="18"/>
  <c r="Q64" i="18"/>
  <c r="M28" i="18"/>
  <c r="I33" i="18" l="1"/>
  <c r="I156" i="18" s="1"/>
  <c r="J33" i="18"/>
  <c r="J156" i="18" s="1"/>
  <c r="K33" i="18"/>
  <c r="K156" i="18" s="1"/>
  <c r="L33" i="18"/>
  <c r="L156" i="18" s="1"/>
  <c r="M33" i="18"/>
  <c r="M156" i="18" s="1"/>
  <c r="N33" i="18"/>
  <c r="N156" i="18" s="1"/>
  <c r="O33" i="18"/>
  <c r="O156" i="18" s="1"/>
  <c r="P33" i="18"/>
  <c r="P156" i="18" s="1"/>
  <c r="Q33" i="18"/>
  <c r="Q156" i="18" s="1"/>
  <c r="R33" i="18"/>
  <c r="R156" i="18" s="1"/>
  <c r="S33" i="18"/>
  <c r="S156" i="18" s="1"/>
  <c r="T33" i="18"/>
  <c r="T156" i="18" s="1"/>
  <c r="U33" i="18"/>
  <c r="U156" i="18" s="1"/>
  <c r="V33" i="18"/>
  <c r="V156" i="18" s="1"/>
  <c r="W33" i="18"/>
  <c r="W156" i="18" s="1"/>
  <c r="X33" i="18"/>
  <c r="X156" i="18" s="1"/>
  <c r="Y33" i="18"/>
  <c r="Y156" i="18" s="1"/>
  <c r="Z33" i="18"/>
  <c r="Z156" i="18" s="1"/>
  <c r="AA33" i="18"/>
  <c r="AA156" i="18" s="1"/>
  <c r="AB33" i="18"/>
  <c r="AB156" i="18" s="1"/>
  <c r="AC33" i="18"/>
  <c r="AC156" i="18" s="1"/>
  <c r="AD33" i="18"/>
  <c r="AD156" i="18" s="1"/>
  <c r="AE33" i="18"/>
  <c r="AE156" i="18" s="1"/>
  <c r="H33" i="18"/>
  <c r="H156" i="18" s="1"/>
  <c r="I28" i="18" l="1"/>
  <c r="J28" i="18"/>
  <c r="K28" i="18"/>
  <c r="L28" i="18"/>
  <c r="N28" i="18"/>
  <c r="O28" i="18"/>
  <c r="P28" i="18"/>
  <c r="Q28" i="18"/>
  <c r="R28" i="18"/>
  <c r="S28" i="18"/>
  <c r="T28" i="18"/>
  <c r="U28" i="18"/>
  <c r="V28" i="18"/>
  <c r="W28" i="18"/>
  <c r="X28" i="18"/>
  <c r="Y28" i="18"/>
  <c r="Z28" i="18"/>
  <c r="AA28" i="18"/>
  <c r="AB28" i="18"/>
  <c r="AC28" i="18"/>
  <c r="AD28" i="18"/>
  <c r="AE28" i="18"/>
  <c r="H28" i="18"/>
  <c r="E29" i="18"/>
  <c r="D29" i="18" s="1"/>
  <c r="C29" i="18"/>
  <c r="G29" i="18" s="1"/>
  <c r="B29" i="18"/>
  <c r="I24" i="18"/>
  <c r="J24" i="18"/>
  <c r="K24" i="18"/>
  <c r="L24" i="18"/>
  <c r="M24" i="18"/>
  <c r="N24" i="18"/>
  <c r="O24" i="18"/>
  <c r="P24" i="18"/>
  <c r="Q24" i="18"/>
  <c r="R24" i="18"/>
  <c r="S24" i="18"/>
  <c r="T24" i="18"/>
  <c r="U24" i="18"/>
  <c r="V24" i="18"/>
  <c r="W24" i="18"/>
  <c r="X24" i="18"/>
  <c r="Y24" i="18"/>
  <c r="Z24" i="18"/>
  <c r="AA24" i="18"/>
  <c r="AB24" i="18"/>
  <c r="AC24" i="18"/>
  <c r="AD24" i="18"/>
  <c r="AE24" i="18"/>
  <c r="H24" i="18"/>
  <c r="E25" i="18"/>
  <c r="D25" i="18" s="1"/>
  <c r="C25" i="18"/>
  <c r="B25" i="18"/>
  <c r="I20" i="18"/>
  <c r="J20" i="18"/>
  <c r="K20" i="18"/>
  <c r="L20" i="18"/>
  <c r="M20" i="18"/>
  <c r="N20" i="18"/>
  <c r="O20" i="18"/>
  <c r="P20" i="18"/>
  <c r="Q20" i="18"/>
  <c r="R20" i="18"/>
  <c r="S20" i="18"/>
  <c r="T20" i="18"/>
  <c r="U20" i="18"/>
  <c r="V20" i="18"/>
  <c r="W20" i="18"/>
  <c r="X20" i="18"/>
  <c r="Y20" i="18"/>
  <c r="Z20" i="18"/>
  <c r="AA20" i="18"/>
  <c r="AB20" i="18"/>
  <c r="AC20" i="18"/>
  <c r="AD20" i="18"/>
  <c r="AE20" i="18"/>
  <c r="H20" i="18"/>
  <c r="E21" i="18"/>
  <c r="C21" i="18"/>
  <c r="C33" i="18" s="1"/>
  <c r="B21" i="18"/>
  <c r="C133" i="18"/>
  <c r="C125" i="18"/>
  <c r="C126" i="18"/>
  <c r="C124" i="18"/>
  <c r="C120" i="18"/>
  <c r="C121" i="18"/>
  <c r="C119" i="18"/>
  <c r="C115" i="18"/>
  <c r="C116" i="18"/>
  <c r="C114" i="18"/>
  <c r="C110" i="18"/>
  <c r="C111" i="18"/>
  <c r="C109" i="18"/>
  <c r="C105" i="18"/>
  <c r="C106" i="18"/>
  <c r="C104" i="18"/>
  <c r="C100" i="18"/>
  <c r="C101" i="18"/>
  <c r="C99" i="18"/>
  <c r="C95" i="18"/>
  <c r="C96" i="18"/>
  <c r="C94" i="18"/>
  <c r="C90" i="18"/>
  <c r="C91" i="18"/>
  <c r="C89" i="18"/>
  <c r="C85" i="18"/>
  <c r="C86" i="18"/>
  <c r="C84" i="18"/>
  <c r="C80" i="18"/>
  <c r="C81" i="18"/>
  <c r="C79" i="18"/>
  <c r="C75" i="18"/>
  <c r="C76" i="18"/>
  <c r="C74" i="18"/>
  <c r="C60" i="18"/>
  <c r="C61" i="18"/>
  <c r="C59" i="18"/>
  <c r="C50" i="18"/>
  <c r="C51" i="18"/>
  <c r="C49" i="18"/>
  <c r="C30" i="18"/>
  <c r="C28" i="18" s="1"/>
  <c r="C26" i="18"/>
  <c r="C22" i="18"/>
  <c r="C20" i="18" s="1"/>
  <c r="C15" i="18"/>
  <c r="C156" i="18" l="1"/>
  <c r="C66" i="18"/>
  <c r="C64" i="18"/>
  <c r="C65" i="18"/>
  <c r="B33" i="18"/>
  <c r="F29" i="18"/>
  <c r="F25" i="18"/>
  <c r="D21" i="18"/>
  <c r="E33" i="18"/>
  <c r="E156" i="18" s="1"/>
  <c r="C24" i="18"/>
  <c r="G25" i="18"/>
  <c r="G21" i="18"/>
  <c r="F21" i="18"/>
  <c r="AD136" i="14"/>
  <c r="S136" i="14"/>
  <c r="R136" i="14"/>
  <c r="AD135" i="14"/>
  <c r="E135" i="14"/>
  <c r="C135" i="14"/>
  <c r="S138" i="14"/>
  <c r="R138" i="14"/>
  <c r="V100" i="14"/>
  <c r="E100" i="14"/>
  <c r="R100" i="14"/>
  <c r="Z100" i="14"/>
  <c r="E138" i="14"/>
  <c r="D138" i="14" s="1"/>
  <c r="C138" i="14"/>
  <c r="C325" i="14"/>
  <c r="E330" i="14"/>
  <c r="X330" i="14"/>
  <c r="R330" i="14"/>
  <c r="C330" i="14" s="1"/>
  <c r="X317" i="14"/>
  <c r="N317" i="14"/>
  <c r="C317" i="14" s="1"/>
  <c r="AD318" i="14"/>
  <c r="P318" i="14"/>
  <c r="E319" i="14"/>
  <c r="X319" i="14"/>
  <c r="P319" i="14"/>
  <c r="C307" i="14"/>
  <c r="V307" i="14"/>
  <c r="R295" i="14"/>
  <c r="C295" i="14" s="1"/>
  <c r="Z295" i="14"/>
  <c r="Z283" i="14"/>
  <c r="R283" i="14"/>
  <c r="AH135" i="14" l="1"/>
  <c r="G156" i="18"/>
  <c r="B156" i="18"/>
  <c r="F156" i="18" s="1"/>
  <c r="G33" i="18"/>
  <c r="F33" i="18"/>
  <c r="D33" i="18"/>
  <c r="D156" i="18" s="1"/>
  <c r="X250" i="14"/>
  <c r="R250" i="14"/>
  <c r="C250" i="14" s="1"/>
  <c r="Z244" i="14"/>
  <c r="R244" i="14"/>
  <c r="C244" i="14" s="1"/>
  <c r="C220" i="14"/>
  <c r="C214" i="14"/>
  <c r="C196" i="14"/>
  <c r="V181" i="14"/>
  <c r="E181" i="14"/>
  <c r="X181" i="14"/>
  <c r="R181" i="14"/>
  <c r="C181" i="14" s="1"/>
  <c r="D181" i="14" s="1"/>
  <c r="Z182" i="14"/>
  <c r="R182" i="14"/>
  <c r="C182" i="14" s="1"/>
  <c r="AD183" i="14"/>
  <c r="C183" i="14"/>
  <c r="X143" i="14"/>
  <c r="E143" i="14"/>
  <c r="C143" i="14"/>
  <c r="R143" i="14"/>
  <c r="AD123" i="14"/>
  <c r="C117" i="14"/>
  <c r="T92" i="14"/>
  <c r="R92" i="14"/>
  <c r="C92" i="14" s="1"/>
  <c r="C180" i="14" l="1"/>
  <c r="S76" i="14"/>
  <c r="E76" i="14" s="1"/>
  <c r="R76" i="14"/>
  <c r="C76" i="14" s="1"/>
  <c r="AD76" i="14"/>
  <c r="R70" i="14"/>
  <c r="AD70" i="14"/>
  <c r="AD46" i="14"/>
  <c r="C46" i="14"/>
  <c r="C41" i="14"/>
  <c r="B41" i="14"/>
  <c r="E41" i="14"/>
  <c r="R21" i="14"/>
  <c r="C21" i="14" s="1"/>
  <c r="F41" i="14" l="1"/>
  <c r="D41" i="14"/>
  <c r="G41" i="14"/>
  <c r="E51" i="5"/>
  <c r="C51" i="5"/>
  <c r="C54" i="5" s="1"/>
  <c r="E40" i="5"/>
  <c r="C40" i="5"/>
  <c r="E31" i="5"/>
  <c r="D31" i="5"/>
  <c r="C31" i="5"/>
  <c r="E25" i="5"/>
  <c r="D25" i="5"/>
  <c r="E11" i="5"/>
  <c r="D11" i="5"/>
  <c r="C11" i="5"/>
  <c r="B11" i="5"/>
  <c r="R70" i="20" l="1"/>
  <c r="X69" i="20"/>
  <c r="D68" i="20"/>
  <c r="AE46" i="20"/>
  <c r="AE70" i="20" s="1"/>
  <c r="AD46" i="20"/>
  <c r="AD70" i="20" s="1"/>
  <c r="AC46" i="20"/>
  <c r="AC70" i="20" s="1"/>
  <c r="AB46" i="20"/>
  <c r="AB70" i="20" s="1"/>
  <c r="AA46" i="20"/>
  <c r="AA70" i="20" s="1"/>
  <c r="Z46" i="20"/>
  <c r="Z70" i="20" s="1"/>
  <c r="Y46" i="20"/>
  <c r="Y70" i="20" s="1"/>
  <c r="X46" i="20"/>
  <c r="X70" i="20" s="1"/>
  <c r="W46" i="20"/>
  <c r="W70" i="20" s="1"/>
  <c r="V46" i="20"/>
  <c r="V70" i="20" s="1"/>
  <c r="U46" i="20"/>
  <c r="U70" i="20" s="1"/>
  <c r="T46" i="20"/>
  <c r="T70" i="20" s="1"/>
  <c r="S46" i="20"/>
  <c r="S70" i="20" s="1"/>
  <c r="R46" i="20"/>
  <c r="Q46" i="20"/>
  <c r="Q70" i="20" s="1"/>
  <c r="P46" i="20"/>
  <c r="P70" i="20" s="1"/>
  <c r="O46" i="20"/>
  <c r="O70" i="20" s="1"/>
  <c r="N46" i="20"/>
  <c r="N70" i="20" s="1"/>
  <c r="M46" i="20"/>
  <c r="M70" i="20" s="1"/>
  <c r="L46" i="20"/>
  <c r="L70" i="20" s="1"/>
  <c r="K46" i="20"/>
  <c r="K70" i="20" s="1"/>
  <c r="J46" i="20"/>
  <c r="J70" i="20" s="1"/>
  <c r="I46" i="20"/>
  <c r="I70" i="20" s="1"/>
  <c r="H46" i="20"/>
  <c r="C46" i="20" s="1"/>
  <c r="C70" i="20" s="1"/>
  <c r="D46" i="20"/>
  <c r="D70" i="20" s="1"/>
  <c r="AE45" i="20"/>
  <c r="AE69" i="20" s="1"/>
  <c r="AC45" i="20"/>
  <c r="AC69" i="20" s="1"/>
  <c r="AA45" i="20"/>
  <c r="AA69" i="20" s="1"/>
  <c r="Z45" i="20"/>
  <c r="Z69" i="20" s="1"/>
  <c r="Y45" i="20"/>
  <c r="Y69" i="20" s="1"/>
  <c r="X45" i="20"/>
  <c r="W45" i="20"/>
  <c r="W69" i="20" s="1"/>
  <c r="V45" i="20"/>
  <c r="V69" i="20" s="1"/>
  <c r="U45" i="20"/>
  <c r="U69" i="20" s="1"/>
  <c r="S45" i="20"/>
  <c r="S69" i="20" s="1"/>
  <c r="R45" i="20"/>
  <c r="R69" i="20" s="1"/>
  <c r="Q45" i="20"/>
  <c r="Q69" i="20" s="1"/>
  <c r="P45" i="20"/>
  <c r="P69" i="20" s="1"/>
  <c r="O45" i="20"/>
  <c r="O69" i="20" s="1"/>
  <c r="N45" i="20"/>
  <c r="N69" i="20" s="1"/>
  <c r="M45" i="20"/>
  <c r="M69" i="20" s="1"/>
  <c r="L45" i="20"/>
  <c r="L69" i="20" s="1"/>
  <c r="K45" i="20"/>
  <c r="K69" i="20" s="1"/>
  <c r="J45" i="20"/>
  <c r="C45" i="20" s="1"/>
  <c r="I45" i="20"/>
  <c r="I69" i="20" s="1"/>
  <c r="H45" i="20"/>
  <c r="H69" i="20" s="1"/>
  <c r="D45" i="20"/>
  <c r="D69" i="20" s="1"/>
  <c r="AE44" i="20"/>
  <c r="AE68" i="20" s="1"/>
  <c r="AC44" i="20"/>
  <c r="AC68" i="20" s="1"/>
  <c r="AA44" i="20"/>
  <c r="AA68" i="20" s="1"/>
  <c r="Z44" i="20"/>
  <c r="Z68" i="20" s="1"/>
  <c r="Y44" i="20"/>
  <c r="Y68" i="20" s="1"/>
  <c r="X44" i="20"/>
  <c r="W44" i="20"/>
  <c r="W68" i="20" s="1"/>
  <c r="V44" i="20"/>
  <c r="V68" i="20" s="1"/>
  <c r="U44" i="20"/>
  <c r="U68" i="20" s="1"/>
  <c r="S44" i="20"/>
  <c r="S68" i="20" s="1"/>
  <c r="R44" i="20"/>
  <c r="R68" i="20" s="1"/>
  <c r="Q44" i="20"/>
  <c r="Q68" i="20" s="1"/>
  <c r="P44" i="20"/>
  <c r="O44" i="20"/>
  <c r="O68" i="20" s="1"/>
  <c r="N44" i="20"/>
  <c r="N68" i="20" s="1"/>
  <c r="M44" i="20"/>
  <c r="M68" i="20" s="1"/>
  <c r="L44" i="20"/>
  <c r="K44" i="20"/>
  <c r="K68" i="20" s="1"/>
  <c r="J44" i="20"/>
  <c r="J68" i="20" s="1"/>
  <c r="I44" i="20"/>
  <c r="I68" i="20" s="1"/>
  <c r="H44" i="20"/>
  <c r="H68" i="20" s="1"/>
  <c r="AE43" i="20"/>
  <c r="AE67" i="20" s="1"/>
  <c r="AD43" i="20"/>
  <c r="AD67" i="20" s="1"/>
  <c r="AC43" i="20"/>
  <c r="AC67" i="20" s="1"/>
  <c r="AA43" i="20"/>
  <c r="AA67" i="20" s="1"/>
  <c r="Z43" i="20"/>
  <c r="Y43" i="20"/>
  <c r="Y67" i="20" s="1"/>
  <c r="X43" i="20"/>
  <c r="X67" i="20" s="1"/>
  <c r="W43" i="20"/>
  <c r="W67" i="20" s="1"/>
  <c r="V43" i="20"/>
  <c r="U43" i="20"/>
  <c r="U67" i="20" s="1"/>
  <c r="S43" i="20"/>
  <c r="S67" i="20" s="1"/>
  <c r="R43" i="20"/>
  <c r="Q43" i="20"/>
  <c r="Q67" i="20" s="1"/>
  <c r="P43" i="20"/>
  <c r="P67" i="20" s="1"/>
  <c r="O43" i="20"/>
  <c r="N43" i="20"/>
  <c r="M43" i="20"/>
  <c r="M67" i="20" s="1"/>
  <c r="L43" i="20"/>
  <c r="L67" i="20" s="1"/>
  <c r="K43" i="20"/>
  <c r="K67" i="20" s="1"/>
  <c r="J43" i="20"/>
  <c r="I43" i="20"/>
  <c r="I67" i="20" s="1"/>
  <c r="H43" i="20"/>
  <c r="H67" i="20" s="1"/>
  <c r="E43" i="20"/>
  <c r="D43" i="20"/>
  <c r="D67" i="20" s="1"/>
  <c r="AA42" i="20"/>
  <c r="E57" i="20"/>
  <c r="C57" i="20"/>
  <c r="G57" i="20" s="1"/>
  <c r="AD56" i="20"/>
  <c r="AD57" i="20" s="1"/>
  <c r="AD45" i="20" s="1"/>
  <c r="AD69" i="20" s="1"/>
  <c r="AB56" i="20"/>
  <c r="AB57" i="20" s="1"/>
  <c r="AB45" i="20" s="1"/>
  <c r="AB69" i="20" s="1"/>
  <c r="T56" i="20"/>
  <c r="T57" i="20" s="1"/>
  <c r="T45" i="20" s="1"/>
  <c r="E56" i="20"/>
  <c r="C56" i="20"/>
  <c r="AB55" i="20"/>
  <c r="AB53" i="20" s="1"/>
  <c r="T55" i="20"/>
  <c r="T53" i="20" s="1"/>
  <c r="E55" i="20"/>
  <c r="C55" i="20"/>
  <c r="AE54" i="20"/>
  <c r="AC54" i="20"/>
  <c r="AB54" i="20"/>
  <c r="AA54" i="20"/>
  <c r="Z54" i="20"/>
  <c r="Y54" i="20"/>
  <c r="X54" i="20"/>
  <c r="W54" i="20"/>
  <c r="V54" i="20"/>
  <c r="U54" i="20"/>
  <c r="T54" i="20"/>
  <c r="S54" i="20"/>
  <c r="R54" i="20"/>
  <c r="Q54" i="20"/>
  <c r="P54" i="20"/>
  <c r="O54" i="20"/>
  <c r="N54" i="20"/>
  <c r="M54" i="20"/>
  <c r="L54" i="20"/>
  <c r="K54" i="20"/>
  <c r="J54" i="20"/>
  <c r="I54" i="20"/>
  <c r="H54" i="20"/>
  <c r="D54" i="20"/>
  <c r="E53" i="20"/>
  <c r="C53" i="20"/>
  <c r="E52" i="20"/>
  <c r="C52" i="20"/>
  <c r="B52" i="20"/>
  <c r="E51" i="20"/>
  <c r="C51" i="20"/>
  <c r="B51" i="20"/>
  <c r="E50" i="20"/>
  <c r="C50" i="20"/>
  <c r="B50" i="20"/>
  <c r="E49" i="20"/>
  <c r="C49" i="20"/>
  <c r="B49" i="20"/>
  <c r="AE48" i="20"/>
  <c r="AD48" i="20"/>
  <c r="AC48" i="20"/>
  <c r="AB48" i="20"/>
  <c r="AA48" i="20"/>
  <c r="Z48" i="20"/>
  <c r="Y48" i="20"/>
  <c r="X48" i="20"/>
  <c r="W48" i="20"/>
  <c r="V48" i="20"/>
  <c r="U48" i="20"/>
  <c r="T48" i="20"/>
  <c r="S48" i="20"/>
  <c r="R48" i="20"/>
  <c r="Q48" i="20"/>
  <c r="P48" i="20"/>
  <c r="O48" i="20"/>
  <c r="N48" i="20"/>
  <c r="M48" i="20"/>
  <c r="L48" i="20"/>
  <c r="K48" i="20"/>
  <c r="J48" i="20"/>
  <c r="I48" i="20"/>
  <c r="H48" i="20"/>
  <c r="D48" i="20"/>
  <c r="B62" i="20"/>
  <c r="B60" i="20" s="1"/>
  <c r="B59" i="20" s="1"/>
  <c r="X60" i="20"/>
  <c r="X59" i="20"/>
  <c r="C69" i="20" l="1"/>
  <c r="O42" i="20"/>
  <c r="K42" i="20"/>
  <c r="C54" i="20"/>
  <c r="W42" i="20"/>
  <c r="C48" i="20"/>
  <c r="E54" i="20"/>
  <c r="B55" i="20"/>
  <c r="F55" i="20" s="1"/>
  <c r="B53" i="20"/>
  <c r="V42" i="20"/>
  <c r="Z42" i="20"/>
  <c r="E67" i="20"/>
  <c r="G55" i="20"/>
  <c r="B48" i="20"/>
  <c r="J42" i="20"/>
  <c r="N42" i="20"/>
  <c r="R42" i="20"/>
  <c r="L42" i="20"/>
  <c r="P42" i="20"/>
  <c r="T44" i="20"/>
  <c r="T68" i="20" s="1"/>
  <c r="X42" i="20"/>
  <c r="T69" i="20"/>
  <c r="B45" i="20"/>
  <c r="AE66" i="20"/>
  <c r="Q66" i="20"/>
  <c r="W66" i="20"/>
  <c r="AA66" i="20"/>
  <c r="AC66" i="20"/>
  <c r="K66" i="20"/>
  <c r="S66" i="20"/>
  <c r="I66" i="20"/>
  <c r="M66" i="20"/>
  <c r="U66" i="20"/>
  <c r="Y66" i="20"/>
  <c r="G52" i="20"/>
  <c r="F49" i="20"/>
  <c r="G50" i="20"/>
  <c r="AE42" i="20"/>
  <c r="T43" i="20"/>
  <c r="T67" i="20" s="1"/>
  <c r="T66" i="20" s="1"/>
  <c r="AB43" i="20"/>
  <c r="AB67" i="20" s="1"/>
  <c r="E48" i="20"/>
  <c r="G48" i="20" s="1"/>
  <c r="G49" i="20"/>
  <c r="F50" i="20"/>
  <c r="B56" i="20"/>
  <c r="B57" i="20" s="1"/>
  <c r="F57" i="20" s="1"/>
  <c r="S42" i="20"/>
  <c r="I42" i="20"/>
  <c r="M42" i="20"/>
  <c r="Q42" i="20"/>
  <c r="U42" i="20"/>
  <c r="Y42" i="20"/>
  <c r="AC42" i="20"/>
  <c r="E44" i="20"/>
  <c r="D42" i="20"/>
  <c r="J67" i="20"/>
  <c r="N67" i="20"/>
  <c r="R67" i="20"/>
  <c r="V67" i="20"/>
  <c r="Z67" i="20"/>
  <c r="L68" i="20"/>
  <c r="L66" i="20" s="1"/>
  <c r="P68" i="20"/>
  <c r="P66" i="20" s="1"/>
  <c r="X68" i="20"/>
  <c r="AB44" i="20"/>
  <c r="B44" i="20" s="1"/>
  <c r="B68" i="20" s="1"/>
  <c r="E46" i="20"/>
  <c r="E70" i="20" s="1"/>
  <c r="O67" i="20"/>
  <c r="F53" i="20"/>
  <c r="B54" i="20"/>
  <c r="G53" i="20"/>
  <c r="G51" i="20"/>
  <c r="AD54" i="20"/>
  <c r="G56" i="20"/>
  <c r="G54" i="20" s="1"/>
  <c r="C44" i="20"/>
  <c r="C68" i="20" s="1"/>
  <c r="AD44" i="20"/>
  <c r="AD68" i="20" s="1"/>
  <c r="E45" i="20"/>
  <c r="E69" i="20" s="1"/>
  <c r="J69" i="20"/>
  <c r="H70" i="20"/>
  <c r="H66" i="20" s="1"/>
  <c r="D66" i="20"/>
  <c r="G46" i="20"/>
  <c r="G70" i="20" s="1"/>
  <c r="E42" i="20"/>
  <c r="C43" i="20"/>
  <c r="B46" i="20"/>
  <c r="H42" i="20"/>
  <c r="F51" i="20"/>
  <c r="F48" i="20"/>
  <c r="F52" i="20"/>
  <c r="B43" i="20" l="1"/>
  <c r="F43" i="20" s="1"/>
  <c r="F67" i="20" s="1"/>
  <c r="T42" i="20"/>
  <c r="F56" i="20"/>
  <c r="F54" i="20" s="1"/>
  <c r="C42" i="20"/>
  <c r="C67" i="20"/>
  <c r="R66" i="20"/>
  <c r="G44" i="20"/>
  <c r="G68" i="20" s="1"/>
  <c r="E68" i="20"/>
  <c r="F46" i="20"/>
  <c r="F70" i="20" s="1"/>
  <c r="B70" i="20"/>
  <c r="F44" i="20"/>
  <c r="F68" i="20" s="1"/>
  <c r="AD42" i="20"/>
  <c r="Z66" i="20"/>
  <c r="J66" i="20"/>
  <c r="AD66" i="20"/>
  <c r="G45" i="20"/>
  <c r="G69" i="20" s="1"/>
  <c r="AB42" i="20"/>
  <c r="AB68" i="20"/>
  <c r="V66" i="20"/>
  <c r="F45" i="20"/>
  <c r="F69" i="20" s="1"/>
  <c r="B69" i="20"/>
  <c r="B42" i="20"/>
  <c r="B67" i="20"/>
  <c r="X66" i="20"/>
  <c r="O66" i="20"/>
  <c r="N66" i="20"/>
  <c r="F42" i="20"/>
  <c r="G42" i="20"/>
  <c r="G43" i="20"/>
  <c r="G67" i="20" s="1"/>
  <c r="AB66" i="20" l="1"/>
  <c r="B66" i="20"/>
  <c r="E66" i="20"/>
  <c r="C66" i="20"/>
  <c r="I126" i="21"/>
  <c r="J126" i="21"/>
  <c r="K126" i="21"/>
  <c r="L126" i="21"/>
  <c r="M126" i="21"/>
  <c r="N126" i="21"/>
  <c r="O126" i="21"/>
  <c r="P126" i="21"/>
  <c r="Q126" i="21"/>
  <c r="R126" i="21"/>
  <c r="S126" i="21"/>
  <c r="T126" i="21"/>
  <c r="U126" i="21"/>
  <c r="V126" i="21"/>
  <c r="W126" i="21"/>
  <c r="X126" i="21"/>
  <c r="Y126" i="21"/>
  <c r="Z126" i="21"/>
  <c r="AA126" i="21"/>
  <c r="AB126" i="21"/>
  <c r="AC126" i="21"/>
  <c r="AD126" i="21"/>
  <c r="AE126" i="21"/>
  <c r="I127" i="21"/>
  <c r="J127" i="21"/>
  <c r="K127" i="21"/>
  <c r="L127" i="21"/>
  <c r="M127" i="21"/>
  <c r="N127" i="21"/>
  <c r="O127" i="21"/>
  <c r="P127" i="21"/>
  <c r="Q127" i="21"/>
  <c r="R127" i="21"/>
  <c r="S127" i="21"/>
  <c r="T127" i="21"/>
  <c r="U127" i="21"/>
  <c r="V127" i="21"/>
  <c r="W127" i="21"/>
  <c r="X127" i="21"/>
  <c r="Y127" i="21"/>
  <c r="Z127" i="21"/>
  <c r="AA127" i="21"/>
  <c r="AB127" i="21"/>
  <c r="AC127" i="21"/>
  <c r="AD127" i="21"/>
  <c r="AE127" i="21"/>
  <c r="I128" i="21"/>
  <c r="J128" i="21"/>
  <c r="K128" i="21"/>
  <c r="L128" i="21"/>
  <c r="M128" i="21"/>
  <c r="N128" i="21"/>
  <c r="O128" i="21"/>
  <c r="P128" i="21"/>
  <c r="Q128" i="21"/>
  <c r="R128" i="21"/>
  <c r="S128" i="21"/>
  <c r="T128" i="21"/>
  <c r="U128" i="21"/>
  <c r="V128" i="21"/>
  <c r="W128" i="21"/>
  <c r="X128" i="21"/>
  <c r="Y128" i="21"/>
  <c r="Z128" i="21"/>
  <c r="AA128" i="21"/>
  <c r="AB128" i="21"/>
  <c r="AC128" i="21"/>
  <c r="AD128" i="21"/>
  <c r="AE128" i="21"/>
  <c r="I129" i="21"/>
  <c r="J129" i="21"/>
  <c r="K129" i="21"/>
  <c r="L129" i="21"/>
  <c r="M129" i="21"/>
  <c r="N129" i="21"/>
  <c r="O129" i="21"/>
  <c r="P129" i="21"/>
  <c r="Q129" i="21"/>
  <c r="R129" i="21"/>
  <c r="S129" i="21"/>
  <c r="T129" i="21"/>
  <c r="U129" i="21"/>
  <c r="V129" i="21"/>
  <c r="W129" i="21"/>
  <c r="X129" i="21"/>
  <c r="Y129" i="21"/>
  <c r="Z129" i="21"/>
  <c r="AA129" i="21"/>
  <c r="AB129" i="21"/>
  <c r="AC129" i="21"/>
  <c r="AD129" i="21"/>
  <c r="AE129" i="21"/>
  <c r="H127" i="21"/>
  <c r="H128" i="21"/>
  <c r="H129" i="21"/>
  <c r="H126" i="21"/>
  <c r="C128" i="21"/>
  <c r="C129" i="21"/>
  <c r="C126" i="21"/>
  <c r="E145" i="21"/>
  <c r="D145" i="21" s="1"/>
  <c r="D143" i="21" s="1"/>
  <c r="C145" i="21"/>
  <c r="B145"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E143" i="21"/>
  <c r="C143" i="21"/>
  <c r="B143" i="21"/>
  <c r="F143" i="21" l="1"/>
  <c r="F145" i="21"/>
  <c r="F66" i="20"/>
  <c r="G143" i="21"/>
  <c r="G145" i="21"/>
  <c r="G66" i="20"/>
  <c r="C24" i="21"/>
  <c r="C26" i="21"/>
  <c r="C12" i="21"/>
  <c r="C139" i="21"/>
  <c r="C133" i="21"/>
  <c r="C127" i="21" s="1"/>
  <c r="C114" i="21"/>
  <c r="C102" i="21"/>
  <c r="C96" i="21"/>
  <c r="C90" i="21"/>
  <c r="C84" i="21"/>
  <c r="C78" i="21"/>
  <c r="C72" i="21"/>
  <c r="C66" i="21"/>
  <c r="C48" i="21"/>
  <c r="C49" i="21"/>
  <c r="C50" i="21"/>
  <c r="C47" i="21"/>
  <c r="C42" i="21"/>
  <c r="C43" i="21"/>
  <c r="C44" i="21"/>
  <c r="C41" i="21"/>
  <c r="C36" i="21"/>
  <c r="C19" i="21"/>
  <c r="C38" i="21"/>
  <c r="C35" i="21"/>
  <c r="C30" i="21"/>
  <c r="C23" i="21"/>
  <c r="C17" i="21" s="1"/>
  <c r="C20" i="21" l="1"/>
  <c r="E14" i="15"/>
  <c r="D14" i="15"/>
  <c r="C14" i="15"/>
  <c r="E20" i="4" l="1"/>
  <c r="D20" i="4"/>
  <c r="E31" i="4"/>
  <c r="D31" i="4"/>
  <c r="C31" i="4"/>
  <c r="E11" i="4"/>
  <c r="D11" i="4"/>
  <c r="C11" i="4"/>
  <c r="Q49" i="4"/>
  <c r="S50" i="4"/>
  <c r="E54" i="4" l="1"/>
  <c r="D54" i="4"/>
  <c r="C54" i="4"/>
  <c r="C50" i="4"/>
  <c r="D50" i="4"/>
  <c r="E50" i="4"/>
  <c r="P49" i="4"/>
  <c r="B51" i="4"/>
  <c r="B63" i="4" s="1"/>
  <c r="C51" i="4"/>
  <c r="C63" i="4" s="1"/>
  <c r="D51" i="4"/>
  <c r="D63" i="4" s="1"/>
  <c r="E51" i="4"/>
  <c r="E63" i="4" s="1"/>
  <c r="V33" i="4"/>
  <c r="V32" i="4" s="1"/>
  <c r="C49" i="4" l="1"/>
  <c r="F63" i="4"/>
  <c r="D49" i="4"/>
  <c r="E49" i="4"/>
  <c r="F51" i="4"/>
  <c r="G51" i="4"/>
  <c r="G63" i="4" s="1"/>
  <c r="E14" i="4"/>
  <c r="D14" i="4"/>
  <c r="C14" i="4"/>
  <c r="E30" i="4"/>
  <c r="AA30" i="4"/>
  <c r="AA29" i="4" s="1"/>
  <c r="AB30" i="4"/>
  <c r="AB29" i="4" s="1"/>
  <c r="AC30" i="4"/>
  <c r="AC29" i="4" s="1"/>
  <c r="AD30" i="4"/>
  <c r="AD29" i="4" s="1"/>
  <c r="AE30" i="4"/>
  <c r="AE29" i="4" s="1"/>
  <c r="Z30" i="4"/>
  <c r="Z29" i="4" s="1"/>
  <c r="Y30" i="4"/>
  <c r="Y29" i="4" s="1"/>
  <c r="X30" i="4"/>
  <c r="X29" i="4" s="1"/>
  <c r="W30" i="4"/>
  <c r="W29" i="4" s="1"/>
  <c r="U30" i="4"/>
  <c r="U29" i="4" s="1"/>
  <c r="V30" i="4"/>
  <c r="V29" i="4" s="1"/>
  <c r="T30" i="4"/>
  <c r="T29" i="4" s="1"/>
  <c r="S30" i="4"/>
  <c r="S29" i="4" s="1"/>
  <c r="R30" i="4"/>
  <c r="R29" i="4" s="1"/>
  <c r="E102" i="17" l="1"/>
  <c r="C101" i="17"/>
  <c r="C102" i="17"/>
  <c r="C103" i="17"/>
  <c r="C43" i="17"/>
  <c r="C44" i="17"/>
  <c r="C41" i="17"/>
  <c r="C97" i="17"/>
  <c r="C91" i="17"/>
  <c r="Q105" i="12" l="1"/>
  <c r="P31" i="12"/>
  <c r="T18" i="6" l="1"/>
  <c r="Q116" i="6"/>
  <c r="E19" i="6"/>
  <c r="P103" i="11" l="1"/>
  <c r="B83" i="11"/>
  <c r="B76" i="11"/>
  <c r="E80" i="22" l="1"/>
  <c r="C80" i="22"/>
  <c r="F78" i="22"/>
  <c r="AE75" i="22"/>
  <c r="AC75" i="22"/>
  <c r="AA75" i="22"/>
  <c r="Y75" i="22"/>
  <c r="X75" i="22"/>
  <c r="W75" i="22"/>
  <c r="U75" i="22"/>
  <c r="T75" i="22"/>
  <c r="O75" i="22"/>
  <c r="N75" i="22"/>
  <c r="K75" i="22"/>
  <c r="J75" i="22"/>
  <c r="F75" i="22"/>
  <c r="G80" i="22" l="1"/>
  <c r="D80" i="22"/>
  <c r="F76" i="22"/>
  <c r="F80" i="22"/>
  <c r="E73" i="22"/>
  <c r="D73" i="22"/>
  <c r="C73" i="22"/>
  <c r="B73" i="22"/>
  <c r="E72" i="22"/>
  <c r="D72" i="22" s="1"/>
  <c r="C72" i="22"/>
  <c r="G72" i="22" s="1"/>
  <c r="B72" i="22"/>
  <c r="G71" i="22"/>
  <c r="F71" i="22"/>
  <c r="E70" i="22"/>
  <c r="D70" i="22" s="1"/>
  <c r="C70" i="22"/>
  <c r="B70" i="22"/>
  <c r="E69" i="22"/>
  <c r="D69" i="22"/>
  <c r="C69" i="22"/>
  <c r="B69" i="22"/>
  <c r="AE68" i="22"/>
  <c r="AC68" i="22"/>
  <c r="AA68" i="22"/>
  <c r="Y68" i="22"/>
  <c r="X68" i="22"/>
  <c r="W68" i="22"/>
  <c r="U68" i="22"/>
  <c r="T68" i="22"/>
  <c r="S68" i="22"/>
  <c r="R68" i="22"/>
  <c r="O68" i="22"/>
  <c r="N68" i="22"/>
  <c r="K68" i="22"/>
  <c r="J68" i="22"/>
  <c r="G68" i="22"/>
  <c r="F68" i="22"/>
  <c r="E66" i="22"/>
  <c r="C66" i="22"/>
  <c r="B66" i="22"/>
  <c r="F61" i="22"/>
  <c r="G61" i="22"/>
  <c r="J61" i="22"/>
  <c r="K61" i="22"/>
  <c r="N61" i="22"/>
  <c r="O61" i="22"/>
  <c r="T61" i="22"/>
  <c r="U61" i="22"/>
  <c r="W61" i="22"/>
  <c r="X61" i="22"/>
  <c r="Y61" i="22"/>
  <c r="AA61" i="22"/>
  <c r="AB61" i="22"/>
  <c r="AC61" i="22"/>
  <c r="AE61" i="22"/>
  <c r="B62" i="22"/>
  <c r="C62" i="22"/>
  <c r="E62" i="22"/>
  <c r="B63" i="22"/>
  <c r="C63" i="22"/>
  <c r="E63" i="22"/>
  <c r="F64" i="22"/>
  <c r="G64" i="22"/>
  <c r="B65" i="22"/>
  <c r="C65" i="22"/>
  <c r="E65" i="22"/>
  <c r="F55" i="22"/>
  <c r="G55" i="22"/>
  <c r="J55" i="22"/>
  <c r="K55" i="22"/>
  <c r="L55" i="22"/>
  <c r="M55" i="22"/>
  <c r="N55" i="22"/>
  <c r="O55" i="22"/>
  <c r="R55" i="22"/>
  <c r="T55" i="22"/>
  <c r="U55" i="22"/>
  <c r="W55" i="22"/>
  <c r="X55" i="22"/>
  <c r="Y55" i="22"/>
  <c r="AA55" i="22"/>
  <c r="AB55" i="22"/>
  <c r="AC55" i="22"/>
  <c r="AE55" i="22"/>
  <c r="B56" i="22"/>
  <c r="C56" i="22"/>
  <c r="E56" i="22"/>
  <c r="D56" i="22" s="1"/>
  <c r="B57" i="22"/>
  <c r="C57" i="22"/>
  <c r="E57" i="22"/>
  <c r="B59" i="22"/>
  <c r="C59" i="22"/>
  <c r="E59" i="22"/>
  <c r="F59" i="22" s="1"/>
  <c r="G49" i="22"/>
  <c r="H49" i="22"/>
  <c r="I49" i="22"/>
  <c r="J49" i="22"/>
  <c r="K49" i="22"/>
  <c r="N49" i="22"/>
  <c r="O49" i="22"/>
  <c r="R49" i="22"/>
  <c r="S49" i="22"/>
  <c r="T49" i="22"/>
  <c r="U49" i="22"/>
  <c r="W49" i="22"/>
  <c r="X49" i="22"/>
  <c r="Y49" i="22"/>
  <c r="AA49" i="22"/>
  <c r="AC49" i="22"/>
  <c r="AE49" i="22"/>
  <c r="B50" i="22"/>
  <c r="C50" i="22"/>
  <c r="E50" i="22"/>
  <c r="D50" i="22" s="1"/>
  <c r="B51" i="22"/>
  <c r="C51" i="22"/>
  <c r="E51" i="22"/>
  <c r="D51" i="22" s="1"/>
  <c r="F52" i="22"/>
  <c r="G52" i="22"/>
  <c r="B53" i="22"/>
  <c r="C53" i="22"/>
  <c r="E53" i="22"/>
  <c r="D53" i="22" s="1"/>
  <c r="Q26" i="22"/>
  <c r="P26" i="22"/>
  <c r="D30" i="22"/>
  <c r="G31" i="22"/>
  <c r="D32" i="22"/>
  <c r="C33" i="22"/>
  <c r="G33" i="22" s="1"/>
  <c r="C29" i="22"/>
  <c r="G29" i="22" s="1"/>
  <c r="B29" i="22"/>
  <c r="F29" i="22" s="1"/>
  <c r="F32" i="22"/>
  <c r="V28" i="22"/>
  <c r="B33" i="22"/>
  <c r="F33" i="22" s="1"/>
  <c r="G32" i="22"/>
  <c r="F31" i="22"/>
  <c r="G30" i="22"/>
  <c r="F30" i="22"/>
  <c r="AE28" i="22"/>
  <c r="AD28" i="22"/>
  <c r="AC28" i="22"/>
  <c r="AB28" i="22"/>
  <c r="AA28" i="22"/>
  <c r="Y28" i="22"/>
  <c r="X28" i="22"/>
  <c r="W28" i="22"/>
  <c r="U28" i="22"/>
  <c r="T28" i="22"/>
  <c r="Q28" i="22"/>
  <c r="P28" i="22"/>
  <c r="O28" i="22"/>
  <c r="N28" i="22"/>
  <c r="M28" i="22"/>
  <c r="L28" i="22"/>
  <c r="K28" i="22"/>
  <c r="J28" i="22"/>
  <c r="I28" i="22"/>
  <c r="H28" i="22"/>
  <c r="F28" i="22"/>
  <c r="F53" i="22" l="1"/>
  <c r="F57" i="22"/>
  <c r="G56" i="22"/>
  <c r="D33" i="22"/>
  <c r="D29" i="22"/>
  <c r="G66" i="22"/>
  <c r="G73" i="22"/>
  <c r="F63" i="22"/>
  <c r="F62" i="22"/>
  <c r="D62" i="22"/>
  <c r="D31" i="22"/>
  <c r="G51" i="22"/>
  <c r="G62" i="22"/>
  <c r="F69" i="22"/>
  <c r="F70" i="22"/>
  <c r="G53" i="22"/>
  <c r="F51" i="22"/>
  <c r="F65" i="22"/>
  <c r="D66" i="22"/>
  <c r="G69" i="22"/>
  <c r="F72" i="22"/>
  <c r="G70" i="22"/>
  <c r="F73" i="22"/>
  <c r="F66" i="22"/>
  <c r="D65" i="22"/>
  <c r="D63" i="22"/>
  <c r="G65" i="22"/>
  <c r="G63" i="22"/>
  <c r="D59" i="22"/>
  <c r="D57" i="22"/>
  <c r="F56" i="22"/>
  <c r="G59" i="22"/>
  <c r="G57" i="22"/>
  <c r="G50" i="22"/>
  <c r="F50" i="22"/>
  <c r="C49" i="19"/>
  <c r="C27" i="19"/>
  <c r="G28" i="22" l="1"/>
  <c r="D28" i="22"/>
  <c r="AG8" i="23"/>
  <c r="N133" i="8" l="1"/>
  <c r="I130" i="8" l="1"/>
  <c r="K130" i="8"/>
  <c r="M130" i="8"/>
  <c r="O130" i="8"/>
  <c r="Q130" i="8"/>
  <c r="S130" i="8"/>
  <c r="U130" i="8"/>
  <c r="W130" i="8"/>
  <c r="Y130" i="8"/>
  <c r="AA130" i="8"/>
  <c r="AC130" i="8"/>
  <c r="AE130" i="8"/>
  <c r="E133" i="8"/>
  <c r="D133" i="8" s="1"/>
  <c r="D130" i="8" s="1"/>
  <c r="H133" i="8"/>
  <c r="H130" i="8" s="1"/>
  <c r="J133" i="8"/>
  <c r="J130" i="8" s="1"/>
  <c r="L133" i="8"/>
  <c r="L130" i="8" s="1"/>
  <c r="N130" i="8"/>
  <c r="P133" i="8"/>
  <c r="P130" i="8" s="1"/>
  <c r="R133" i="8"/>
  <c r="R130" i="8" s="1"/>
  <c r="T130" i="8"/>
  <c r="V130" i="8"/>
  <c r="X130" i="8"/>
  <c r="Z130" i="8"/>
  <c r="AB130" i="8"/>
  <c r="AD130" i="8"/>
  <c r="H138" i="8"/>
  <c r="I138" i="8"/>
  <c r="J138" i="8"/>
  <c r="K138" i="8"/>
  <c r="L138" i="8"/>
  <c r="M138" i="8"/>
  <c r="N138" i="8"/>
  <c r="O138" i="8"/>
  <c r="P138" i="8"/>
  <c r="Q138" i="8"/>
  <c r="R138" i="8"/>
  <c r="S138" i="8"/>
  <c r="T138" i="8"/>
  <c r="U138" i="8"/>
  <c r="V138" i="8"/>
  <c r="W138" i="8"/>
  <c r="X138" i="8"/>
  <c r="Y138" i="8"/>
  <c r="Z138" i="8"/>
  <c r="AA138" i="8"/>
  <c r="AB138" i="8"/>
  <c r="AC138" i="8"/>
  <c r="AD138" i="8"/>
  <c r="AE138" i="8"/>
  <c r="B139" i="8"/>
  <c r="C139" i="8"/>
  <c r="E139" i="8"/>
  <c r="D139" i="8" s="1"/>
  <c r="B140" i="8"/>
  <c r="C140" i="8"/>
  <c r="E140" i="8"/>
  <c r="B141" i="8"/>
  <c r="C141" i="8"/>
  <c r="E141" i="8"/>
  <c r="B142" i="8"/>
  <c r="C142" i="8"/>
  <c r="E142" i="8"/>
  <c r="D142" i="8" s="1"/>
  <c r="B152" i="8"/>
  <c r="D152" i="8"/>
  <c r="E152" i="8"/>
  <c r="H152" i="8"/>
  <c r="H146" i="8" s="1"/>
  <c r="I152" i="8"/>
  <c r="I146" i="8" s="1"/>
  <c r="J152" i="8"/>
  <c r="K152" i="8"/>
  <c r="L152" i="8"/>
  <c r="L146" i="8" s="1"/>
  <c r="M152" i="8"/>
  <c r="M146" i="8" s="1"/>
  <c r="N152" i="8"/>
  <c r="O152" i="8"/>
  <c r="P152" i="8"/>
  <c r="P146" i="8" s="1"/>
  <c r="Q152" i="8"/>
  <c r="Q146" i="8" s="1"/>
  <c r="R152" i="8"/>
  <c r="S152" i="8"/>
  <c r="S146" i="8" s="1"/>
  <c r="T152" i="8"/>
  <c r="T146" i="8" s="1"/>
  <c r="U152" i="8"/>
  <c r="U146" i="8" s="1"/>
  <c r="V152" i="8"/>
  <c r="W152" i="8"/>
  <c r="X152" i="8"/>
  <c r="X146" i="8" s="1"/>
  <c r="Y152" i="8"/>
  <c r="Y146" i="8" s="1"/>
  <c r="Z152" i="8"/>
  <c r="AA152" i="8"/>
  <c r="AB152" i="8"/>
  <c r="AB146" i="8" s="1"/>
  <c r="AC152" i="8"/>
  <c r="AC146" i="8" s="1"/>
  <c r="AD152" i="8"/>
  <c r="AE152" i="8"/>
  <c r="AE146" i="8" s="1"/>
  <c r="H154" i="8"/>
  <c r="H148" i="8" s="1"/>
  <c r="I154" i="8"/>
  <c r="J154" i="8"/>
  <c r="J148" i="8" s="1"/>
  <c r="K154" i="8"/>
  <c r="K148" i="8" s="1"/>
  <c r="L154" i="8"/>
  <c r="L148" i="8" s="1"/>
  <c r="M154" i="8"/>
  <c r="M148" i="8" s="1"/>
  <c r="N154" i="8"/>
  <c r="N148" i="8" s="1"/>
  <c r="O154" i="8"/>
  <c r="O148" i="8" s="1"/>
  <c r="P154" i="8"/>
  <c r="P148" i="8" s="1"/>
  <c r="Q154" i="8"/>
  <c r="R154" i="8"/>
  <c r="R148" i="8" s="1"/>
  <c r="S154" i="8"/>
  <c r="S148" i="8" s="1"/>
  <c r="T154" i="8"/>
  <c r="T148" i="8" s="1"/>
  <c r="U154" i="8"/>
  <c r="V154" i="8"/>
  <c r="V148" i="8" s="1"/>
  <c r="W154" i="8"/>
  <c r="W148" i="8" s="1"/>
  <c r="X154" i="8"/>
  <c r="X148" i="8" s="1"/>
  <c r="Y154" i="8"/>
  <c r="Y148" i="8" s="1"/>
  <c r="Z154" i="8"/>
  <c r="Z148" i="8" s="1"/>
  <c r="AA154" i="8"/>
  <c r="AA148" i="8" s="1"/>
  <c r="AB154" i="8"/>
  <c r="AB148" i="8" s="1"/>
  <c r="AC154" i="8"/>
  <c r="AD154" i="8"/>
  <c r="AD148" i="8" s="1"/>
  <c r="AE154" i="8"/>
  <c r="AE148" i="8" s="1"/>
  <c r="B155" i="8"/>
  <c r="D155" i="8"/>
  <c r="H155" i="8"/>
  <c r="H149" i="8" s="1"/>
  <c r="I155" i="8"/>
  <c r="I149" i="8" s="1"/>
  <c r="J155" i="8"/>
  <c r="J149" i="8" s="1"/>
  <c r="K155" i="8"/>
  <c r="K149" i="8" s="1"/>
  <c r="L155" i="8"/>
  <c r="L149" i="8" s="1"/>
  <c r="M155" i="8"/>
  <c r="M149" i="8" s="1"/>
  <c r="N155" i="8"/>
  <c r="N149" i="8" s="1"/>
  <c r="O155" i="8"/>
  <c r="O149" i="8" s="1"/>
  <c r="P155" i="8"/>
  <c r="P149" i="8" s="1"/>
  <c r="Q155" i="8"/>
  <c r="Q149" i="8" s="1"/>
  <c r="R155" i="8"/>
  <c r="R149" i="8" s="1"/>
  <c r="S155" i="8"/>
  <c r="S149" i="8" s="1"/>
  <c r="T155" i="8"/>
  <c r="T149" i="8" s="1"/>
  <c r="U155" i="8"/>
  <c r="U149" i="8" s="1"/>
  <c r="V155" i="8"/>
  <c r="V149" i="8" s="1"/>
  <c r="W155" i="8"/>
  <c r="W149" i="8" s="1"/>
  <c r="X155" i="8"/>
  <c r="X149" i="8" s="1"/>
  <c r="Y155" i="8"/>
  <c r="Y149" i="8" s="1"/>
  <c r="Z155" i="8"/>
  <c r="Z149" i="8" s="1"/>
  <c r="AA155" i="8"/>
  <c r="AA149" i="8" s="1"/>
  <c r="AB155" i="8"/>
  <c r="AB149" i="8" s="1"/>
  <c r="AC155" i="8"/>
  <c r="AC149" i="8" s="1"/>
  <c r="AD155" i="8"/>
  <c r="AD149" i="8" s="1"/>
  <c r="AE155" i="8"/>
  <c r="AE149" i="8" s="1"/>
  <c r="H158" i="8"/>
  <c r="I158" i="8"/>
  <c r="J158" i="8"/>
  <c r="K158" i="8"/>
  <c r="L158" i="8"/>
  <c r="M158" i="8"/>
  <c r="N158" i="8"/>
  <c r="O158" i="8"/>
  <c r="P158" i="8"/>
  <c r="Q158" i="8"/>
  <c r="R158" i="8"/>
  <c r="S158" i="8"/>
  <c r="T158" i="8"/>
  <c r="U158" i="8"/>
  <c r="V158" i="8"/>
  <c r="W158" i="8"/>
  <c r="X158" i="8"/>
  <c r="Y158" i="8"/>
  <c r="Z158" i="8"/>
  <c r="AA158" i="8"/>
  <c r="AB158" i="8"/>
  <c r="AC158" i="8"/>
  <c r="AD158" i="8"/>
  <c r="AE158" i="8"/>
  <c r="B161" i="8"/>
  <c r="C161" i="8"/>
  <c r="C155" i="8" s="1"/>
  <c r="E161" i="8"/>
  <c r="D161" i="8" s="1"/>
  <c r="H164" i="8"/>
  <c r="I164" i="8"/>
  <c r="J164" i="8"/>
  <c r="K164" i="8"/>
  <c r="L164" i="8"/>
  <c r="M164" i="8"/>
  <c r="N164" i="8"/>
  <c r="O164" i="8"/>
  <c r="P164" i="8"/>
  <c r="Q164" i="8"/>
  <c r="R164" i="8"/>
  <c r="S164" i="8"/>
  <c r="T164" i="8"/>
  <c r="U164" i="8"/>
  <c r="V164" i="8"/>
  <c r="W164" i="8"/>
  <c r="X164" i="8"/>
  <c r="Y164" i="8"/>
  <c r="Z164" i="8"/>
  <c r="AA164" i="8"/>
  <c r="AB164" i="8"/>
  <c r="AC164" i="8"/>
  <c r="AD164" i="8"/>
  <c r="AE164" i="8"/>
  <c r="B167" i="8"/>
  <c r="B164" i="8" s="1"/>
  <c r="C167" i="8"/>
  <c r="E167" i="8"/>
  <c r="D167" i="8" s="1"/>
  <c r="D164" i="8" s="1"/>
  <c r="H170" i="8"/>
  <c r="I170" i="8"/>
  <c r="J170" i="8"/>
  <c r="K170" i="8"/>
  <c r="L170" i="8"/>
  <c r="M170" i="8"/>
  <c r="N170" i="8"/>
  <c r="O170" i="8"/>
  <c r="P170" i="8"/>
  <c r="Q170" i="8"/>
  <c r="R170" i="8"/>
  <c r="S170" i="8"/>
  <c r="T170" i="8"/>
  <c r="U170" i="8"/>
  <c r="V170" i="8"/>
  <c r="W170" i="8"/>
  <c r="X170" i="8"/>
  <c r="Y170" i="8"/>
  <c r="Z170" i="8"/>
  <c r="AA170" i="8"/>
  <c r="AB170" i="8"/>
  <c r="AC170" i="8"/>
  <c r="AD170" i="8"/>
  <c r="AE170" i="8"/>
  <c r="B173" i="8"/>
  <c r="B170" i="8" s="1"/>
  <c r="C173" i="8"/>
  <c r="C170" i="8" s="1"/>
  <c r="E173" i="8"/>
  <c r="D173" i="8" s="1"/>
  <c r="D170" i="8" s="1"/>
  <c r="H176" i="8"/>
  <c r="I176" i="8"/>
  <c r="J176" i="8"/>
  <c r="K176" i="8"/>
  <c r="L176" i="8"/>
  <c r="M176" i="8"/>
  <c r="N176" i="8"/>
  <c r="O176" i="8"/>
  <c r="P176" i="8"/>
  <c r="Q176" i="8"/>
  <c r="R176" i="8"/>
  <c r="S176" i="8"/>
  <c r="T176" i="8"/>
  <c r="U176" i="8"/>
  <c r="V176" i="8"/>
  <c r="W176" i="8"/>
  <c r="X176" i="8"/>
  <c r="Y176" i="8"/>
  <c r="Z176" i="8"/>
  <c r="AA176" i="8"/>
  <c r="AB176" i="8"/>
  <c r="AC176" i="8"/>
  <c r="AD176" i="8"/>
  <c r="AE176" i="8"/>
  <c r="B177" i="8"/>
  <c r="C177" i="8"/>
  <c r="E177" i="8"/>
  <c r="D177" i="8" s="1"/>
  <c r="AA151" i="8" l="1"/>
  <c r="O151" i="8"/>
  <c r="E164" i="8"/>
  <c r="F164" i="8" s="1"/>
  <c r="E158" i="8"/>
  <c r="W151" i="8"/>
  <c r="K151" i="8"/>
  <c r="G167" i="8"/>
  <c r="Y145" i="8"/>
  <c r="M145" i="8"/>
  <c r="E138" i="8"/>
  <c r="C138" i="8"/>
  <c r="G177" i="8"/>
  <c r="E170" i="8"/>
  <c r="F170" i="8" s="1"/>
  <c r="B154" i="8"/>
  <c r="B151" i="8" s="1"/>
  <c r="E154" i="8"/>
  <c r="G142" i="8"/>
  <c r="F141" i="8"/>
  <c r="B138" i="8"/>
  <c r="E146" i="8"/>
  <c r="AC151" i="8"/>
  <c r="U151" i="8"/>
  <c r="Q151" i="8"/>
  <c r="I151" i="8"/>
  <c r="AD151" i="8"/>
  <c r="Z151" i="8"/>
  <c r="V151" i="8"/>
  <c r="R151" i="8"/>
  <c r="N151" i="8"/>
  <c r="J151" i="8"/>
  <c r="E130" i="8"/>
  <c r="AB145" i="8"/>
  <c r="X145" i="8"/>
  <c r="T145" i="8"/>
  <c r="P145" i="8"/>
  <c r="L145" i="8"/>
  <c r="H145" i="8"/>
  <c r="AE145" i="8"/>
  <c r="S145" i="8"/>
  <c r="D154" i="8"/>
  <c r="D158" i="8"/>
  <c r="D146" i="8"/>
  <c r="Y151" i="8"/>
  <c r="M151" i="8"/>
  <c r="AC148" i="8"/>
  <c r="AC145" i="8" s="1"/>
  <c r="Q148" i="8"/>
  <c r="Q145" i="8" s="1"/>
  <c r="W146" i="8"/>
  <c r="W145" i="8" s="1"/>
  <c r="O146" i="8"/>
  <c r="O145" i="8" s="1"/>
  <c r="F177" i="8"/>
  <c r="F173" i="8"/>
  <c r="F167" i="8"/>
  <c r="F161" i="8"/>
  <c r="F152" i="8"/>
  <c r="AB151" i="8"/>
  <c r="X151" i="8"/>
  <c r="T151" i="8"/>
  <c r="P151" i="8"/>
  <c r="L151" i="8"/>
  <c r="H151" i="8"/>
  <c r="AD146" i="8"/>
  <c r="AD145" i="8" s="1"/>
  <c r="Z146" i="8"/>
  <c r="Z145" i="8" s="1"/>
  <c r="V146" i="8"/>
  <c r="V145" i="8" s="1"/>
  <c r="R146" i="8"/>
  <c r="R145" i="8" s="1"/>
  <c r="N146" i="8"/>
  <c r="N145" i="8" s="1"/>
  <c r="J146" i="8"/>
  <c r="J145" i="8" s="1"/>
  <c r="B146" i="8"/>
  <c r="F142" i="8"/>
  <c r="D141" i="8"/>
  <c r="D140" i="8"/>
  <c r="F139" i="8"/>
  <c r="B133" i="8"/>
  <c r="B130" i="8" s="1"/>
  <c r="G173" i="8"/>
  <c r="G161" i="8"/>
  <c r="U148" i="8"/>
  <c r="U145" i="8" s="1"/>
  <c r="I148" i="8"/>
  <c r="I145" i="8" s="1"/>
  <c r="AA146" i="8"/>
  <c r="AA145" i="8" s="1"/>
  <c r="K146" i="8"/>
  <c r="K145" i="8" s="1"/>
  <c r="G139" i="8"/>
  <c r="C133" i="8"/>
  <c r="G170" i="8"/>
  <c r="C164" i="8"/>
  <c r="C158" i="8"/>
  <c r="C152" i="8" s="1"/>
  <c r="E155" i="8"/>
  <c r="C154" i="8"/>
  <c r="AE151" i="8"/>
  <c r="S151" i="8"/>
  <c r="G141" i="8"/>
  <c r="B158" i="8"/>
  <c r="AG199" i="8"/>
  <c r="Q203" i="8"/>
  <c r="G138" i="8" l="1"/>
  <c r="G164" i="8"/>
  <c r="F130" i="8"/>
  <c r="F154" i="8"/>
  <c r="F158" i="8"/>
  <c r="F138" i="8"/>
  <c r="D138" i="8"/>
  <c r="G154" i="8"/>
  <c r="C130" i="8"/>
  <c r="G130" i="8" s="1"/>
  <c r="G133" i="8"/>
  <c r="F155" i="8"/>
  <c r="G155" i="8"/>
  <c r="C151" i="8"/>
  <c r="C146" i="8"/>
  <c r="G152" i="8"/>
  <c r="E151" i="8"/>
  <c r="F133" i="8"/>
  <c r="D151" i="8"/>
  <c r="G158" i="8"/>
  <c r="F146" i="8"/>
  <c r="G146" i="8" l="1"/>
  <c r="F151" i="8"/>
  <c r="G151" i="8"/>
  <c r="AD115" i="7" l="1"/>
  <c r="X115" i="7"/>
  <c r="W115" i="7"/>
  <c r="V115" i="7"/>
  <c r="D43" i="7"/>
  <c r="C43" i="7"/>
  <c r="E41" i="7"/>
  <c r="C41" i="7"/>
  <c r="D41" i="7"/>
  <c r="C42" i="7"/>
  <c r="D42" i="7"/>
  <c r="E108" i="7"/>
  <c r="D108" i="7"/>
  <c r="C108" i="7"/>
  <c r="C79" i="7"/>
  <c r="E79" i="7"/>
  <c r="G41" i="7" l="1"/>
  <c r="Q49" i="11"/>
  <c r="P33" i="11"/>
  <c r="R33" i="11" s="1"/>
  <c r="Q33" i="11"/>
  <c r="S33" i="11" s="1"/>
  <c r="P34" i="11"/>
  <c r="R34" i="11" s="1"/>
  <c r="Q34" i="11"/>
  <c r="S34" i="11" s="1"/>
  <c r="P35" i="11"/>
  <c r="R35" i="11" s="1"/>
  <c r="Q35" i="11"/>
  <c r="S35" i="11" s="1"/>
  <c r="P36" i="11"/>
  <c r="R36" i="11" s="1"/>
  <c r="Q36" i="11"/>
  <c r="S36" i="11" s="1"/>
  <c r="R32" i="11"/>
  <c r="R31" i="11" s="1"/>
  <c r="T32" i="11"/>
  <c r="T31" i="11" s="1"/>
  <c r="Q18" i="11"/>
  <c r="P18" i="11"/>
  <c r="Q70" i="11" l="1"/>
  <c r="P70" i="11"/>
  <c r="Q87" i="11"/>
  <c r="E87" i="11"/>
  <c r="P87" i="11"/>
  <c r="C91" i="11"/>
  <c r="B91" i="11"/>
  <c r="C84" i="11"/>
  <c r="Q80" i="11"/>
  <c r="P80" i="11"/>
  <c r="E84" i="11"/>
  <c r="B84" i="11"/>
  <c r="C77" i="11"/>
  <c r="E77" i="11"/>
  <c r="B77" i="11"/>
  <c r="P73" i="11"/>
  <c r="Q73" i="11"/>
  <c r="E73" i="11"/>
  <c r="Q58" i="11"/>
  <c r="Q57" i="11" s="1"/>
  <c r="Q52" i="11"/>
  <c r="Q51" i="11" s="1"/>
  <c r="B70" i="11" l="1"/>
  <c r="B97" i="11" s="1"/>
  <c r="B103" i="11" s="1"/>
  <c r="E70" i="11"/>
  <c r="E97" i="11" s="1"/>
  <c r="D77" i="11"/>
  <c r="D70" i="11" s="1"/>
  <c r="D97" i="11" s="1"/>
  <c r="D103" i="11" s="1"/>
  <c r="C70" i="11"/>
  <c r="C97" i="11" s="1"/>
  <c r="C103" i="11" s="1"/>
  <c r="E39" i="5" l="1"/>
  <c r="E37" i="5"/>
  <c r="C37" i="5"/>
  <c r="E42" i="7"/>
  <c r="E43" i="7"/>
  <c r="P107" i="7"/>
  <c r="J107" i="7"/>
  <c r="W91" i="7"/>
  <c r="V91" i="7"/>
  <c r="K91" i="7"/>
  <c r="H91" i="7"/>
  <c r="L82" i="7"/>
  <c r="L81" i="7" s="1"/>
  <c r="L80" i="7" s="1"/>
  <c r="M82" i="7"/>
  <c r="M81" i="7" s="1"/>
  <c r="M80" i="7" s="1"/>
  <c r="N82" i="7"/>
  <c r="N81" i="7" s="1"/>
  <c r="N80" i="7" s="1"/>
  <c r="O82" i="7"/>
  <c r="O81" i="7" s="1"/>
  <c r="O80" i="7" s="1"/>
  <c r="P82" i="7"/>
  <c r="P81" i="7" s="1"/>
  <c r="P80" i="7" s="1"/>
  <c r="Q82" i="7"/>
  <c r="Q81" i="7" s="1"/>
  <c r="Q80" i="7" s="1"/>
  <c r="R82" i="7"/>
  <c r="R81" i="7" s="1"/>
  <c r="R80" i="7" s="1"/>
  <c r="S82" i="7"/>
  <c r="S81" i="7" s="1"/>
  <c r="S80" i="7" s="1"/>
  <c r="T82" i="7"/>
  <c r="T81" i="7" s="1"/>
  <c r="T80" i="7" s="1"/>
  <c r="U82" i="7"/>
  <c r="U81" i="7" s="1"/>
  <c r="U80" i="7" s="1"/>
  <c r="V82" i="7"/>
  <c r="V81" i="7" s="1"/>
  <c r="V80" i="7" s="1"/>
  <c r="W82" i="7"/>
  <c r="W81" i="7" s="1"/>
  <c r="W80" i="7" s="1"/>
  <c r="X82" i="7"/>
  <c r="X81" i="7" s="1"/>
  <c r="X80" i="7" s="1"/>
  <c r="Y82" i="7"/>
  <c r="Y81" i="7" s="1"/>
  <c r="Y80" i="7" s="1"/>
  <c r="Z82" i="7"/>
  <c r="Z81" i="7" s="1"/>
  <c r="Z80" i="7" s="1"/>
  <c r="AA82" i="7"/>
  <c r="AA81" i="7" s="1"/>
  <c r="AA80" i="7" s="1"/>
  <c r="AB82" i="7"/>
  <c r="AB81" i="7" s="1"/>
  <c r="AB80" i="7" s="1"/>
  <c r="AC82" i="7"/>
  <c r="AC81" i="7" s="1"/>
  <c r="AC80" i="7" s="1"/>
  <c r="AD82" i="7"/>
  <c r="AD81" i="7" s="1"/>
  <c r="AD80" i="7" s="1"/>
  <c r="AE82" i="7"/>
  <c r="AE81" i="7" s="1"/>
  <c r="AE80" i="7" s="1"/>
  <c r="K82" i="7"/>
  <c r="K81" i="7" s="1"/>
  <c r="K80" i="7" s="1"/>
  <c r="H82" i="7"/>
  <c r="X64" i="7"/>
  <c r="P64" i="7"/>
  <c r="Q64" i="7"/>
  <c r="R64" i="7"/>
  <c r="S64" i="7"/>
  <c r="T64" i="7"/>
  <c r="U64" i="7"/>
  <c r="V64" i="7"/>
  <c r="W64" i="7"/>
  <c r="Y64" i="7"/>
  <c r="Z64" i="7"/>
  <c r="AA64" i="7"/>
  <c r="AB64" i="7"/>
  <c r="AC64" i="7"/>
  <c r="AD64" i="7"/>
  <c r="AE64" i="7"/>
  <c r="O64" i="7"/>
  <c r="N64" i="7"/>
  <c r="M64" i="7"/>
  <c r="L64" i="7"/>
  <c r="H64" i="7"/>
  <c r="J26" i="7"/>
  <c r="Q113" i="12" l="1"/>
  <c r="AB146" i="12"/>
  <c r="AD146" i="12" s="1"/>
  <c r="X145" i="12"/>
  <c r="Z145" i="12" s="1"/>
  <c r="AB145" i="12" s="1"/>
  <c r="AD145" i="12" s="1"/>
  <c r="AE106" i="12"/>
  <c r="E24" i="3" l="1"/>
  <c r="D24" i="3" s="1"/>
  <c r="C24" i="3"/>
  <c r="C23" i="3" s="1"/>
  <c r="V102" i="21" l="1"/>
  <c r="B102" i="21" s="1"/>
  <c r="B100" i="21" s="1"/>
  <c r="E102" i="21"/>
  <c r="G102" i="21" s="1"/>
  <c r="G100" i="21" s="1"/>
  <c r="C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E100" i="21" l="1"/>
  <c r="D102" i="21"/>
  <c r="D100" i="21" s="1"/>
  <c r="F102" i="21"/>
  <c r="F100" i="21" s="1"/>
  <c r="C34" i="2"/>
  <c r="C15" i="2"/>
  <c r="C16" i="2"/>
  <c r="C51" i="2"/>
  <c r="C31" i="2"/>
  <c r="D31" i="2" s="1"/>
  <c r="C28" i="2"/>
  <c r="C27" i="2"/>
  <c r="C24" i="2"/>
  <c r="C23" i="2"/>
  <c r="H133" i="14" l="1"/>
  <c r="I133" i="14"/>
  <c r="J133" i="14"/>
  <c r="K133" i="14"/>
  <c r="M133" i="14"/>
  <c r="N133" i="14"/>
  <c r="O133" i="14"/>
  <c r="Q133" i="14"/>
  <c r="R133" i="14"/>
  <c r="S133" i="14"/>
  <c r="U133" i="14"/>
  <c r="W133" i="14"/>
  <c r="X133" i="14"/>
  <c r="Y133" i="14"/>
  <c r="Z133" i="14"/>
  <c r="AA133" i="14"/>
  <c r="AB133" i="14"/>
  <c r="AC133" i="14"/>
  <c r="AE133" i="14"/>
  <c r="AG134" i="14"/>
  <c r="B135" i="14"/>
  <c r="AG135" i="14" s="1"/>
  <c r="E136" i="14"/>
  <c r="D136" i="14" s="1"/>
  <c r="L136" i="14"/>
  <c r="P136" i="14"/>
  <c r="P133" i="14" s="1"/>
  <c r="T136" i="14"/>
  <c r="T133" i="14" s="1"/>
  <c r="V136" i="14"/>
  <c r="V133" i="14" s="1"/>
  <c r="AD133" i="14"/>
  <c r="B137" i="14"/>
  <c r="C137" i="14"/>
  <c r="E137" i="14"/>
  <c r="B138" i="14"/>
  <c r="AG138" i="14" s="1"/>
  <c r="AG139" i="14"/>
  <c r="H140" i="14"/>
  <c r="I140" i="14"/>
  <c r="J140" i="14"/>
  <c r="K140" i="14"/>
  <c r="L140" i="14"/>
  <c r="M140" i="14"/>
  <c r="N140" i="14"/>
  <c r="O140" i="14"/>
  <c r="P140" i="14"/>
  <c r="Q140" i="14"/>
  <c r="R140" i="14"/>
  <c r="S140" i="14"/>
  <c r="T140" i="14"/>
  <c r="U140" i="14"/>
  <c r="V140" i="14"/>
  <c r="W140" i="14"/>
  <c r="X140" i="14"/>
  <c r="Y140" i="14"/>
  <c r="Z140" i="14"/>
  <c r="AA140" i="14"/>
  <c r="AB140" i="14"/>
  <c r="AC140" i="14"/>
  <c r="AD140" i="14"/>
  <c r="AE140" i="14"/>
  <c r="AD101" i="14"/>
  <c r="AD89" i="14" s="1"/>
  <c r="N101" i="14"/>
  <c r="C101" i="14" s="1"/>
  <c r="C365" i="14" s="1"/>
  <c r="C136" i="14" l="1"/>
  <c r="B136" i="14"/>
  <c r="AG136" i="14" s="1"/>
  <c r="F137" i="14"/>
  <c r="G138" i="14"/>
  <c r="D137" i="14"/>
  <c r="F135" i="14"/>
  <c r="F138" i="14"/>
  <c r="G137" i="14"/>
  <c r="C133" i="14"/>
  <c r="D135" i="14"/>
  <c r="D133" i="14" s="1"/>
  <c r="L133" i="14"/>
  <c r="E133" i="14"/>
  <c r="G135" i="14"/>
  <c r="E29" i="8"/>
  <c r="D29" i="8"/>
  <c r="C29" i="8"/>
  <c r="AD29" i="8"/>
  <c r="AB29" i="8"/>
  <c r="Z29" i="8"/>
  <c r="X29" i="8"/>
  <c r="V29" i="8"/>
  <c r="T29" i="8"/>
  <c r="R29" i="8"/>
  <c r="P29" i="8"/>
  <c r="O29" i="8"/>
  <c r="N29" i="8"/>
  <c r="M29" i="8"/>
  <c r="L29" i="8"/>
  <c r="B29" i="8"/>
  <c r="B133" i="14" l="1"/>
  <c r="AG133" i="14" s="1"/>
  <c r="F136" i="14"/>
  <c r="G133" i="14"/>
  <c r="G136" i="14"/>
  <c r="B35" i="8"/>
  <c r="E16" i="6"/>
  <c r="D16" i="6" s="1"/>
  <c r="C12" i="6"/>
  <c r="C11" i="6"/>
  <c r="N10" i="6"/>
  <c r="F133" i="14" l="1"/>
  <c r="C104" i="17"/>
  <c r="C96" i="17"/>
  <c r="C98" i="17"/>
  <c r="C95" i="17"/>
  <c r="C90" i="17"/>
  <c r="C92" i="17"/>
  <c r="C89" i="17"/>
  <c r="C82" i="17"/>
  <c r="C83" i="17"/>
  <c r="C84" i="17"/>
  <c r="C81" i="17"/>
  <c r="C76" i="17"/>
  <c r="C77" i="17"/>
  <c r="C78" i="17"/>
  <c r="C75" i="17"/>
  <c r="C70" i="17"/>
  <c r="C71" i="17"/>
  <c r="C72" i="17"/>
  <c r="C69" i="17"/>
  <c r="C63" i="17"/>
  <c r="C64" i="17"/>
  <c r="C65" i="17"/>
  <c r="C66" i="17"/>
  <c r="C62" i="17"/>
  <c r="C54" i="17"/>
  <c r="C55" i="17"/>
  <c r="C56" i="17"/>
  <c r="C57" i="17"/>
  <c r="C53" i="17"/>
  <c r="C48" i="17"/>
  <c r="C49" i="17"/>
  <c r="C50" i="17"/>
  <c r="C47" i="17"/>
  <c r="C40" i="17"/>
  <c r="C34" i="17"/>
  <c r="C35" i="17"/>
  <c r="C36" i="17"/>
  <c r="C37" i="17"/>
  <c r="C33" i="17"/>
  <c r="C27" i="17"/>
  <c r="C28" i="17"/>
  <c r="C29" i="17"/>
  <c r="C30" i="17"/>
  <c r="C26" i="17"/>
  <c r="C121" i="17" l="1"/>
  <c r="C120" i="17"/>
  <c r="C117" i="17"/>
  <c r="I121" i="17"/>
  <c r="J121" i="17"/>
  <c r="K121" i="17"/>
  <c r="L121" i="17"/>
  <c r="M121" i="17"/>
  <c r="N121" i="17"/>
  <c r="O121" i="17"/>
  <c r="P121" i="17"/>
  <c r="Q121" i="17"/>
  <c r="R121" i="17"/>
  <c r="S121" i="17"/>
  <c r="T121" i="17"/>
  <c r="U121" i="17"/>
  <c r="V121" i="17"/>
  <c r="W121" i="17"/>
  <c r="X121" i="17"/>
  <c r="Y121" i="17"/>
  <c r="Z121" i="17"/>
  <c r="AA121" i="17"/>
  <c r="AB121" i="17"/>
  <c r="AC121" i="17"/>
  <c r="AD121" i="17"/>
  <c r="AE121" i="17"/>
  <c r="I64" i="5"/>
  <c r="C267" i="8"/>
  <c r="C253" i="8"/>
  <c r="C235" i="8"/>
  <c r="C229" i="8"/>
  <c r="C203" i="8"/>
  <c r="C191" i="8"/>
  <c r="C109" i="8"/>
  <c r="C97" i="8"/>
  <c r="C91" i="8"/>
  <c r="C85" i="8"/>
  <c r="E62" i="8"/>
  <c r="D62" i="8" s="1"/>
  <c r="C62" i="8"/>
  <c r="C59" i="8"/>
  <c r="C60" i="8"/>
  <c r="B62" i="8"/>
  <c r="C53" i="8"/>
  <c r="C47" i="8"/>
  <c r="C54" i="8"/>
  <c r="C34" i="12"/>
  <c r="AD100" i="17"/>
  <c r="C119" i="17" l="1"/>
  <c r="C118" i="17"/>
  <c r="G62" i="8"/>
  <c r="C116" i="17" l="1"/>
  <c r="D32" i="20"/>
  <c r="D31" i="20"/>
  <c r="D30" i="20"/>
  <c r="D29" i="20"/>
  <c r="C15" i="20"/>
  <c r="D12" i="20"/>
  <c r="C32" i="20"/>
  <c r="C31" i="20"/>
  <c r="C30" i="20"/>
  <c r="C29" i="20"/>
  <c r="C12" i="20"/>
  <c r="O69" i="11" l="1"/>
  <c r="C49" i="11" l="1"/>
  <c r="C27" i="11"/>
  <c r="C35" i="11"/>
  <c r="C21" i="11"/>
  <c r="O87" i="11"/>
  <c r="O80" i="11"/>
  <c r="O48" i="11"/>
  <c r="O47" i="11"/>
  <c r="O58" i="11"/>
  <c r="O57" i="11" s="1"/>
  <c r="N58" i="11"/>
  <c r="N57" i="11" s="1"/>
  <c r="O52" i="11"/>
  <c r="O51" i="11" s="1"/>
  <c r="O32" i="11"/>
  <c r="Q32" i="11" s="1"/>
  <c r="N32" i="11"/>
  <c r="O11" i="11"/>
  <c r="O24" i="11"/>
  <c r="N24" i="11"/>
  <c r="O18" i="11"/>
  <c r="N18" i="11"/>
  <c r="O31" i="11" l="1"/>
  <c r="Q31" i="11" s="1"/>
  <c r="N31" i="11"/>
  <c r="P31" i="11" s="1"/>
  <c r="P32" i="11"/>
  <c r="G61" i="11"/>
  <c r="E244" i="14"/>
  <c r="E325" i="14"/>
  <c r="E318" i="14"/>
  <c r="AB250" i="14" l="1"/>
  <c r="E49" i="19" l="1"/>
  <c r="D51" i="5" l="1"/>
  <c r="C140" i="14"/>
  <c r="B264" i="14"/>
  <c r="B258" i="14" s="1"/>
  <c r="H277" i="14"/>
  <c r="C342" i="14"/>
  <c r="C21" i="3"/>
  <c r="C18" i="3"/>
  <c r="C15" i="3"/>
  <c r="R318" i="14"/>
  <c r="N318" i="14"/>
  <c r="N319" i="14"/>
  <c r="C319" i="14" s="1"/>
  <c r="G319" i="14" s="1"/>
  <c r="C318" i="14" l="1"/>
  <c r="C115" i="8"/>
  <c r="C41" i="8"/>
  <c r="C28" i="8" s="1"/>
  <c r="C21" i="8"/>
  <c r="C22" i="8"/>
  <c r="C20" i="8"/>
  <c r="C19" i="8"/>
  <c r="N40" i="14" l="1"/>
  <c r="N43" i="14"/>
  <c r="O67" i="14"/>
  <c r="B40" i="14" l="1"/>
  <c r="C40" i="14"/>
  <c r="Z76" i="14"/>
  <c r="AD100" i="14"/>
  <c r="J100" i="14"/>
  <c r="H100" i="14"/>
  <c r="R105" i="14"/>
  <c r="N105" i="14"/>
  <c r="C105" i="14" s="1"/>
  <c r="N123" i="14"/>
  <c r="E123" i="14"/>
  <c r="M73" i="14"/>
  <c r="C100" i="14" l="1"/>
  <c r="E75" i="14"/>
  <c r="D75" i="14" s="1"/>
  <c r="C75" i="14"/>
  <c r="B75" i="14"/>
  <c r="E74" i="14"/>
  <c r="D74" i="14" s="1"/>
  <c r="C74" i="14"/>
  <c r="B74" i="14"/>
  <c r="E69" i="14"/>
  <c r="D69" i="14" s="1"/>
  <c r="C69" i="14"/>
  <c r="B69" i="14"/>
  <c r="E68" i="14"/>
  <c r="D68" i="14" s="1"/>
  <c r="C68" i="14"/>
  <c r="B68" i="14"/>
  <c r="E57" i="14"/>
  <c r="D57" i="14" s="1"/>
  <c r="C57" i="14"/>
  <c r="B57" i="14"/>
  <c r="E56" i="14"/>
  <c r="D56" i="14" s="1"/>
  <c r="C56" i="14"/>
  <c r="B56" i="14"/>
  <c r="E51" i="14"/>
  <c r="D51" i="14" s="1"/>
  <c r="C51" i="14"/>
  <c r="B51" i="14"/>
  <c r="E50" i="14"/>
  <c r="D50" i="14" s="1"/>
  <c r="C50" i="14"/>
  <c r="B50" i="14"/>
  <c r="E40" i="14"/>
  <c r="B45" i="14"/>
  <c r="E45" i="14"/>
  <c r="D45" i="14" s="1"/>
  <c r="C45" i="14"/>
  <c r="E44" i="14"/>
  <c r="D44" i="14" s="1"/>
  <c r="C44" i="14"/>
  <c r="B44" i="14"/>
  <c r="AB244" i="14" l="1"/>
  <c r="M250" i="14"/>
  <c r="M280" i="14"/>
  <c r="AD258" i="14"/>
  <c r="B341" i="14"/>
  <c r="B196" i="14"/>
  <c r="H70" i="14"/>
  <c r="L283" i="14"/>
  <c r="C289" i="14"/>
  <c r="L34" i="14"/>
  <c r="C70" i="14" l="1"/>
  <c r="C64" i="14" s="1"/>
  <c r="C67" i="14"/>
  <c r="E44" i="6"/>
  <c r="E12" i="6"/>
  <c r="D12" i="6" s="1"/>
  <c r="E11" i="6"/>
  <c r="K132" i="6" l="1"/>
  <c r="L132" i="6"/>
  <c r="M132" i="6"/>
  <c r="N132" i="6"/>
  <c r="O132" i="6"/>
  <c r="P132" i="6"/>
  <c r="Q132" i="6"/>
  <c r="R132" i="6"/>
  <c r="S132" i="6"/>
  <c r="T132" i="6"/>
  <c r="U132" i="6"/>
  <c r="V132" i="6"/>
  <c r="W132" i="6"/>
  <c r="X132" i="6"/>
  <c r="Y132" i="6"/>
  <c r="Z132" i="6"/>
  <c r="AA132" i="6"/>
  <c r="AB132" i="6"/>
  <c r="AC132" i="6"/>
  <c r="AD132" i="6"/>
  <c r="AE132" i="6"/>
  <c r="J132" i="6"/>
  <c r="B117" i="6" l="1"/>
  <c r="D90" i="6"/>
  <c r="L80" i="6"/>
  <c r="B81" i="6"/>
  <c r="B20" i="6"/>
  <c r="M102" i="6"/>
  <c r="M101" i="6" s="1"/>
  <c r="M99" i="6" s="1"/>
  <c r="M98" i="6" s="1"/>
  <c r="L102" i="6"/>
  <c r="L101" i="6" s="1"/>
  <c r="L99" i="6" s="1"/>
  <c r="L98" i="6" s="1"/>
  <c r="J102" i="6"/>
  <c r="J101" i="6" s="1"/>
  <c r="J99" i="6" s="1"/>
  <c r="J98" i="6" s="1"/>
  <c r="I98" i="6"/>
  <c r="J80" i="6" l="1"/>
  <c r="P80" i="6"/>
  <c r="Q80" i="6"/>
  <c r="K80" i="6"/>
  <c r="E121" i="6"/>
  <c r="E117" i="6"/>
  <c r="E93" i="6"/>
  <c r="E87" i="6"/>
  <c r="E78" i="6"/>
  <c r="E69" i="6"/>
  <c r="E50" i="6"/>
  <c r="E47" i="6"/>
  <c r="E35" i="6"/>
  <c r="E32" i="6"/>
  <c r="E20" i="6"/>
  <c r="D20" i="6" s="1"/>
  <c r="E13" i="6"/>
  <c r="H81" i="6"/>
  <c r="B69" i="6"/>
  <c r="C19" i="6"/>
  <c r="H80" i="6" l="1"/>
  <c r="G32" i="11"/>
  <c r="E94" i="11"/>
  <c r="F94" i="11"/>
  <c r="G94" i="11"/>
  <c r="H53" i="5" l="1"/>
  <c r="B70" i="12"/>
  <c r="E76" i="12"/>
  <c r="AH30" i="12"/>
  <c r="M73" i="12"/>
  <c r="L73" i="12"/>
  <c r="K73" i="12"/>
  <c r="AG35" i="12"/>
  <c r="B34" i="12"/>
  <c r="AG34" i="12" s="1"/>
  <c r="C124" i="12"/>
  <c r="C116" i="12"/>
  <c r="C107" i="12"/>
  <c r="C102" i="12"/>
  <c r="C94" i="12"/>
  <c r="C88" i="12"/>
  <c r="C70" i="12"/>
  <c r="C46" i="12"/>
  <c r="C40" i="12"/>
  <c r="C33" i="12"/>
  <c r="C125" i="12"/>
  <c r="C123" i="12"/>
  <c r="C122" i="12"/>
  <c r="C117" i="12"/>
  <c r="C114" i="12"/>
  <c r="C109" i="12"/>
  <c r="C77" i="12"/>
  <c r="B33" i="12"/>
  <c r="D61" i="11" l="1"/>
  <c r="E27" i="11"/>
  <c r="AG21" i="4" l="1"/>
  <c r="AG24" i="4"/>
  <c r="AG27" i="4"/>
  <c r="AG28" i="4"/>
  <c r="AG29" i="4"/>
  <c r="AG32" i="4"/>
  <c r="AG35" i="4"/>
  <c r="AG38" i="4"/>
  <c r="AG42" i="4"/>
  <c r="AG46" i="4"/>
  <c r="AG47" i="4"/>
  <c r="AG48" i="4"/>
  <c r="AG52" i="4"/>
  <c r="AG55" i="4"/>
  <c r="AG58" i="4"/>
  <c r="AH23" i="12"/>
  <c r="AH24" i="12"/>
  <c r="AH35" i="12"/>
  <c r="AH36" i="12"/>
  <c r="AH38" i="12"/>
  <c r="AH39" i="12"/>
  <c r="AH41" i="12"/>
  <c r="AH42" i="12"/>
  <c r="AH44" i="12"/>
  <c r="AH45" i="12"/>
  <c r="AH47" i="12"/>
  <c r="AH48" i="12"/>
  <c r="AH50" i="12"/>
  <c r="AH53" i="12"/>
  <c r="AH54" i="12"/>
  <c r="AH56" i="12"/>
  <c r="AH59" i="12"/>
  <c r="AH60" i="12"/>
  <c r="AH66" i="12"/>
  <c r="AH68" i="12"/>
  <c r="AH69" i="12"/>
  <c r="AH71" i="12"/>
  <c r="AH72" i="12"/>
  <c r="AH78" i="12"/>
  <c r="AH84" i="12"/>
  <c r="AH86" i="12"/>
  <c r="AH87" i="12"/>
  <c r="AH89" i="12"/>
  <c r="AH90" i="12"/>
  <c r="AH92" i="12"/>
  <c r="AH93" i="12"/>
  <c r="AH95" i="12"/>
  <c r="AH96" i="12"/>
  <c r="AH97" i="12"/>
  <c r="AH98" i="12"/>
  <c r="AH104" i="12"/>
  <c r="AH110" i="12"/>
  <c r="AH111" i="12"/>
  <c r="AH112" i="12"/>
  <c r="AH118" i="12"/>
  <c r="AH119" i="12"/>
  <c r="AH120" i="12"/>
  <c r="AH126" i="12"/>
  <c r="AH132" i="12"/>
  <c r="AG90" i="12"/>
  <c r="AG22" i="23"/>
  <c r="AG16" i="23"/>
  <c r="AG17" i="23"/>
  <c r="AG18" i="23"/>
  <c r="AG19" i="23"/>
  <c r="AG20" i="23"/>
  <c r="AG21" i="23"/>
  <c r="AG23" i="23"/>
  <c r="AG24" i="23"/>
  <c r="AG25" i="23"/>
  <c r="AG26" i="23"/>
  <c r="AG27" i="23"/>
  <c r="AG28" i="23"/>
  <c r="AG29" i="23"/>
  <c r="AG30" i="23"/>
  <c r="AG31" i="23"/>
  <c r="AG32" i="23"/>
  <c r="AG33" i="23"/>
  <c r="AG34" i="23"/>
  <c r="AG35" i="23"/>
  <c r="AG36" i="23"/>
  <c r="AG37" i="23"/>
  <c r="AG38" i="23"/>
  <c r="AG39" i="23"/>
  <c r="AG40" i="23"/>
  <c r="AG41" i="23"/>
  <c r="AG42" i="23"/>
  <c r="AG43" i="23"/>
  <c r="AG44" i="23"/>
  <c r="AG45" i="23"/>
  <c r="AG46" i="23"/>
  <c r="AG47" i="23"/>
  <c r="AG48" i="23"/>
  <c r="AG49" i="23"/>
  <c r="AG50" i="23"/>
  <c r="AG51" i="23"/>
  <c r="AG52" i="23"/>
  <c r="AG53" i="23"/>
  <c r="AG54" i="23"/>
  <c r="AG55" i="23"/>
  <c r="AG56" i="23"/>
  <c r="AG57" i="23"/>
  <c r="AG58" i="23"/>
  <c r="AG59" i="23"/>
  <c r="AG60" i="23"/>
  <c r="AG61" i="23"/>
  <c r="AG62" i="23"/>
  <c r="AG63" i="23"/>
  <c r="AG64" i="23"/>
  <c r="AG65" i="23"/>
  <c r="AG66" i="23"/>
  <c r="AG67" i="23"/>
  <c r="AG68" i="23"/>
  <c r="AG69" i="23"/>
  <c r="AG70" i="23"/>
  <c r="AG71" i="23"/>
  <c r="AG72" i="23"/>
  <c r="AG73" i="23"/>
  <c r="AG74" i="23"/>
  <c r="AG75" i="23"/>
  <c r="AG76" i="23"/>
  <c r="AG77" i="23"/>
  <c r="AG78" i="23"/>
  <c r="AG79" i="23"/>
  <c r="AG80" i="23"/>
  <c r="AG81" i="23"/>
  <c r="AG82" i="23"/>
  <c r="AG83" i="23"/>
  <c r="AG84" i="23"/>
  <c r="AG85" i="23"/>
  <c r="AG86" i="23"/>
  <c r="AG87" i="23"/>
  <c r="AG88" i="23"/>
  <c r="AG89" i="23"/>
  <c r="AG90" i="23"/>
  <c r="AG91" i="23"/>
  <c r="AG92" i="23"/>
  <c r="AG93" i="23"/>
  <c r="AG94" i="23"/>
  <c r="AG95" i="23"/>
  <c r="AG96" i="23"/>
  <c r="AG97" i="23"/>
  <c r="AG98" i="23"/>
  <c r="AG99" i="23"/>
  <c r="AG100" i="23"/>
  <c r="AG101" i="23"/>
  <c r="AG102" i="23"/>
  <c r="AG103" i="23"/>
  <c r="AG104" i="23"/>
  <c r="AG105" i="23"/>
  <c r="AG106" i="23"/>
  <c r="AG107" i="23"/>
  <c r="AG108" i="23"/>
  <c r="AG109" i="23"/>
  <c r="AG9" i="23"/>
  <c r="AG10" i="23"/>
  <c r="AG11" i="23"/>
  <c r="AG12" i="23"/>
  <c r="AG13" i="23"/>
  <c r="AG14" i="23"/>
  <c r="AG15" i="23"/>
  <c r="E15" i="2" l="1"/>
  <c r="C56" i="6" l="1"/>
  <c r="C54" i="6" l="1"/>
  <c r="C132" i="6"/>
  <c r="C137" i="6" s="1"/>
  <c r="C10" i="6"/>
  <c r="Z18" i="6"/>
  <c r="H29" i="6" l="1"/>
  <c r="I29" i="6"/>
  <c r="J29" i="6"/>
  <c r="K29" i="6"/>
  <c r="L29" i="6"/>
  <c r="M29" i="6"/>
  <c r="N29" i="6"/>
  <c r="O29" i="6"/>
  <c r="P29" i="6"/>
  <c r="Q29" i="6"/>
  <c r="R29" i="6"/>
  <c r="S29" i="6"/>
  <c r="T29" i="6"/>
  <c r="U29" i="6"/>
  <c r="V29" i="6"/>
  <c r="W29" i="6"/>
  <c r="X29" i="6"/>
  <c r="Y29" i="6"/>
  <c r="Z29" i="6"/>
  <c r="AA29" i="6"/>
  <c r="AB29" i="6"/>
  <c r="AC29" i="6"/>
  <c r="AC23" i="6"/>
  <c r="AD23" i="6"/>
  <c r="AE23" i="6"/>
  <c r="R23" i="6"/>
  <c r="S23" i="6"/>
  <c r="T23" i="6"/>
  <c r="U23" i="6"/>
  <c r="V23" i="6"/>
  <c r="W23" i="6"/>
  <c r="X23" i="6"/>
  <c r="Y23" i="6"/>
  <c r="Z23" i="6"/>
  <c r="AA23" i="6"/>
  <c r="AB23" i="6"/>
  <c r="H23" i="6"/>
  <c r="I23" i="6"/>
  <c r="J23" i="6"/>
  <c r="K23" i="6"/>
  <c r="L23" i="6"/>
  <c r="M23" i="6"/>
  <c r="N23" i="6"/>
  <c r="O23" i="6"/>
  <c r="H38" i="6"/>
  <c r="I38" i="6"/>
  <c r="J38" i="6"/>
  <c r="K38" i="6"/>
  <c r="L38" i="6"/>
  <c r="M38" i="6"/>
  <c r="N38" i="6"/>
  <c r="O38" i="6"/>
  <c r="D38" i="6"/>
  <c r="L44" i="6"/>
  <c r="M44" i="6"/>
  <c r="N44" i="6"/>
  <c r="O44" i="6"/>
  <c r="P44" i="6"/>
  <c r="Q44" i="6"/>
  <c r="R44" i="6"/>
  <c r="S44" i="6"/>
  <c r="T44" i="6"/>
  <c r="U44" i="6"/>
  <c r="V44" i="6"/>
  <c r="W44" i="6"/>
  <c r="X44" i="6"/>
  <c r="Y44" i="6"/>
  <c r="Z44" i="6"/>
  <c r="AA44" i="6"/>
  <c r="AB44" i="6"/>
  <c r="AC44" i="6"/>
  <c r="H75" i="6"/>
  <c r="I75" i="6"/>
  <c r="J75" i="6"/>
  <c r="K75" i="6"/>
  <c r="L75" i="6"/>
  <c r="M75" i="6"/>
  <c r="N75" i="6"/>
  <c r="O75" i="6"/>
  <c r="AA96" i="6"/>
  <c r="D96" i="6" s="1"/>
  <c r="AB96" i="6"/>
  <c r="AC96" i="6"/>
  <c r="AD96" i="6"/>
  <c r="AE96" i="6"/>
  <c r="H96" i="6"/>
  <c r="I96" i="6"/>
  <c r="J96" i="6"/>
  <c r="K96" i="6"/>
  <c r="L96" i="6"/>
  <c r="M96" i="6"/>
  <c r="N96" i="6"/>
  <c r="O96" i="6"/>
  <c r="P96" i="6"/>
  <c r="Q96" i="6"/>
  <c r="R96" i="6"/>
  <c r="S96" i="6"/>
  <c r="T96" i="6"/>
  <c r="U96" i="6"/>
  <c r="V96" i="6"/>
  <c r="W96" i="6"/>
  <c r="X96" i="6"/>
  <c r="Y96" i="6"/>
  <c r="D93" i="6"/>
  <c r="U90" i="6"/>
  <c r="H90" i="6"/>
  <c r="C90" i="6" s="1"/>
  <c r="I90" i="6"/>
  <c r="D87" i="6"/>
  <c r="AD86" i="6"/>
  <c r="AB84" i="6"/>
  <c r="AC84" i="6"/>
  <c r="AD84" i="6"/>
  <c r="AE84" i="6"/>
  <c r="I84" i="6"/>
  <c r="J84" i="6"/>
  <c r="K84" i="6"/>
  <c r="L84" i="6"/>
  <c r="M84" i="6"/>
  <c r="N84" i="6"/>
  <c r="O84" i="6"/>
  <c r="P84" i="6"/>
  <c r="Q84" i="6"/>
  <c r="R84" i="6"/>
  <c r="S84" i="6"/>
  <c r="T84" i="6"/>
  <c r="U84" i="6"/>
  <c r="V84" i="6"/>
  <c r="W84" i="6"/>
  <c r="X84" i="6"/>
  <c r="Y84" i="6"/>
  <c r="H84" i="6"/>
  <c r="C84" i="6" s="1"/>
  <c r="I81" i="6"/>
  <c r="S81" i="6"/>
  <c r="S80" i="6" s="1"/>
  <c r="T81" i="6"/>
  <c r="T80" i="6" s="1"/>
  <c r="U81" i="6"/>
  <c r="U80" i="6" s="1"/>
  <c r="V81" i="6"/>
  <c r="V80" i="6" s="1"/>
  <c r="W81" i="6"/>
  <c r="W80" i="6" s="1"/>
  <c r="X81" i="6"/>
  <c r="X80" i="6" s="1"/>
  <c r="Y81" i="6"/>
  <c r="Y80" i="6" s="1"/>
  <c r="Z81" i="6"/>
  <c r="Z80" i="6" s="1"/>
  <c r="AA81" i="6"/>
  <c r="AA80" i="6" s="1"/>
  <c r="AB81" i="6"/>
  <c r="AB80" i="6" s="1"/>
  <c r="AC81" i="6"/>
  <c r="AC80" i="6" s="1"/>
  <c r="AD81" i="6"/>
  <c r="AD80" i="6" s="1"/>
  <c r="AE81" i="6"/>
  <c r="AE80" i="6" s="1"/>
  <c r="R81" i="6"/>
  <c r="R80" i="6" s="1"/>
  <c r="N81" i="6"/>
  <c r="O81" i="6"/>
  <c r="O80" i="6" s="1"/>
  <c r="M81" i="6"/>
  <c r="M68" i="6"/>
  <c r="N68" i="6"/>
  <c r="O68" i="6"/>
  <c r="P68" i="6"/>
  <c r="Q68" i="6"/>
  <c r="R68" i="6"/>
  <c r="S68" i="6"/>
  <c r="T68" i="6"/>
  <c r="U68" i="6"/>
  <c r="V68" i="6"/>
  <c r="W68" i="6"/>
  <c r="X68" i="6"/>
  <c r="Y68" i="6"/>
  <c r="Z68" i="6"/>
  <c r="AA68" i="6"/>
  <c r="AB68" i="6"/>
  <c r="AC68" i="6"/>
  <c r="AD68" i="6"/>
  <c r="AE68" i="6"/>
  <c r="D69" i="6"/>
  <c r="D35" i="6"/>
  <c r="B34" i="6"/>
  <c r="I34" i="6"/>
  <c r="J34" i="6"/>
  <c r="K34" i="6"/>
  <c r="L34" i="6"/>
  <c r="M34" i="6"/>
  <c r="N34" i="6"/>
  <c r="O34" i="6"/>
  <c r="P34" i="6"/>
  <c r="Q34" i="6"/>
  <c r="R34" i="6"/>
  <c r="S34" i="6"/>
  <c r="T34" i="6"/>
  <c r="U34" i="6"/>
  <c r="V34" i="6"/>
  <c r="W34" i="6"/>
  <c r="X34" i="6"/>
  <c r="Y34" i="6"/>
  <c r="Z34" i="6"/>
  <c r="H34" i="6"/>
  <c r="AA34" i="6"/>
  <c r="AB34" i="6"/>
  <c r="AC34" i="6"/>
  <c r="AD34" i="6"/>
  <c r="AE34" i="6"/>
  <c r="V74" i="6"/>
  <c r="D19" i="2"/>
  <c r="C75" i="6" l="1"/>
  <c r="N80" i="6"/>
  <c r="C81" i="6"/>
  <c r="C44" i="6"/>
  <c r="C41" i="6" s="1"/>
  <c r="C40" i="6" s="1"/>
  <c r="C96" i="6"/>
  <c r="C38" i="6"/>
  <c r="C23" i="6"/>
  <c r="C29" i="6"/>
  <c r="E90" i="6"/>
  <c r="M80" i="6"/>
  <c r="D81" i="6"/>
  <c r="E75" i="6"/>
  <c r="E72" i="6" s="1"/>
  <c r="B38" i="6"/>
  <c r="C131" i="6"/>
  <c r="E29" i="6"/>
  <c r="I80" i="6"/>
  <c r="E81" i="6"/>
  <c r="AG82" i="6" s="1"/>
  <c r="E84" i="6"/>
  <c r="E96" i="6"/>
  <c r="E38" i="6"/>
  <c r="E23" i="6"/>
  <c r="D23" i="6"/>
  <c r="D53" i="6" s="1"/>
  <c r="D75" i="6"/>
  <c r="D84" i="6"/>
  <c r="C34" i="6"/>
  <c r="E80" i="6" l="1"/>
  <c r="D121" i="6"/>
  <c r="E37" i="4" l="1"/>
  <c r="D37" i="4"/>
  <c r="C37" i="4"/>
  <c r="E117" i="14"/>
  <c r="AH117" i="14" s="1"/>
  <c r="AG37" i="4" l="1"/>
  <c r="C41" i="4"/>
  <c r="AG50" i="4"/>
  <c r="Z317" i="14"/>
  <c r="X318" i="14"/>
  <c r="Z319" i="14"/>
  <c r="E283" i="14"/>
  <c r="D283" i="14" s="1"/>
  <c r="E182" i="14"/>
  <c r="C171" i="14"/>
  <c r="E171" i="14"/>
  <c r="D171" i="14" s="1"/>
  <c r="C130" i="14" l="1"/>
  <c r="C57" i="4"/>
  <c r="C60" i="4" s="1"/>
  <c r="AG54" i="4"/>
  <c r="B182" i="14"/>
  <c r="G182" i="14"/>
  <c r="G318" i="14"/>
  <c r="B40" i="5"/>
  <c r="B37" i="5"/>
  <c r="D37" i="5" l="1"/>
  <c r="D40" i="5"/>
  <c r="E10" i="5"/>
  <c r="C14" i="5" l="1"/>
  <c r="C17" i="5" s="1"/>
  <c r="Z111" i="14"/>
  <c r="R111" i="14"/>
  <c r="H111" i="14"/>
  <c r="C111" i="14" s="1"/>
  <c r="C89" i="14"/>
  <c r="B101" i="14"/>
  <c r="E101" i="14"/>
  <c r="E111" i="14"/>
  <c r="D111" i="14" s="1"/>
  <c r="J123" i="14"/>
  <c r="C123" i="14" s="1"/>
  <c r="B123" i="14" l="1"/>
  <c r="G117" i="14"/>
  <c r="H87" i="14"/>
  <c r="H81" i="14" s="1"/>
  <c r="F101" i="14"/>
  <c r="D101" i="14"/>
  <c r="G101" i="14"/>
  <c r="G123" i="14" l="1"/>
  <c r="AH123" i="14"/>
  <c r="E12" i="21"/>
  <c r="E32" i="20" l="1"/>
  <c r="E31" i="20"/>
  <c r="E30" i="20"/>
  <c r="E29" i="20"/>
  <c r="D15" i="20"/>
  <c r="J9" i="20"/>
  <c r="M58" i="11" l="1"/>
  <c r="M57" i="11" s="1"/>
  <c r="M87" i="11"/>
  <c r="M80" i="11"/>
  <c r="K72" i="11"/>
  <c r="M73" i="11"/>
  <c r="M72" i="11" s="1"/>
  <c r="M52" i="11"/>
  <c r="M51" i="11" s="1"/>
  <c r="M32" i="11"/>
  <c r="M31" i="11" s="1"/>
  <c r="M38" i="11"/>
  <c r="M37" i="11" s="1"/>
  <c r="M24" i="11"/>
  <c r="M18" i="11"/>
  <c r="D40" i="14" l="1"/>
  <c r="E46" i="14"/>
  <c r="D46" i="14" s="1"/>
  <c r="G46" i="14" l="1"/>
  <c r="G40" i="14"/>
  <c r="D28" i="3" l="1"/>
  <c r="C28" i="3"/>
  <c r="B21" i="3"/>
  <c r="B20" i="3" s="1"/>
  <c r="C17" i="3"/>
  <c r="B18" i="3"/>
  <c r="B17" i="3" s="1"/>
  <c r="E21" i="3"/>
  <c r="D21" i="3" s="1"/>
  <c r="E18" i="3"/>
  <c r="D18" i="3" s="1"/>
  <c r="B15" i="3"/>
  <c r="B14" i="3" s="1"/>
  <c r="E15" i="3"/>
  <c r="D15" i="3" s="1"/>
  <c r="D14" i="3" s="1"/>
  <c r="C14" i="3"/>
  <c r="B12" i="3" l="1"/>
  <c r="B11" i="3" s="1"/>
  <c r="C36" i="3"/>
  <c r="C40" i="3" s="1"/>
  <c r="C32" i="3"/>
  <c r="E28" i="3"/>
  <c r="E36" i="3" s="1"/>
  <c r="E40" i="3" l="1"/>
  <c r="I53" i="4"/>
  <c r="I34" i="14"/>
  <c r="J34" i="14"/>
  <c r="K34" i="14"/>
  <c r="M34" i="14"/>
  <c r="N34" i="14"/>
  <c r="O34" i="14"/>
  <c r="P34" i="14"/>
  <c r="Q34" i="14"/>
  <c r="R34" i="14"/>
  <c r="S34" i="14"/>
  <c r="T34" i="14"/>
  <c r="U34" i="14"/>
  <c r="V34" i="14"/>
  <c r="W34" i="14"/>
  <c r="X34" i="14"/>
  <c r="Y34" i="14"/>
  <c r="Z34" i="14"/>
  <c r="AA34" i="14"/>
  <c r="AB34" i="14"/>
  <c r="AC34" i="14"/>
  <c r="AE34" i="14"/>
  <c r="AF34" i="14"/>
  <c r="H34" i="14"/>
  <c r="I55" i="14"/>
  <c r="J55" i="14"/>
  <c r="K55" i="14"/>
  <c r="L55" i="14"/>
  <c r="M55" i="14"/>
  <c r="N55" i="14"/>
  <c r="O55" i="14"/>
  <c r="P55" i="14"/>
  <c r="Q55" i="14"/>
  <c r="R55" i="14"/>
  <c r="S55" i="14"/>
  <c r="T55" i="14"/>
  <c r="U55" i="14"/>
  <c r="V55" i="14"/>
  <c r="W55" i="14"/>
  <c r="X55" i="14"/>
  <c r="Y55" i="14"/>
  <c r="Z55" i="14"/>
  <c r="AA55" i="14"/>
  <c r="AB55" i="14"/>
  <c r="AC55" i="14"/>
  <c r="AD55" i="14"/>
  <c r="AE55" i="14"/>
  <c r="AF55" i="14"/>
  <c r="H55" i="14"/>
  <c r="E58" i="14"/>
  <c r="D58" i="14" s="1"/>
  <c r="D55" i="14" s="1"/>
  <c r="C58" i="14"/>
  <c r="C55" i="14" s="1"/>
  <c r="B58" i="14"/>
  <c r="D17" i="3"/>
  <c r="E17" i="3"/>
  <c r="E12" i="3"/>
  <c r="C34" i="14" l="1"/>
  <c r="D12" i="3"/>
  <c r="D27" i="3" s="1"/>
  <c r="E27" i="3"/>
  <c r="E35" i="3" s="1"/>
  <c r="F58" i="14"/>
  <c r="G58" i="14"/>
  <c r="E55" i="14"/>
  <c r="G55" i="14" s="1"/>
  <c r="B55" i="14"/>
  <c r="D11" i="3"/>
  <c r="D23" i="3"/>
  <c r="N14" i="3"/>
  <c r="F55" i="14" l="1"/>
  <c r="C99" i="17"/>
  <c r="H121" i="17" l="1"/>
  <c r="B121" i="17" s="1"/>
  <c r="I119" i="17"/>
  <c r="J119" i="17"/>
  <c r="K119" i="17"/>
  <c r="L119" i="17"/>
  <c r="M119" i="17"/>
  <c r="N119" i="17"/>
  <c r="O119" i="17"/>
  <c r="P119" i="17"/>
  <c r="Q119" i="17"/>
  <c r="R119" i="17"/>
  <c r="S119" i="17"/>
  <c r="T119" i="17"/>
  <c r="U119" i="17"/>
  <c r="V119" i="17"/>
  <c r="W119" i="17"/>
  <c r="X119" i="17"/>
  <c r="Y119" i="17"/>
  <c r="Z119" i="17"/>
  <c r="AA119" i="17"/>
  <c r="AB119" i="17"/>
  <c r="AC119" i="17"/>
  <c r="AD119" i="17"/>
  <c r="AE119" i="17"/>
  <c r="H119" i="17"/>
  <c r="I118" i="17"/>
  <c r="J118" i="17"/>
  <c r="K118" i="17"/>
  <c r="L118" i="17"/>
  <c r="M118" i="17"/>
  <c r="N118" i="17"/>
  <c r="O118" i="17"/>
  <c r="P118" i="17"/>
  <c r="Q118" i="17"/>
  <c r="R118" i="17"/>
  <c r="S118" i="17"/>
  <c r="T118" i="17"/>
  <c r="U118" i="17"/>
  <c r="V118" i="17"/>
  <c r="W118" i="17"/>
  <c r="X118" i="17"/>
  <c r="Y118" i="17"/>
  <c r="Z118" i="17"/>
  <c r="AA118" i="17"/>
  <c r="AB118" i="17"/>
  <c r="AC118" i="17"/>
  <c r="AD118" i="17"/>
  <c r="AE118" i="17"/>
  <c r="H118" i="17"/>
  <c r="I117" i="17"/>
  <c r="J117" i="17"/>
  <c r="J116" i="17" s="1"/>
  <c r="K117" i="17"/>
  <c r="L117" i="17"/>
  <c r="M117" i="17"/>
  <c r="N117" i="17"/>
  <c r="O117" i="17"/>
  <c r="P117" i="17"/>
  <c r="Q117" i="17"/>
  <c r="R117" i="17"/>
  <c r="S117" i="17"/>
  <c r="T117" i="17"/>
  <c r="T116" i="17" s="1"/>
  <c r="U117" i="17"/>
  <c r="U116" i="17" s="1"/>
  <c r="V117" i="17"/>
  <c r="W117" i="17"/>
  <c r="W116" i="17" s="1"/>
  <c r="X117" i="17"/>
  <c r="Y117" i="17"/>
  <c r="Y116" i="17" s="1"/>
  <c r="Z117" i="17"/>
  <c r="Z116" i="17" s="1"/>
  <c r="AA117" i="17"/>
  <c r="AA116" i="17" s="1"/>
  <c r="AB117" i="17"/>
  <c r="AC117" i="17"/>
  <c r="AD117" i="17"/>
  <c r="AE117" i="17"/>
  <c r="AE116" i="17" s="1"/>
  <c r="I110" i="17"/>
  <c r="J110" i="17"/>
  <c r="K110" i="17"/>
  <c r="L110" i="17"/>
  <c r="M110" i="17"/>
  <c r="N110" i="17"/>
  <c r="O110" i="17"/>
  <c r="P110" i="17"/>
  <c r="Q110" i="17"/>
  <c r="R110" i="17"/>
  <c r="S110" i="17"/>
  <c r="T110" i="17"/>
  <c r="U110" i="17"/>
  <c r="V110" i="17"/>
  <c r="W110" i="17"/>
  <c r="X110" i="17"/>
  <c r="Y110" i="17"/>
  <c r="Z110" i="17"/>
  <c r="AA110" i="17"/>
  <c r="AB110" i="17"/>
  <c r="AC110" i="17"/>
  <c r="AD110" i="17"/>
  <c r="AE110" i="17"/>
  <c r="I109" i="17"/>
  <c r="J109" i="17"/>
  <c r="K109" i="17"/>
  <c r="L109" i="17"/>
  <c r="M109" i="17"/>
  <c r="N109" i="17"/>
  <c r="O109" i="17"/>
  <c r="P109" i="17"/>
  <c r="Q109" i="17"/>
  <c r="R109" i="17"/>
  <c r="S109" i="17"/>
  <c r="T109" i="17"/>
  <c r="U109" i="17"/>
  <c r="V109" i="17"/>
  <c r="W109" i="17"/>
  <c r="X109" i="17"/>
  <c r="Y109" i="17"/>
  <c r="Z109" i="17"/>
  <c r="AA109" i="17"/>
  <c r="AB109" i="17"/>
  <c r="AC109" i="17"/>
  <c r="AD109" i="17"/>
  <c r="AE109" i="17"/>
  <c r="I108" i="17"/>
  <c r="J108" i="17"/>
  <c r="K108" i="17"/>
  <c r="L108" i="17"/>
  <c r="M108" i="17"/>
  <c r="N108" i="17"/>
  <c r="O108" i="17"/>
  <c r="P108" i="17"/>
  <c r="Q108" i="17"/>
  <c r="R108" i="17"/>
  <c r="S108" i="17"/>
  <c r="T108" i="17"/>
  <c r="U108" i="17"/>
  <c r="V108" i="17"/>
  <c r="W108" i="17"/>
  <c r="X108" i="17"/>
  <c r="Y108" i="17"/>
  <c r="Z108" i="17"/>
  <c r="AA108" i="17"/>
  <c r="AB108" i="17"/>
  <c r="AC108" i="17"/>
  <c r="AD108" i="17"/>
  <c r="AE108" i="17"/>
  <c r="I107" i="17"/>
  <c r="J107" i="17"/>
  <c r="K107" i="17"/>
  <c r="L107" i="17"/>
  <c r="M107" i="17"/>
  <c r="N107" i="17"/>
  <c r="O107" i="17"/>
  <c r="P107" i="17"/>
  <c r="Q107" i="17"/>
  <c r="R107" i="17"/>
  <c r="S107" i="17"/>
  <c r="T107" i="17"/>
  <c r="U107" i="17"/>
  <c r="V107" i="17"/>
  <c r="W107" i="17"/>
  <c r="X107" i="17"/>
  <c r="Y107" i="17"/>
  <c r="Z107" i="17"/>
  <c r="AA107" i="17"/>
  <c r="AB107" i="17"/>
  <c r="AC107" i="17"/>
  <c r="AD107" i="17"/>
  <c r="AE107" i="17"/>
  <c r="I106" i="17"/>
  <c r="J106" i="17"/>
  <c r="K106" i="17"/>
  <c r="L106" i="17"/>
  <c r="M106" i="17"/>
  <c r="N106" i="17"/>
  <c r="O106" i="17"/>
  <c r="P106" i="17"/>
  <c r="Q106" i="17"/>
  <c r="R106" i="17"/>
  <c r="S106" i="17"/>
  <c r="T106" i="17"/>
  <c r="U106" i="17"/>
  <c r="V106" i="17"/>
  <c r="W106" i="17"/>
  <c r="X106" i="17"/>
  <c r="Y106" i="17"/>
  <c r="Z106" i="17"/>
  <c r="AA106" i="17"/>
  <c r="AB106" i="17"/>
  <c r="AC106" i="17"/>
  <c r="AD106" i="17"/>
  <c r="AE106" i="17"/>
  <c r="H110" i="17"/>
  <c r="C109" i="17"/>
  <c r="H109" i="17"/>
  <c r="H108" i="17"/>
  <c r="H107" i="17"/>
  <c r="H106" i="17"/>
  <c r="I120" i="17"/>
  <c r="J120" i="17"/>
  <c r="K120" i="17"/>
  <c r="L120" i="17"/>
  <c r="M120" i="17"/>
  <c r="N120" i="17"/>
  <c r="O120" i="17"/>
  <c r="P120" i="17"/>
  <c r="Q120" i="17"/>
  <c r="R120" i="17"/>
  <c r="S120" i="17"/>
  <c r="T120" i="17"/>
  <c r="U120" i="17"/>
  <c r="V120" i="17"/>
  <c r="W120" i="17"/>
  <c r="X120" i="17"/>
  <c r="Y120" i="17"/>
  <c r="Z120" i="17"/>
  <c r="AA120" i="17"/>
  <c r="AB120" i="17"/>
  <c r="AC120" i="17"/>
  <c r="AD120" i="17"/>
  <c r="AE120" i="17"/>
  <c r="H120" i="17"/>
  <c r="H117" i="17"/>
  <c r="B119" i="17" l="1"/>
  <c r="S116" i="17"/>
  <c r="V116" i="17"/>
  <c r="B118" i="17"/>
  <c r="B120" i="17"/>
  <c r="N116" i="17"/>
  <c r="O116" i="17"/>
  <c r="M116" i="17"/>
  <c r="R116" i="17"/>
  <c r="L116" i="17"/>
  <c r="X116" i="17"/>
  <c r="P116" i="17"/>
  <c r="B117" i="17"/>
  <c r="AC116" i="17"/>
  <c r="Q116" i="17"/>
  <c r="I116" i="17"/>
  <c r="K116" i="17"/>
  <c r="AB116" i="17"/>
  <c r="AD116" i="17"/>
  <c r="H116" i="17"/>
  <c r="E65" i="17"/>
  <c r="D65" i="17" s="1"/>
  <c r="B65" i="17"/>
  <c r="I52" i="17"/>
  <c r="J52" i="17"/>
  <c r="K52" i="17"/>
  <c r="L52" i="17"/>
  <c r="M52" i="17"/>
  <c r="N52" i="17"/>
  <c r="O52" i="17"/>
  <c r="P52" i="17"/>
  <c r="Q52" i="17"/>
  <c r="R52" i="17"/>
  <c r="S52" i="17"/>
  <c r="T52" i="17"/>
  <c r="U52" i="17"/>
  <c r="V52" i="17"/>
  <c r="W52" i="17"/>
  <c r="X52" i="17"/>
  <c r="Y52" i="17"/>
  <c r="Z52" i="17"/>
  <c r="AA52" i="17"/>
  <c r="AB52" i="17"/>
  <c r="AC52" i="17"/>
  <c r="AD52" i="17"/>
  <c r="AE52" i="17"/>
  <c r="AF52" i="17"/>
  <c r="H52" i="17"/>
  <c r="E54" i="17"/>
  <c r="D54" i="17" s="1"/>
  <c r="E55" i="17"/>
  <c r="G55" i="17" s="1"/>
  <c r="E56" i="17"/>
  <c r="G56" i="17" s="1"/>
  <c r="E57" i="17"/>
  <c r="G57" i="17" s="1"/>
  <c r="E53" i="17"/>
  <c r="G53" i="17" s="1"/>
  <c r="B54" i="17"/>
  <c r="B55" i="17"/>
  <c r="B56" i="17"/>
  <c r="B57" i="17"/>
  <c r="B53" i="17"/>
  <c r="E43" i="17"/>
  <c r="D43" i="17" s="1"/>
  <c r="B43" i="17"/>
  <c r="E36" i="17"/>
  <c r="B36" i="17"/>
  <c r="E29" i="17"/>
  <c r="B29" i="17"/>
  <c r="E120" i="17" l="1"/>
  <c r="F120" i="17" s="1"/>
  <c r="F55" i="17"/>
  <c r="D53" i="17"/>
  <c r="B109" i="17"/>
  <c r="F56" i="17"/>
  <c r="D56" i="17"/>
  <c r="F53" i="17"/>
  <c r="D55" i="17"/>
  <c r="D36" i="17"/>
  <c r="E109" i="17"/>
  <c r="G29" i="17"/>
  <c r="G43" i="17"/>
  <c r="F43" i="17"/>
  <c r="F65" i="17"/>
  <c r="G65" i="17"/>
  <c r="E52" i="17"/>
  <c r="D57" i="17"/>
  <c r="F57" i="17"/>
  <c r="F54" i="17"/>
  <c r="G54" i="17"/>
  <c r="C52" i="17"/>
  <c r="B52" i="17"/>
  <c r="F36" i="17"/>
  <c r="G36" i="17"/>
  <c r="D29" i="17"/>
  <c r="F29" i="17"/>
  <c r="D120" i="17" l="1"/>
  <c r="G120" i="17"/>
  <c r="D52" i="17"/>
  <c r="D109" i="17"/>
  <c r="G52" i="17"/>
  <c r="F109" i="17"/>
  <c r="G109" i="17"/>
  <c r="F52" i="17"/>
  <c r="C37" i="22" l="1"/>
  <c r="C38" i="22"/>
  <c r="C40" i="22"/>
  <c r="C41" i="22"/>
  <c r="C39" i="22"/>
  <c r="E27" i="19" l="1"/>
  <c r="D27" i="19" s="1"/>
  <c r="B27" i="19"/>
  <c r="C18" i="18" l="1"/>
  <c r="D28" i="2" l="1"/>
  <c r="D24" i="2"/>
  <c r="E23" i="3" l="1"/>
  <c r="E20" i="3"/>
  <c r="E14" i="3"/>
  <c r="C12" i="3"/>
  <c r="C27" i="3" s="1"/>
  <c r="E11" i="3"/>
  <c r="H11" i="3"/>
  <c r="C31" i="3" l="1"/>
  <c r="C30" i="3" s="1"/>
  <c r="C26" i="3"/>
  <c r="C35" i="3"/>
  <c r="C11" i="3"/>
  <c r="G11" i="3" s="1"/>
  <c r="G12" i="3"/>
  <c r="AH330" i="14"/>
  <c r="AD319" i="14"/>
  <c r="D319" i="14"/>
  <c r="AD283" i="14"/>
  <c r="J283" i="14"/>
  <c r="C283" i="14" s="1"/>
  <c r="D182" i="14"/>
  <c r="K168" i="14"/>
  <c r="J277" i="14" l="1"/>
  <c r="D330" i="14"/>
  <c r="C34" i="3"/>
  <c r="C39" i="3"/>
  <c r="G171" i="14"/>
  <c r="D83" i="11"/>
  <c r="K80" i="11"/>
  <c r="K87" i="11"/>
  <c r="AF25" i="11"/>
  <c r="E20" i="15" l="1"/>
  <c r="D20" i="15"/>
  <c r="C20" i="15"/>
  <c r="AH20" i="15" l="1"/>
  <c r="AH14" i="15"/>
  <c r="K57" i="11"/>
  <c r="K49" i="11"/>
  <c r="K52" i="11"/>
  <c r="K51" i="11" s="1"/>
  <c r="K38" i="11"/>
  <c r="K37" i="11" s="1"/>
  <c r="K24" i="11"/>
  <c r="E11" i="15" l="1"/>
  <c r="I17" i="15"/>
  <c r="H17" i="15"/>
  <c r="E70" i="14" l="1"/>
  <c r="D70" i="14" s="1"/>
  <c r="AD34" i="14"/>
  <c r="B34" i="14" s="1"/>
  <c r="C15" i="14"/>
  <c r="C59" i="21" l="1"/>
  <c r="C53" i="21" s="1"/>
  <c r="C18" i="21" l="1"/>
  <c r="B265" i="14"/>
  <c r="C238" i="14" l="1"/>
  <c r="H54" i="2" l="1"/>
  <c r="P20" i="2"/>
  <c r="I55" i="2"/>
  <c r="D55" i="2"/>
  <c r="D54" i="2"/>
  <c r="D58" i="2" s="1"/>
  <c r="E51" i="2"/>
  <c r="E55" i="2" s="1"/>
  <c r="B51" i="2"/>
  <c r="B55" i="2" s="1"/>
  <c r="E48" i="2"/>
  <c r="E34" i="2"/>
  <c r="AG34" i="2" s="1"/>
  <c r="E31" i="2"/>
  <c r="D30" i="2"/>
  <c r="E28" i="2"/>
  <c r="E27" i="2"/>
  <c r="E23" i="2"/>
  <c r="E24" i="2"/>
  <c r="E16" i="2"/>
  <c r="D16" i="2" s="1"/>
  <c r="D20" i="2"/>
  <c r="H19" i="2"/>
  <c r="H37" i="2" s="1"/>
  <c r="H62" i="2" l="1"/>
  <c r="F55" i="2"/>
  <c r="G23" i="2"/>
  <c r="AG23" i="2"/>
  <c r="G15" i="2"/>
  <c r="F15" i="2"/>
  <c r="AG15" i="2"/>
  <c r="G27" i="2"/>
  <c r="E30" i="2"/>
  <c r="G16" i="2"/>
  <c r="AG16" i="2"/>
  <c r="AG27" i="2"/>
  <c r="G34" i="2"/>
  <c r="F51" i="2"/>
  <c r="G51" i="2"/>
  <c r="AG51" i="2"/>
  <c r="E54" i="2"/>
  <c r="E58" i="2" s="1"/>
  <c r="AG48" i="2"/>
  <c r="G48" i="2"/>
  <c r="D53" i="2"/>
  <c r="B59" i="2"/>
  <c r="B50" i="2"/>
  <c r="E53" i="2" l="1"/>
  <c r="E26" i="21"/>
  <c r="G26" i="21" s="1"/>
  <c r="AE64" i="21"/>
  <c r="AA64" i="21"/>
  <c r="D26" i="21" l="1"/>
  <c r="F31" i="15"/>
  <c r="G31" i="15"/>
  <c r="E31" i="15"/>
  <c r="R25" i="15"/>
  <c r="R30" i="15" s="1"/>
  <c r="F23" i="15"/>
  <c r="G23" i="15"/>
  <c r="H23" i="15"/>
  <c r="I23" i="15"/>
  <c r="J23" i="15"/>
  <c r="K23" i="15"/>
  <c r="L23" i="15"/>
  <c r="M23" i="15"/>
  <c r="N23" i="15"/>
  <c r="O23" i="15"/>
  <c r="P23" i="15"/>
  <c r="Q23" i="15"/>
  <c r="R23" i="15"/>
  <c r="S23" i="15"/>
  <c r="T23" i="15"/>
  <c r="U23" i="15"/>
  <c r="V23" i="15"/>
  <c r="W23" i="15"/>
  <c r="X23" i="15"/>
  <c r="Y23" i="15"/>
  <c r="Z23" i="15"/>
  <c r="AA23" i="15"/>
  <c r="AB23" i="15"/>
  <c r="AC23" i="15"/>
  <c r="AD23" i="15"/>
  <c r="AE23" i="15"/>
  <c r="F24" i="15"/>
  <c r="G24" i="15"/>
  <c r="H24" i="15"/>
  <c r="I24" i="15"/>
  <c r="J24" i="15"/>
  <c r="K24" i="15"/>
  <c r="L24" i="15"/>
  <c r="M24" i="15"/>
  <c r="N24" i="15"/>
  <c r="O24" i="15"/>
  <c r="P24" i="15"/>
  <c r="Q24" i="15"/>
  <c r="R24" i="15"/>
  <c r="S24" i="15"/>
  <c r="T24" i="15"/>
  <c r="U24" i="15"/>
  <c r="V24" i="15"/>
  <c r="W24" i="15"/>
  <c r="X24" i="15"/>
  <c r="Y24" i="15"/>
  <c r="Z24" i="15"/>
  <c r="AA24" i="15"/>
  <c r="AB24" i="15"/>
  <c r="AC24" i="15"/>
  <c r="AD24" i="15"/>
  <c r="AE24" i="15"/>
  <c r="E23" i="15"/>
  <c r="E24" i="15"/>
  <c r="E26" i="15"/>
  <c r="G26" i="15"/>
  <c r="I26" i="15"/>
  <c r="F26" i="15"/>
  <c r="L17" i="15"/>
  <c r="M17" i="15"/>
  <c r="M16" i="15" s="1"/>
  <c r="N17" i="15"/>
  <c r="O17" i="15"/>
  <c r="O16" i="15" s="1"/>
  <c r="P17" i="15"/>
  <c r="Q17" i="15"/>
  <c r="Q16" i="15" s="1"/>
  <c r="R17" i="15"/>
  <c r="S17" i="15"/>
  <c r="S16" i="15" s="1"/>
  <c r="T17" i="15"/>
  <c r="U17" i="15"/>
  <c r="U16" i="15" s="1"/>
  <c r="V17" i="15"/>
  <c r="W17" i="15"/>
  <c r="W16" i="15" s="1"/>
  <c r="X17" i="15"/>
  <c r="Y17" i="15"/>
  <c r="Y16" i="15" s="1"/>
  <c r="Z17" i="15"/>
  <c r="AA17" i="15"/>
  <c r="AA16" i="15" s="1"/>
  <c r="AB17" i="15"/>
  <c r="AC17" i="15"/>
  <c r="AC16" i="15" s="1"/>
  <c r="AD17" i="15"/>
  <c r="AE17" i="15"/>
  <c r="AE16" i="15" s="1"/>
  <c r="K17" i="15"/>
  <c r="K16" i="15" s="1"/>
  <c r="B20" i="15"/>
  <c r="B14" i="15"/>
  <c r="B25" i="15" l="1"/>
  <c r="B30" i="15" s="1"/>
  <c r="I11" i="15"/>
  <c r="J11" i="15"/>
  <c r="K11" i="15"/>
  <c r="K10" i="15" s="1"/>
  <c r="L11" i="15"/>
  <c r="M11" i="15"/>
  <c r="M10" i="15" s="1"/>
  <c r="N11" i="15"/>
  <c r="O11" i="15"/>
  <c r="O10" i="15" s="1"/>
  <c r="P11" i="15"/>
  <c r="Q11" i="15"/>
  <c r="Q10" i="15" s="1"/>
  <c r="R11" i="15"/>
  <c r="S11" i="15"/>
  <c r="S10" i="15" s="1"/>
  <c r="T11" i="15"/>
  <c r="U11" i="15"/>
  <c r="U10" i="15" s="1"/>
  <c r="V11" i="15"/>
  <c r="W11" i="15"/>
  <c r="W10" i="15" s="1"/>
  <c r="X11" i="15"/>
  <c r="Y11" i="15"/>
  <c r="Y10" i="15" s="1"/>
  <c r="Z11" i="15"/>
  <c r="AA11" i="15"/>
  <c r="AA10" i="15" s="1"/>
  <c r="AB11" i="15"/>
  <c r="AC11" i="15"/>
  <c r="AC10" i="15" s="1"/>
  <c r="AD11" i="15"/>
  <c r="AE11" i="15"/>
  <c r="AE10" i="15" s="1"/>
  <c r="H11" i="15"/>
  <c r="H10" i="15" s="1"/>
  <c r="C15" i="15"/>
  <c r="F96" i="11" l="1"/>
  <c r="F93" i="11" s="1"/>
  <c r="G99" i="11"/>
  <c r="G96" i="11" s="1"/>
  <c r="G93" i="11" s="1"/>
  <c r="I69" i="11"/>
  <c r="H69" i="11"/>
  <c r="D27" i="11"/>
  <c r="I28" i="5"/>
  <c r="I22" i="5" s="1"/>
  <c r="I43" i="5" s="1"/>
  <c r="I46" i="5" s="1"/>
  <c r="I45" i="5" s="1"/>
  <c r="I52" i="11"/>
  <c r="E6" i="18" l="1"/>
  <c r="D6" i="18"/>
  <c r="E5" i="2"/>
  <c r="D5" i="2"/>
  <c r="E47" i="22" l="1"/>
  <c r="C47" i="22"/>
  <c r="B47" i="22"/>
  <c r="E45" i="22"/>
  <c r="C45" i="22"/>
  <c r="B45" i="22"/>
  <c r="E44" i="22"/>
  <c r="C44" i="22"/>
  <c r="B44" i="22"/>
  <c r="AE43" i="22"/>
  <c r="AD43" i="22"/>
  <c r="AC43" i="22"/>
  <c r="AB43" i="22"/>
  <c r="AA43" i="22"/>
  <c r="Y43" i="22"/>
  <c r="X43" i="22"/>
  <c r="W43" i="22"/>
  <c r="U43" i="22"/>
  <c r="T43" i="22"/>
  <c r="S43" i="22"/>
  <c r="R43" i="22"/>
  <c r="O43" i="22"/>
  <c r="N43" i="22"/>
  <c r="M43" i="22"/>
  <c r="L43" i="22"/>
  <c r="K43" i="22"/>
  <c r="J43" i="22"/>
  <c r="I43" i="22"/>
  <c r="H43" i="22"/>
  <c r="E41" i="22"/>
  <c r="B41" i="22"/>
  <c r="E40" i="22"/>
  <c r="B40" i="22"/>
  <c r="E39" i="22"/>
  <c r="B39" i="22"/>
  <c r="E38" i="22"/>
  <c r="B38" i="22"/>
  <c r="E37" i="22"/>
  <c r="B37" i="22"/>
  <c r="AE36" i="22"/>
  <c r="AD36" i="22"/>
  <c r="AC36" i="22"/>
  <c r="AB36" i="22"/>
  <c r="AA36" i="22"/>
  <c r="Z36" i="22"/>
  <c r="Y36" i="22"/>
  <c r="X36" i="22"/>
  <c r="W36" i="22"/>
  <c r="V36" i="22"/>
  <c r="U36" i="22"/>
  <c r="T36" i="22"/>
  <c r="S36" i="22"/>
  <c r="R36" i="22"/>
  <c r="Q36" i="22"/>
  <c r="P36" i="22"/>
  <c r="O36" i="22"/>
  <c r="N36" i="22"/>
  <c r="M36" i="22"/>
  <c r="L36" i="22"/>
  <c r="K36" i="22"/>
  <c r="J36" i="22"/>
  <c r="I36" i="22"/>
  <c r="H36" i="22"/>
  <c r="C26" i="22"/>
  <c r="C19" i="22" s="1"/>
  <c r="B26" i="22"/>
  <c r="B19" i="22" s="1"/>
  <c r="C11" i="22"/>
  <c r="C9" i="22"/>
  <c r="AE21" i="22"/>
  <c r="AD21" i="22"/>
  <c r="AC21" i="22"/>
  <c r="AB21" i="22"/>
  <c r="AA21" i="22"/>
  <c r="Z21" i="22"/>
  <c r="Y21" i="22"/>
  <c r="X21" i="22"/>
  <c r="W21" i="22"/>
  <c r="U21" i="22"/>
  <c r="T21" i="22"/>
  <c r="O21" i="22"/>
  <c r="N21" i="22"/>
  <c r="M21" i="22"/>
  <c r="K21" i="22"/>
  <c r="J21" i="22"/>
  <c r="I21" i="22"/>
  <c r="H21" i="22"/>
  <c r="AE19" i="22"/>
  <c r="AE12" i="22" s="1"/>
  <c r="AD19" i="22"/>
  <c r="AD12" i="22" s="1"/>
  <c r="AC19" i="22"/>
  <c r="AC12" i="22" s="1"/>
  <c r="AB19" i="22"/>
  <c r="AB12" i="22" s="1"/>
  <c r="AA19" i="22"/>
  <c r="AA12" i="22" s="1"/>
  <c r="Z19" i="22"/>
  <c r="Z12" i="22" s="1"/>
  <c r="Y19" i="22"/>
  <c r="Y12" i="22" s="1"/>
  <c r="X19" i="22"/>
  <c r="X12" i="22" s="1"/>
  <c r="W19" i="22"/>
  <c r="W12" i="22" s="1"/>
  <c r="V19" i="22"/>
  <c r="V12" i="22" s="1"/>
  <c r="U19" i="22"/>
  <c r="U12" i="22" s="1"/>
  <c r="T19" i="22"/>
  <c r="T12" i="22" s="1"/>
  <c r="S19" i="22"/>
  <c r="S12" i="22" s="1"/>
  <c r="R19" i="22"/>
  <c r="R12" i="22" s="1"/>
  <c r="Q19" i="22"/>
  <c r="Q12" i="22" s="1"/>
  <c r="P19" i="22"/>
  <c r="P12" i="22" s="1"/>
  <c r="O19" i="22"/>
  <c r="O12" i="22" s="1"/>
  <c r="N19" i="22"/>
  <c r="N12" i="22" s="1"/>
  <c r="M19" i="22"/>
  <c r="M12" i="22" s="1"/>
  <c r="L19" i="22"/>
  <c r="L12" i="22" s="1"/>
  <c r="K19" i="22"/>
  <c r="K12" i="22" s="1"/>
  <c r="J19" i="22"/>
  <c r="J12" i="22" s="1"/>
  <c r="I19" i="22"/>
  <c r="I12" i="22" s="1"/>
  <c r="H19" i="22"/>
  <c r="H12" i="22" s="1"/>
  <c r="AE18" i="22"/>
  <c r="AE11" i="22" s="1"/>
  <c r="AD18" i="22"/>
  <c r="AD11" i="22" s="1"/>
  <c r="AC18" i="22"/>
  <c r="AC11" i="22" s="1"/>
  <c r="AB18" i="22"/>
  <c r="AB11" i="22" s="1"/>
  <c r="AA18" i="22"/>
  <c r="AA11" i="22" s="1"/>
  <c r="Z18" i="22"/>
  <c r="Z11" i="22" s="1"/>
  <c r="Y18" i="22"/>
  <c r="Y11" i="22" s="1"/>
  <c r="X18" i="22"/>
  <c r="X11" i="22" s="1"/>
  <c r="W18" i="22"/>
  <c r="W11" i="22" s="1"/>
  <c r="V11" i="22"/>
  <c r="U18" i="22"/>
  <c r="U11" i="22" s="1"/>
  <c r="T18" i="22"/>
  <c r="T11" i="22" s="1"/>
  <c r="S11" i="22"/>
  <c r="R11" i="22"/>
  <c r="Q11" i="22"/>
  <c r="P11" i="22"/>
  <c r="O18" i="22"/>
  <c r="O11" i="22" s="1"/>
  <c r="N18" i="22"/>
  <c r="N11" i="22" s="1"/>
  <c r="M18" i="22"/>
  <c r="M11" i="22" s="1"/>
  <c r="L18" i="22"/>
  <c r="L11" i="22" s="1"/>
  <c r="K18" i="22"/>
  <c r="K11" i="22" s="1"/>
  <c r="J18" i="22"/>
  <c r="J11" i="22" s="1"/>
  <c r="I18" i="22"/>
  <c r="I11" i="22" s="1"/>
  <c r="H18" i="22"/>
  <c r="H11" i="22" s="1"/>
  <c r="AE17" i="22"/>
  <c r="AE10" i="22" s="1"/>
  <c r="AD17" i="22"/>
  <c r="AD10" i="22" s="1"/>
  <c r="AC17" i="22"/>
  <c r="AC10" i="22" s="1"/>
  <c r="AB17" i="22"/>
  <c r="AB10" i="22" s="1"/>
  <c r="AA17" i="22"/>
  <c r="AA10" i="22" s="1"/>
  <c r="Z17" i="22"/>
  <c r="Z10" i="22" s="1"/>
  <c r="Y17" i="22"/>
  <c r="Y10" i="22" s="1"/>
  <c r="X17" i="22"/>
  <c r="X10" i="22" s="1"/>
  <c r="W17" i="22"/>
  <c r="W10" i="22" s="1"/>
  <c r="V10" i="22"/>
  <c r="U17" i="22"/>
  <c r="U10" i="22" s="1"/>
  <c r="T17" i="22"/>
  <c r="T10" i="22" s="1"/>
  <c r="S10" i="22"/>
  <c r="R10" i="22"/>
  <c r="Q10" i="22"/>
  <c r="P10" i="22"/>
  <c r="O17" i="22"/>
  <c r="O10" i="22" s="1"/>
  <c r="N17" i="22"/>
  <c r="N10" i="22" s="1"/>
  <c r="M17" i="22"/>
  <c r="M10" i="22" s="1"/>
  <c r="L10" i="22"/>
  <c r="K17" i="22"/>
  <c r="K10" i="22" s="1"/>
  <c r="J17" i="22"/>
  <c r="J10" i="22" s="1"/>
  <c r="I17" i="22"/>
  <c r="I10" i="22" s="1"/>
  <c r="H17" i="22"/>
  <c r="H10" i="22" s="1"/>
  <c r="AE16" i="22"/>
  <c r="AE9" i="22" s="1"/>
  <c r="AD16" i="22"/>
  <c r="AD9" i="22" s="1"/>
  <c r="AC16" i="22"/>
  <c r="AC9" i="22" s="1"/>
  <c r="AB16" i="22"/>
  <c r="AB9" i="22" s="1"/>
  <c r="AA16" i="22"/>
  <c r="AA9" i="22" s="1"/>
  <c r="Z16" i="22"/>
  <c r="Z9" i="22" s="1"/>
  <c r="Y16" i="22"/>
  <c r="Y9" i="22" s="1"/>
  <c r="X16" i="22"/>
  <c r="X9" i="22" s="1"/>
  <c r="W16" i="22"/>
  <c r="W9" i="22" s="1"/>
  <c r="U16" i="22"/>
  <c r="U9" i="22" s="1"/>
  <c r="T16" i="22"/>
  <c r="T9" i="22" s="1"/>
  <c r="S9" i="22"/>
  <c r="R9" i="22"/>
  <c r="Q9" i="22"/>
  <c r="P9" i="22"/>
  <c r="O16" i="22"/>
  <c r="O9" i="22" s="1"/>
  <c r="N16" i="22"/>
  <c r="N9" i="22" s="1"/>
  <c r="M16" i="22"/>
  <c r="M9" i="22" s="1"/>
  <c r="L16" i="22"/>
  <c r="L9" i="22" s="1"/>
  <c r="K16" i="22"/>
  <c r="K9" i="22" s="1"/>
  <c r="J16" i="22"/>
  <c r="J9" i="22" s="1"/>
  <c r="I16" i="22"/>
  <c r="I9" i="22" s="1"/>
  <c r="H16" i="22"/>
  <c r="H9" i="22" s="1"/>
  <c r="AE15" i="22"/>
  <c r="AE8" i="22" s="1"/>
  <c r="AD15" i="22"/>
  <c r="AD8" i="22" s="1"/>
  <c r="AC15" i="22"/>
  <c r="AC8" i="22" s="1"/>
  <c r="AB15" i="22"/>
  <c r="AA15" i="22"/>
  <c r="AA8" i="22" s="1"/>
  <c r="Z15" i="22"/>
  <c r="Z8" i="22" s="1"/>
  <c r="Y15" i="22"/>
  <c r="Y8" i="22" s="1"/>
  <c r="X15" i="22"/>
  <c r="W15" i="22"/>
  <c r="W8" i="22" s="1"/>
  <c r="V8" i="22"/>
  <c r="U15" i="22"/>
  <c r="U8" i="22" s="1"/>
  <c r="T15" i="22"/>
  <c r="S8" i="22"/>
  <c r="R8" i="22"/>
  <c r="Q8" i="22"/>
  <c r="O15" i="22"/>
  <c r="O8" i="22" s="1"/>
  <c r="N15" i="22"/>
  <c r="N8" i="22" s="1"/>
  <c r="M15" i="22"/>
  <c r="M8" i="22" s="1"/>
  <c r="L15" i="22"/>
  <c r="K15" i="22"/>
  <c r="K8" i="22" s="1"/>
  <c r="J15" i="22"/>
  <c r="J8" i="22" s="1"/>
  <c r="I15" i="22"/>
  <c r="H15" i="22"/>
  <c r="E139" i="21"/>
  <c r="B139"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E133" i="21"/>
  <c r="C150" i="21"/>
  <c r="B133"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E114" i="21"/>
  <c r="B114"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AE108" i="21"/>
  <c r="AD108" i="21"/>
  <c r="AC108" i="21"/>
  <c r="AC106" i="21" s="1"/>
  <c r="AB108" i="21"/>
  <c r="AB106" i="21" s="1"/>
  <c r="AA108" i="21"/>
  <c r="Z108" i="21"/>
  <c r="Y108" i="21"/>
  <c r="Y106" i="21" s="1"/>
  <c r="X108" i="21"/>
  <c r="X106" i="21" s="1"/>
  <c r="W108" i="21"/>
  <c r="V108" i="21"/>
  <c r="U108" i="21"/>
  <c r="U106" i="21" s="1"/>
  <c r="T108" i="21"/>
  <c r="T106" i="21" s="1"/>
  <c r="S108" i="21"/>
  <c r="R108" i="21"/>
  <c r="Q108" i="21"/>
  <c r="Q106" i="21" s="1"/>
  <c r="P108" i="21"/>
  <c r="P106" i="21" s="1"/>
  <c r="O108" i="21"/>
  <c r="N108" i="21"/>
  <c r="M108" i="21"/>
  <c r="M106" i="21" s="1"/>
  <c r="L108" i="21"/>
  <c r="L106" i="21" s="1"/>
  <c r="K108" i="21"/>
  <c r="J108" i="21"/>
  <c r="I108" i="21"/>
  <c r="H108" i="21"/>
  <c r="C108" i="21" s="1"/>
  <c r="E96" i="21"/>
  <c r="B96" i="21"/>
  <c r="AE94" i="21"/>
  <c r="AD94" i="21"/>
  <c r="AC94" i="21"/>
  <c r="AB94" i="21"/>
  <c r="AA94" i="21"/>
  <c r="Z94" i="21"/>
  <c r="Y94" i="21"/>
  <c r="X94" i="21"/>
  <c r="W94" i="21"/>
  <c r="V94" i="21"/>
  <c r="U94" i="21"/>
  <c r="T94" i="21"/>
  <c r="S94" i="21"/>
  <c r="R94" i="21"/>
  <c r="Q94" i="21"/>
  <c r="P94" i="21"/>
  <c r="O94" i="21"/>
  <c r="N94" i="21"/>
  <c r="M94" i="21"/>
  <c r="L94" i="21"/>
  <c r="K94" i="21"/>
  <c r="J94" i="21"/>
  <c r="I94" i="21"/>
  <c r="H94" i="21"/>
  <c r="E90" i="21"/>
  <c r="B90" i="21"/>
  <c r="AE88" i="21"/>
  <c r="AD88" i="21"/>
  <c r="AC88" i="21"/>
  <c r="AB88" i="21"/>
  <c r="AA88" i="21"/>
  <c r="Z88" i="21"/>
  <c r="Y88" i="21"/>
  <c r="X88" i="21"/>
  <c r="W88" i="21"/>
  <c r="V88" i="21"/>
  <c r="U88" i="21"/>
  <c r="T88" i="21"/>
  <c r="S88" i="21"/>
  <c r="R88" i="21"/>
  <c r="Q88" i="21"/>
  <c r="P88" i="21"/>
  <c r="O88" i="21"/>
  <c r="N88" i="21"/>
  <c r="M88" i="21"/>
  <c r="L88" i="21"/>
  <c r="K88" i="21"/>
  <c r="J88" i="21"/>
  <c r="I88" i="21"/>
  <c r="H88" i="21"/>
  <c r="E84" i="21"/>
  <c r="B84" i="21"/>
  <c r="AE82" i="21"/>
  <c r="AD82" i="21"/>
  <c r="AC82" i="21"/>
  <c r="AB82" i="21"/>
  <c r="AA82" i="21"/>
  <c r="Z82" i="21"/>
  <c r="Y82" i="21"/>
  <c r="X82" i="21"/>
  <c r="W82" i="21"/>
  <c r="V82" i="21"/>
  <c r="U82" i="21"/>
  <c r="T82" i="21"/>
  <c r="S82" i="21"/>
  <c r="R82" i="21"/>
  <c r="Q82" i="21"/>
  <c r="P82" i="21"/>
  <c r="O82" i="21"/>
  <c r="N82" i="21"/>
  <c r="M82" i="21"/>
  <c r="L82" i="21"/>
  <c r="K82" i="21"/>
  <c r="J82" i="21"/>
  <c r="I82" i="21"/>
  <c r="H82" i="21"/>
  <c r="E78" i="21"/>
  <c r="B78" i="21"/>
  <c r="AE76" i="21"/>
  <c r="AD76" i="21"/>
  <c r="AC76" i="21"/>
  <c r="AB76" i="21"/>
  <c r="AA76" i="21"/>
  <c r="Z76" i="21"/>
  <c r="Y76" i="21"/>
  <c r="X76" i="21"/>
  <c r="W76" i="21"/>
  <c r="V76" i="21"/>
  <c r="U76" i="21"/>
  <c r="T76" i="21"/>
  <c r="S76" i="21"/>
  <c r="R76" i="21"/>
  <c r="Q76" i="21"/>
  <c r="P76" i="21"/>
  <c r="O76" i="21"/>
  <c r="N76" i="21"/>
  <c r="M76" i="21"/>
  <c r="L76" i="21"/>
  <c r="K76" i="21"/>
  <c r="J76" i="21"/>
  <c r="I76" i="21"/>
  <c r="H76" i="21"/>
  <c r="E72" i="21"/>
  <c r="B72" i="21"/>
  <c r="AE70" i="21"/>
  <c r="AD70" i="21"/>
  <c r="AC70" i="21"/>
  <c r="AB70" i="21"/>
  <c r="AA70" i="21"/>
  <c r="Z70" i="21"/>
  <c r="Y70" i="21"/>
  <c r="X70" i="21"/>
  <c r="W70" i="21"/>
  <c r="V70" i="21"/>
  <c r="U70" i="21"/>
  <c r="T70" i="21"/>
  <c r="S70" i="21"/>
  <c r="R70" i="21"/>
  <c r="Q70" i="21"/>
  <c r="P70" i="21"/>
  <c r="O70" i="21"/>
  <c r="N70" i="21"/>
  <c r="M70" i="21"/>
  <c r="L70" i="21"/>
  <c r="K70" i="21"/>
  <c r="J70" i="21"/>
  <c r="I70" i="21"/>
  <c r="H70" i="21"/>
  <c r="E62" i="21"/>
  <c r="C62" i="21"/>
  <c r="E61" i="21"/>
  <c r="C61" i="21"/>
  <c r="E66" i="21"/>
  <c r="B66" i="21"/>
  <c r="B60" i="21" s="1"/>
  <c r="AD64" i="21"/>
  <c r="AB64" i="21"/>
  <c r="Z64" i="21"/>
  <c r="Y64" i="21"/>
  <c r="X64" i="21"/>
  <c r="W64" i="21"/>
  <c r="V64" i="21"/>
  <c r="U64" i="21"/>
  <c r="T64" i="21"/>
  <c r="S64" i="21"/>
  <c r="R64" i="21"/>
  <c r="Q64" i="21"/>
  <c r="P64" i="21"/>
  <c r="O64" i="21"/>
  <c r="N64" i="21"/>
  <c r="M64" i="21"/>
  <c r="L64" i="21"/>
  <c r="K64" i="21"/>
  <c r="J64" i="21"/>
  <c r="I64" i="21"/>
  <c r="H64" i="21"/>
  <c r="AE62" i="21"/>
  <c r="AE56" i="21" s="1"/>
  <c r="AD62" i="21"/>
  <c r="AD56" i="21" s="1"/>
  <c r="AC62" i="21"/>
  <c r="AC56" i="21" s="1"/>
  <c r="AB62" i="21"/>
  <c r="AB56" i="21" s="1"/>
  <c r="AA62" i="21"/>
  <c r="AA56" i="21" s="1"/>
  <c r="Z62" i="21"/>
  <c r="Z56" i="21" s="1"/>
  <c r="Y62" i="21"/>
  <c r="Y56" i="21" s="1"/>
  <c r="X62" i="21"/>
  <c r="X56" i="21" s="1"/>
  <c r="W62" i="21"/>
  <c r="W56" i="21" s="1"/>
  <c r="V62" i="21"/>
  <c r="V56" i="21" s="1"/>
  <c r="U62" i="21"/>
  <c r="U56" i="21" s="1"/>
  <c r="T62" i="21"/>
  <c r="T56" i="21" s="1"/>
  <c r="S62" i="21"/>
  <c r="S56" i="21" s="1"/>
  <c r="R62" i="21"/>
  <c r="R56" i="21" s="1"/>
  <c r="Q62" i="21"/>
  <c r="Q56" i="21" s="1"/>
  <c r="P62" i="21"/>
  <c r="P56" i="21" s="1"/>
  <c r="O62" i="21"/>
  <c r="O56" i="21" s="1"/>
  <c r="N62" i="21"/>
  <c r="N56" i="21" s="1"/>
  <c r="M62" i="21"/>
  <c r="M56" i="21" s="1"/>
  <c r="L62" i="21"/>
  <c r="L56" i="21" s="1"/>
  <c r="K62" i="21"/>
  <c r="K56" i="21" s="1"/>
  <c r="J62" i="21"/>
  <c r="J56" i="21" s="1"/>
  <c r="I62" i="21"/>
  <c r="I56" i="21" s="1"/>
  <c r="H62" i="21"/>
  <c r="H56" i="21" s="1"/>
  <c r="AE61" i="21"/>
  <c r="AE55" i="21" s="1"/>
  <c r="AD61" i="21"/>
  <c r="AD55" i="21" s="1"/>
  <c r="AC61" i="21"/>
  <c r="AC55" i="21" s="1"/>
  <c r="AB61" i="21"/>
  <c r="AB55" i="21" s="1"/>
  <c r="AA61" i="21"/>
  <c r="AA55" i="21" s="1"/>
  <c r="Z61" i="21"/>
  <c r="Z55" i="21" s="1"/>
  <c r="Y61" i="21"/>
  <c r="Y55" i="21" s="1"/>
  <c r="X61" i="21"/>
  <c r="X55" i="21" s="1"/>
  <c r="W61" i="21"/>
  <c r="W55" i="21" s="1"/>
  <c r="V61" i="21"/>
  <c r="V55" i="21" s="1"/>
  <c r="U61" i="21"/>
  <c r="U55" i="21" s="1"/>
  <c r="T61" i="21"/>
  <c r="T55" i="21" s="1"/>
  <c r="S61" i="21"/>
  <c r="S55" i="21" s="1"/>
  <c r="R61" i="21"/>
  <c r="R55" i="21" s="1"/>
  <c r="Q61" i="21"/>
  <c r="Q55" i="21" s="1"/>
  <c r="P61" i="21"/>
  <c r="P55" i="21" s="1"/>
  <c r="O61" i="21"/>
  <c r="O55" i="21" s="1"/>
  <c r="N61" i="21"/>
  <c r="N55" i="21" s="1"/>
  <c r="M61" i="21"/>
  <c r="M55" i="21" s="1"/>
  <c r="L61" i="21"/>
  <c r="L55" i="21" s="1"/>
  <c r="K61" i="21"/>
  <c r="K55" i="21" s="1"/>
  <c r="J61" i="21"/>
  <c r="J55" i="21" s="1"/>
  <c r="I61" i="21"/>
  <c r="I55" i="21" s="1"/>
  <c r="H61" i="21"/>
  <c r="H55" i="21" s="1"/>
  <c r="AE60" i="21"/>
  <c r="AE54" i="21" s="1"/>
  <c r="AD60" i="21"/>
  <c r="AD54" i="21" s="1"/>
  <c r="AC60" i="21"/>
  <c r="AC54" i="21" s="1"/>
  <c r="AB60" i="21"/>
  <c r="AB54" i="21" s="1"/>
  <c r="AA60" i="21"/>
  <c r="AA54" i="21" s="1"/>
  <c r="Z60" i="21"/>
  <c r="Z54" i="21" s="1"/>
  <c r="Y60" i="21"/>
  <c r="Y54" i="21" s="1"/>
  <c r="X60" i="21"/>
  <c r="X54" i="21" s="1"/>
  <c r="W60" i="21"/>
  <c r="W54" i="21" s="1"/>
  <c r="V60" i="21"/>
  <c r="V54" i="21" s="1"/>
  <c r="U60" i="21"/>
  <c r="U54" i="21" s="1"/>
  <c r="T60" i="21"/>
  <c r="T54" i="21" s="1"/>
  <c r="S60" i="21"/>
  <c r="S54" i="21" s="1"/>
  <c r="R60" i="21"/>
  <c r="R54" i="21" s="1"/>
  <c r="Q60" i="21"/>
  <c r="Q54" i="21" s="1"/>
  <c r="P60" i="21"/>
  <c r="P54" i="21" s="1"/>
  <c r="O60" i="21"/>
  <c r="O54" i="21" s="1"/>
  <c r="N60" i="21"/>
  <c r="N54" i="21" s="1"/>
  <c r="M60" i="21"/>
  <c r="M54" i="21" s="1"/>
  <c r="L60" i="21"/>
  <c r="L54" i="21" s="1"/>
  <c r="K60" i="21"/>
  <c r="K54" i="21" s="1"/>
  <c r="J60" i="21"/>
  <c r="J54" i="21" s="1"/>
  <c r="I60" i="21"/>
  <c r="I54" i="21" s="1"/>
  <c r="H60" i="21"/>
  <c r="H54" i="21" s="1"/>
  <c r="C60" i="21"/>
  <c r="AE59" i="21"/>
  <c r="AE53" i="21" s="1"/>
  <c r="AD59" i="21"/>
  <c r="AD53" i="21" s="1"/>
  <c r="AC59" i="21"/>
  <c r="AC53" i="21" s="1"/>
  <c r="AB59" i="21"/>
  <c r="AB53" i="21" s="1"/>
  <c r="AA59" i="21"/>
  <c r="AA53" i="21" s="1"/>
  <c r="Z59" i="21"/>
  <c r="Z53" i="21" s="1"/>
  <c r="Y59" i="21"/>
  <c r="Y53" i="21" s="1"/>
  <c r="X59" i="21"/>
  <c r="X53" i="21" s="1"/>
  <c r="W59" i="21"/>
  <c r="W53" i="21" s="1"/>
  <c r="V59" i="21"/>
  <c r="V53" i="21" s="1"/>
  <c r="U59" i="21"/>
  <c r="U53" i="21" s="1"/>
  <c r="T59" i="21"/>
  <c r="T53" i="21" s="1"/>
  <c r="S59" i="21"/>
  <c r="S53" i="21" s="1"/>
  <c r="R59" i="21"/>
  <c r="R53" i="21" s="1"/>
  <c r="Q59" i="21"/>
  <c r="Q53" i="21" s="1"/>
  <c r="P59" i="21"/>
  <c r="P53" i="21" s="1"/>
  <c r="O59" i="21"/>
  <c r="O53" i="21" s="1"/>
  <c r="N59" i="21"/>
  <c r="N53" i="21" s="1"/>
  <c r="M59" i="21"/>
  <c r="M53" i="21" s="1"/>
  <c r="L59" i="21"/>
  <c r="L53" i="21" s="1"/>
  <c r="K59" i="21"/>
  <c r="K53" i="21" s="1"/>
  <c r="J59" i="21"/>
  <c r="J53" i="21" s="1"/>
  <c r="I59" i="21"/>
  <c r="I53" i="21" s="1"/>
  <c r="H59" i="21"/>
  <c r="H53" i="21" s="1"/>
  <c r="E50" i="21"/>
  <c r="B50" i="21"/>
  <c r="E49" i="21"/>
  <c r="B49" i="21"/>
  <c r="E48" i="21"/>
  <c r="B48" i="21"/>
  <c r="E47" i="21"/>
  <c r="B47" i="21"/>
  <c r="AE46" i="21"/>
  <c r="AD46" i="21"/>
  <c r="AC46" i="21"/>
  <c r="AB46" i="21"/>
  <c r="AA46" i="21"/>
  <c r="Z46" i="21"/>
  <c r="Y46" i="21"/>
  <c r="X46" i="21"/>
  <c r="W46" i="21"/>
  <c r="V46" i="21"/>
  <c r="U46" i="21"/>
  <c r="T46" i="21"/>
  <c r="S46" i="21"/>
  <c r="R46" i="21"/>
  <c r="Q46" i="21"/>
  <c r="P46" i="21"/>
  <c r="O46" i="21"/>
  <c r="N46" i="21"/>
  <c r="M46" i="21"/>
  <c r="L46" i="21"/>
  <c r="K46" i="21"/>
  <c r="J46" i="21"/>
  <c r="I46" i="21"/>
  <c r="H46" i="21"/>
  <c r="E44" i="21"/>
  <c r="B44" i="21"/>
  <c r="E43" i="21"/>
  <c r="B43" i="21"/>
  <c r="E42" i="21"/>
  <c r="B42" i="21"/>
  <c r="E41" i="21"/>
  <c r="B41" i="21"/>
  <c r="AE40" i="21"/>
  <c r="AD40" i="21"/>
  <c r="AC40" i="21"/>
  <c r="AB40" i="21"/>
  <c r="AA40" i="21"/>
  <c r="Z40" i="21"/>
  <c r="Y40" i="21"/>
  <c r="X40" i="21"/>
  <c r="W40" i="21"/>
  <c r="V40" i="21"/>
  <c r="U40" i="21"/>
  <c r="T40" i="21"/>
  <c r="S40" i="21"/>
  <c r="R40" i="21"/>
  <c r="Q40" i="21"/>
  <c r="P40" i="21"/>
  <c r="O40" i="21"/>
  <c r="N40" i="21"/>
  <c r="M40" i="21"/>
  <c r="L40" i="21"/>
  <c r="K40" i="21"/>
  <c r="J40" i="21"/>
  <c r="I40" i="21"/>
  <c r="H40" i="21"/>
  <c r="E38" i="21"/>
  <c r="B38" i="21"/>
  <c r="E36" i="21"/>
  <c r="B36" i="21"/>
  <c r="E35" i="21"/>
  <c r="B35" i="21"/>
  <c r="AE34" i="21"/>
  <c r="AD34" i="21"/>
  <c r="AC34" i="21"/>
  <c r="AB34" i="21"/>
  <c r="AA34" i="21"/>
  <c r="Z34" i="21"/>
  <c r="Y34" i="21"/>
  <c r="X34" i="21"/>
  <c r="W34" i="21"/>
  <c r="V34" i="21"/>
  <c r="U34" i="21"/>
  <c r="T34" i="21"/>
  <c r="S34" i="21"/>
  <c r="R34" i="21"/>
  <c r="Q34" i="21"/>
  <c r="P34" i="21"/>
  <c r="O34" i="21"/>
  <c r="N34" i="21"/>
  <c r="M34" i="21"/>
  <c r="L34" i="21"/>
  <c r="K34" i="21"/>
  <c r="J34" i="21"/>
  <c r="I34" i="21"/>
  <c r="H34" i="21"/>
  <c r="E30" i="21"/>
  <c r="B30" i="21"/>
  <c r="AE28" i="21"/>
  <c r="AD28" i="21"/>
  <c r="AC28" i="21"/>
  <c r="AB28" i="21"/>
  <c r="AA28" i="21"/>
  <c r="Z28" i="21"/>
  <c r="Y28" i="21"/>
  <c r="X28" i="21"/>
  <c r="W28" i="21"/>
  <c r="V28" i="21"/>
  <c r="U28" i="21"/>
  <c r="T28" i="21"/>
  <c r="S28" i="21"/>
  <c r="R28" i="21"/>
  <c r="Q28" i="21"/>
  <c r="P28" i="21"/>
  <c r="O28" i="21"/>
  <c r="N28" i="21"/>
  <c r="M28" i="21"/>
  <c r="L28" i="21"/>
  <c r="K28" i="21"/>
  <c r="J28" i="21"/>
  <c r="I28" i="21"/>
  <c r="H28" i="21"/>
  <c r="B26" i="21"/>
  <c r="F26" i="21" s="1"/>
  <c r="E24" i="21"/>
  <c r="B24" i="21"/>
  <c r="E23" i="21"/>
  <c r="B23" i="21"/>
  <c r="AE22" i="21"/>
  <c r="AD22" i="21"/>
  <c r="AC22" i="21"/>
  <c r="AB22" i="21"/>
  <c r="AA22" i="21"/>
  <c r="Z22" i="21"/>
  <c r="Y22" i="21"/>
  <c r="X22" i="21"/>
  <c r="W22" i="21"/>
  <c r="V22" i="21"/>
  <c r="U22" i="21"/>
  <c r="T22" i="21"/>
  <c r="S22" i="21"/>
  <c r="R22" i="21"/>
  <c r="Q22" i="21"/>
  <c r="P22" i="21"/>
  <c r="O22" i="21"/>
  <c r="N22" i="21"/>
  <c r="M22" i="21"/>
  <c r="L22" i="21"/>
  <c r="K22" i="21"/>
  <c r="J22" i="21"/>
  <c r="I22" i="21"/>
  <c r="H22" i="21"/>
  <c r="AE20" i="21"/>
  <c r="AD20" i="21"/>
  <c r="AC20" i="21"/>
  <c r="AB20" i="21"/>
  <c r="AA20" i="21"/>
  <c r="Z20" i="21"/>
  <c r="Y20" i="21"/>
  <c r="X20" i="21"/>
  <c r="W20" i="21"/>
  <c r="V20" i="21"/>
  <c r="U20" i="21"/>
  <c r="T20" i="21"/>
  <c r="S20" i="21"/>
  <c r="R20" i="21"/>
  <c r="Q20" i="21"/>
  <c r="P20" i="21"/>
  <c r="O20" i="21"/>
  <c r="N20" i="21"/>
  <c r="M20" i="21"/>
  <c r="L20" i="21"/>
  <c r="K20" i="21"/>
  <c r="J20" i="21"/>
  <c r="I20" i="21"/>
  <c r="H20" i="21"/>
  <c r="AE19" i="21"/>
  <c r="AD19" i="21"/>
  <c r="AC19" i="21"/>
  <c r="AB19" i="21"/>
  <c r="AA19" i="21"/>
  <c r="Z19" i="21"/>
  <c r="Y19" i="21"/>
  <c r="X19" i="21"/>
  <c r="W19" i="21"/>
  <c r="V19" i="21"/>
  <c r="U19" i="21"/>
  <c r="T19" i="21"/>
  <c r="S19" i="21"/>
  <c r="R19" i="21"/>
  <c r="Q19" i="21"/>
  <c r="P19" i="21"/>
  <c r="O19" i="21"/>
  <c r="N19" i="21"/>
  <c r="M19" i="21"/>
  <c r="L19" i="21"/>
  <c r="K19" i="21"/>
  <c r="J19" i="21"/>
  <c r="I19" i="21"/>
  <c r="H19" i="21"/>
  <c r="AE18" i="21"/>
  <c r="AD18" i="21"/>
  <c r="AC18" i="21"/>
  <c r="AB18" i="21"/>
  <c r="AA18" i="21"/>
  <c r="Z18" i="21"/>
  <c r="Y18" i="21"/>
  <c r="X18" i="21"/>
  <c r="W18" i="21"/>
  <c r="V18" i="21"/>
  <c r="U18" i="21"/>
  <c r="T18" i="21"/>
  <c r="S18" i="21"/>
  <c r="R18" i="21"/>
  <c r="Q18" i="21"/>
  <c r="P18" i="21"/>
  <c r="O18" i="21"/>
  <c r="N18" i="21"/>
  <c r="M18" i="21"/>
  <c r="L18" i="21"/>
  <c r="K18" i="21"/>
  <c r="J18" i="21"/>
  <c r="I18" i="21"/>
  <c r="H18" i="21"/>
  <c r="AE17" i="21"/>
  <c r="AD17" i="21"/>
  <c r="AC17" i="21"/>
  <c r="AB17" i="21"/>
  <c r="AA17" i="21"/>
  <c r="Z17" i="21"/>
  <c r="Y17" i="21"/>
  <c r="X17" i="21"/>
  <c r="W17" i="21"/>
  <c r="V17" i="21"/>
  <c r="U17" i="21"/>
  <c r="T17" i="21"/>
  <c r="S17" i="21"/>
  <c r="R17" i="21"/>
  <c r="Q17" i="21"/>
  <c r="P17" i="21"/>
  <c r="O17" i="21"/>
  <c r="N17" i="21"/>
  <c r="M17" i="21"/>
  <c r="L17" i="21"/>
  <c r="K17" i="21"/>
  <c r="J17" i="21"/>
  <c r="I17" i="21"/>
  <c r="H17" i="21"/>
  <c r="S16" i="21"/>
  <c r="E10" i="21"/>
  <c r="E9" i="21" s="1"/>
  <c r="B12" i="21"/>
  <c r="B11" i="21" s="1"/>
  <c r="AE11" i="21"/>
  <c r="AD11" i="21"/>
  <c r="AC11" i="21"/>
  <c r="AB11" i="21"/>
  <c r="AA11" i="21"/>
  <c r="Z11" i="21"/>
  <c r="Y11" i="21"/>
  <c r="X11" i="21"/>
  <c r="W11" i="21"/>
  <c r="V11" i="21"/>
  <c r="U11" i="21"/>
  <c r="T11" i="21"/>
  <c r="S11" i="21"/>
  <c r="R11" i="21"/>
  <c r="Q11" i="21"/>
  <c r="P11" i="21"/>
  <c r="O11" i="21"/>
  <c r="N11" i="21"/>
  <c r="M11" i="21"/>
  <c r="L11" i="21"/>
  <c r="K11" i="21"/>
  <c r="J11" i="21"/>
  <c r="I11" i="21"/>
  <c r="H11" i="21"/>
  <c r="AE10" i="21"/>
  <c r="AD10" i="21"/>
  <c r="AC10" i="21"/>
  <c r="AC9" i="21" s="1"/>
  <c r="AB10" i="21"/>
  <c r="AA10" i="21"/>
  <c r="AA9" i="21" s="1"/>
  <c r="Z10" i="21"/>
  <c r="Z9" i="21" s="1"/>
  <c r="Y10" i="21"/>
  <c r="Y9" i="21" s="1"/>
  <c r="X10" i="21"/>
  <c r="W10" i="21"/>
  <c r="W9" i="21" s="1"/>
  <c r="V10" i="21"/>
  <c r="U10" i="21"/>
  <c r="U9" i="21" s="1"/>
  <c r="T10" i="21"/>
  <c r="S10" i="21"/>
  <c r="S9" i="21" s="1"/>
  <c r="R10" i="21"/>
  <c r="Q10" i="21"/>
  <c r="Q9" i="21" s="1"/>
  <c r="P10" i="21"/>
  <c r="O10" i="21"/>
  <c r="O9" i="21" s="1"/>
  <c r="N10" i="21"/>
  <c r="M10" i="21"/>
  <c r="M9" i="21" s="1"/>
  <c r="L10" i="21"/>
  <c r="K10" i="21"/>
  <c r="K9" i="21" s="1"/>
  <c r="J10" i="21"/>
  <c r="J9" i="21" s="1"/>
  <c r="I10" i="21"/>
  <c r="I9" i="21" s="1"/>
  <c r="H10" i="21"/>
  <c r="AE9" i="21"/>
  <c r="B32" i="20"/>
  <c r="B26" i="20" s="1"/>
  <c r="B31" i="20"/>
  <c r="B25" i="20" s="1"/>
  <c r="B30" i="20"/>
  <c r="B24" i="20" s="1"/>
  <c r="B29" i="20"/>
  <c r="B23" i="20" s="1"/>
  <c r="AE28" i="20"/>
  <c r="AD28" i="20"/>
  <c r="AC28" i="20"/>
  <c r="AB28" i="20"/>
  <c r="AA28" i="20"/>
  <c r="Z28" i="20"/>
  <c r="Y28" i="20"/>
  <c r="X28" i="20"/>
  <c r="W28" i="20"/>
  <c r="V28" i="20"/>
  <c r="U28" i="20"/>
  <c r="T28" i="20"/>
  <c r="S28" i="20"/>
  <c r="R28" i="20"/>
  <c r="Q28" i="20"/>
  <c r="P28" i="20"/>
  <c r="O28" i="20"/>
  <c r="N28" i="20"/>
  <c r="M28" i="20"/>
  <c r="L28" i="20"/>
  <c r="K28" i="20"/>
  <c r="J28" i="20"/>
  <c r="I28" i="20"/>
  <c r="H28" i="20"/>
  <c r="AE26" i="20"/>
  <c r="AE38" i="20" s="1"/>
  <c r="AD26" i="20"/>
  <c r="AD38" i="20" s="1"/>
  <c r="AC26" i="20"/>
  <c r="AC38" i="20" s="1"/>
  <c r="AB26" i="20"/>
  <c r="AB38" i="20" s="1"/>
  <c r="AA26" i="20"/>
  <c r="AA38" i="20" s="1"/>
  <c r="Z26" i="20"/>
  <c r="Z38" i="20" s="1"/>
  <c r="Y26" i="20"/>
  <c r="Y38" i="20" s="1"/>
  <c r="X26" i="20"/>
  <c r="X38" i="20" s="1"/>
  <c r="W26" i="20"/>
  <c r="W38" i="20" s="1"/>
  <c r="V26" i="20"/>
  <c r="V38" i="20" s="1"/>
  <c r="U26" i="20"/>
  <c r="U38" i="20" s="1"/>
  <c r="T26" i="20"/>
  <c r="T38" i="20" s="1"/>
  <c r="S26" i="20"/>
  <c r="S38" i="20" s="1"/>
  <c r="R26" i="20"/>
  <c r="R38" i="20" s="1"/>
  <c r="Q26" i="20"/>
  <c r="Q38" i="20" s="1"/>
  <c r="P26" i="20"/>
  <c r="P38" i="20" s="1"/>
  <c r="O26" i="20"/>
  <c r="O38" i="20" s="1"/>
  <c r="N26" i="20"/>
  <c r="N38" i="20" s="1"/>
  <c r="M26" i="20"/>
  <c r="M38" i="20" s="1"/>
  <c r="L26" i="20"/>
  <c r="L38" i="20" s="1"/>
  <c r="K26" i="20"/>
  <c r="K38" i="20" s="1"/>
  <c r="J26" i="20"/>
  <c r="J38" i="20" s="1"/>
  <c r="I26" i="20"/>
  <c r="H26" i="20"/>
  <c r="AE25" i="20"/>
  <c r="AE37" i="20" s="1"/>
  <c r="AE74" i="20" s="1"/>
  <c r="AD25" i="20"/>
  <c r="AD37" i="20" s="1"/>
  <c r="AC25" i="20"/>
  <c r="AC37" i="20" s="1"/>
  <c r="AB25" i="20"/>
  <c r="AB37" i="20" s="1"/>
  <c r="AA25" i="20"/>
  <c r="AA37" i="20" s="1"/>
  <c r="Z25" i="20"/>
  <c r="Z37" i="20" s="1"/>
  <c r="Y25" i="20"/>
  <c r="Y37" i="20" s="1"/>
  <c r="X25" i="20"/>
  <c r="X37" i="20" s="1"/>
  <c r="W25" i="20"/>
  <c r="W37" i="20" s="1"/>
  <c r="V25" i="20"/>
  <c r="V37" i="20" s="1"/>
  <c r="U25" i="20"/>
  <c r="U37" i="20" s="1"/>
  <c r="T25" i="20"/>
  <c r="T37" i="20" s="1"/>
  <c r="S25" i="20"/>
  <c r="S37" i="20" s="1"/>
  <c r="R25" i="20"/>
  <c r="R37" i="20" s="1"/>
  <c r="Q25" i="20"/>
  <c r="Q37" i="20" s="1"/>
  <c r="P25" i="20"/>
  <c r="P37" i="20" s="1"/>
  <c r="O25" i="20"/>
  <c r="O37" i="20" s="1"/>
  <c r="N25" i="20"/>
  <c r="N37" i="20" s="1"/>
  <c r="M25" i="20"/>
  <c r="M37" i="20" s="1"/>
  <c r="L25" i="20"/>
  <c r="L37" i="20" s="1"/>
  <c r="K25" i="20"/>
  <c r="K37" i="20" s="1"/>
  <c r="J25" i="20"/>
  <c r="J37" i="20" s="1"/>
  <c r="I25" i="20"/>
  <c r="H25" i="20"/>
  <c r="AE24" i="20"/>
  <c r="AE36" i="20" s="1"/>
  <c r="AD24" i="20"/>
  <c r="AD36" i="20" s="1"/>
  <c r="AC24" i="20"/>
  <c r="AC36" i="20" s="1"/>
  <c r="AB24" i="20"/>
  <c r="AB36" i="20" s="1"/>
  <c r="AA24" i="20"/>
  <c r="AA36" i="20" s="1"/>
  <c r="Z24" i="20"/>
  <c r="Z36" i="20" s="1"/>
  <c r="Y24" i="20"/>
  <c r="Y36" i="20" s="1"/>
  <c r="X24" i="20"/>
  <c r="W24" i="20"/>
  <c r="W36" i="20" s="1"/>
  <c r="V24" i="20"/>
  <c r="V36" i="20" s="1"/>
  <c r="U24" i="20"/>
  <c r="U36" i="20" s="1"/>
  <c r="T24" i="20"/>
  <c r="T36" i="20" s="1"/>
  <c r="S24" i="20"/>
  <c r="S36" i="20" s="1"/>
  <c r="R24" i="20"/>
  <c r="R36" i="20" s="1"/>
  <c r="Q24" i="20"/>
  <c r="Q36" i="20" s="1"/>
  <c r="P24" i="20"/>
  <c r="P36" i="20" s="1"/>
  <c r="O24" i="20"/>
  <c r="O36" i="20" s="1"/>
  <c r="N24" i="20"/>
  <c r="N36" i="20" s="1"/>
  <c r="M24" i="20"/>
  <c r="M36" i="20" s="1"/>
  <c r="L24" i="20"/>
  <c r="L36" i="20" s="1"/>
  <c r="K24" i="20"/>
  <c r="K36" i="20" s="1"/>
  <c r="J24" i="20"/>
  <c r="J36" i="20" s="1"/>
  <c r="I24" i="20"/>
  <c r="H24" i="20"/>
  <c r="AE23" i="20"/>
  <c r="AE35" i="20" s="1"/>
  <c r="AD23" i="20"/>
  <c r="AD35" i="20" s="1"/>
  <c r="AD72" i="20" s="1"/>
  <c r="AC23" i="20"/>
  <c r="AC35" i="20" s="1"/>
  <c r="AC72" i="20" s="1"/>
  <c r="AB23" i="20"/>
  <c r="AA23" i="20"/>
  <c r="AA35" i="20" s="1"/>
  <c r="Z23" i="20"/>
  <c r="Z35" i="20" s="1"/>
  <c r="Z72" i="20" s="1"/>
  <c r="Y23" i="20"/>
  <c r="Y35" i="20" s="1"/>
  <c r="Y72" i="20" s="1"/>
  <c r="X23" i="20"/>
  <c r="X35" i="20" s="1"/>
  <c r="X72" i="20" s="1"/>
  <c r="W23" i="20"/>
  <c r="W35" i="20" s="1"/>
  <c r="V23" i="20"/>
  <c r="V35" i="20" s="1"/>
  <c r="V72" i="20" s="1"/>
  <c r="U23" i="20"/>
  <c r="U35" i="20" s="1"/>
  <c r="U72" i="20" s="1"/>
  <c r="T23" i="20"/>
  <c r="T35" i="20" s="1"/>
  <c r="T72" i="20" s="1"/>
  <c r="S23" i="20"/>
  <c r="S35" i="20" s="1"/>
  <c r="R23" i="20"/>
  <c r="R35" i="20" s="1"/>
  <c r="R72" i="20" s="1"/>
  <c r="Q23" i="20"/>
  <c r="Q35" i="20" s="1"/>
  <c r="Q72" i="20" s="1"/>
  <c r="P23" i="20"/>
  <c r="P35" i="20" s="1"/>
  <c r="P72" i="20" s="1"/>
  <c r="O23" i="20"/>
  <c r="O35" i="20" s="1"/>
  <c r="N23" i="20"/>
  <c r="N35" i="20" s="1"/>
  <c r="N72" i="20" s="1"/>
  <c r="M23" i="20"/>
  <c r="M35" i="20" s="1"/>
  <c r="M72" i="20" s="1"/>
  <c r="L23" i="20"/>
  <c r="L35" i="20" s="1"/>
  <c r="L72" i="20" s="1"/>
  <c r="K23" i="20"/>
  <c r="K35" i="20" s="1"/>
  <c r="J23" i="20"/>
  <c r="J35" i="20" s="1"/>
  <c r="J72" i="20" s="1"/>
  <c r="I23" i="20"/>
  <c r="H23" i="20"/>
  <c r="E15" i="20"/>
  <c r="B15" i="20"/>
  <c r="B14" i="20" s="1"/>
  <c r="AE14" i="20"/>
  <c r="AD14" i="20"/>
  <c r="AC14" i="20"/>
  <c r="AB14" i="20"/>
  <c r="AA14" i="20"/>
  <c r="Z14" i="20"/>
  <c r="Y14" i="20"/>
  <c r="X14" i="20"/>
  <c r="W14" i="20"/>
  <c r="V14" i="20"/>
  <c r="U14" i="20"/>
  <c r="T14" i="20"/>
  <c r="S14" i="20"/>
  <c r="R14" i="20"/>
  <c r="Q14" i="20"/>
  <c r="P14" i="20"/>
  <c r="O14" i="20"/>
  <c r="N14" i="20"/>
  <c r="M14" i="20"/>
  <c r="L14" i="20"/>
  <c r="K14" i="20"/>
  <c r="J14" i="20"/>
  <c r="I14" i="20"/>
  <c r="H14" i="20"/>
  <c r="C14" i="20"/>
  <c r="E12" i="20"/>
  <c r="E11" i="20" s="1"/>
  <c r="C11" i="20"/>
  <c r="B12" i="20"/>
  <c r="B11" i="20" s="1"/>
  <c r="AE11" i="20"/>
  <c r="AD11" i="20"/>
  <c r="AC11" i="20"/>
  <c r="AB11" i="20"/>
  <c r="AA11" i="20"/>
  <c r="Z11" i="20"/>
  <c r="Y11" i="20"/>
  <c r="X11" i="20"/>
  <c r="W11" i="20"/>
  <c r="V11" i="20"/>
  <c r="U11" i="20"/>
  <c r="T11" i="20"/>
  <c r="S11" i="20"/>
  <c r="R11" i="20"/>
  <c r="Q11" i="20"/>
  <c r="P11" i="20"/>
  <c r="O11" i="20"/>
  <c r="N11" i="20"/>
  <c r="M11" i="20"/>
  <c r="L11" i="20"/>
  <c r="K11" i="20"/>
  <c r="J11" i="20"/>
  <c r="I11" i="20"/>
  <c r="H11" i="20"/>
  <c r="AE9" i="20"/>
  <c r="AE18" i="20" s="1"/>
  <c r="AE17" i="20" s="1"/>
  <c r="AD9" i="20"/>
  <c r="AD18" i="20" s="1"/>
  <c r="AD17" i="20" s="1"/>
  <c r="AC9" i="20"/>
  <c r="AC8" i="20" s="1"/>
  <c r="AB9" i="20"/>
  <c r="AB18" i="20" s="1"/>
  <c r="AB17" i="20" s="1"/>
  <c r="AA9" i="20"/>
  <c r="AA18" i="20" s="1"/>
  <c r="AA17" i="20" s="1"/>
  <c r="Z9" i="20"/>
  <c r="Z18" i="20" s="1"/>
  <c r="Z17" i="20" s="1"/>
  <c r="Y9" i="20"/>
  <c r="Y8" i="20" s="1"/>
  <c r="X9" i="20"/>
  <c r="X18" i="20" s="1"/>
  <c r="X17" i="20" s="1"/>
  <c r="W9" i="20"/>
  <c r="W18" i="20" s="1"/>
  <c r="W17" i="20" s="1"/>
  <c r="V9" i="20"/>
  <c r="V18" i="20" s="1"/>
  <c r="V17" i="20" s="1"/>
  <c r="U9" i="20"/>
  <c r="U8" i="20" s="1"/>
  <c r="T9" i="20"/>
  <c r="T18" i="20" s="1"/>
  <c r="T17" i="20" s="1"/>
  <c r="S9" i="20"/>
  <c r="S18" i="20" s="1"/>
  <c r="S17" i="20" s="1"/>
  <c r="R9" i="20"/>
  <c r="R18" i="20" s="1"/>
  <c r="R17" i="20" s="1"/>
  <c r="Q9" i="20"/>
  <c r="Q8" i="20" s="1"/>
  <c r="P9" i="20"/>
  <c r="O9" i="20"/>
  <c r="O18" i="20" s="1"/>
  <c r="O17" i="20" s="1"/>
  <c r="N9" i="20"/>
  <c r="N18" i="20" s="1"/>
  <c r="N17" i="20" s="1"/>
  <c r="M9" i="20"/>
  <c r="M8" i="20" s="1"/>
  <c r="L9" i="20"/>
  <c r="L18" i="20" s="1"/>
  <c r="L17" i="20" s="1"/>
  <c r="K9" i="20"/>
  <c r="K18" i="20" s="1"/>
  <c r="J18" i="20"/>
  <c r="J17" i="20" s="1"/>
  <c r="I9" i="20"/>
  <c r="H9" i="20"/>
  <c r="AC54" i="19"/>
  <c r="AE56" i="19"/>
  <c r="AE54" i="19" s="1"/>
  <c r="AD56" i="19"/>
  <c r="AD54" i="19" s="1"/>
  <c r="AB56" i="19"/>
  <c r="AA56" i="19"/>
  <c r="Z56" i="19"/>
  <c r="Y56" i="19"/>
  <c r="X56" i="19"/>
  <c r="X54" i="19" s="1"/>
  <c r="W56" i="19"/>
  <c r="V56" i="19"/>
  <c r="U56" i="19"/>
  <c r="T56" i="19"/>
  <c r="S56" i="19"/>
  <c r="R56" i="19"/>
  <c r="Q56" i="19"/>
  <c r="P56" i="19"/>
  <c r="O56" i="19"/>
  <c r="N56" i="19"/>
  <c r="M56" i="19"/>
  <c r="L56" i="19"/>
  <c r="K56" i="19"/>
  <c r="J56" i="19"/>
  <c r="I56" i="19"/>
  <c r="H56" i="19"/>
  <c r="H54" i="19" s="1"/>
  <c r="E56" i="19"/>
  <c r="C56" i="19"/>
  <c r="B49" i="19"/>
  <c r="B56" i="19" s="1"/>
  <c r="C55" i="19"/>
  <c r="AE47" i="19"/>
  <c r="AD47" i="19"/>
  <c r="AC47" i="19"/>
  <c r="AB47" i="19"/>
  <c r="AA47" i="19"/>
  <c r="Z47" i="19"/>
  <c r="Y47" i="19"/>
  <c r="X47" i="19"/>
  <c r="W47" i="19"/>
  <c r="V47" i="19"/>
  <c r="U47" i="19"/>
  <c r="T47" i="19"/>
  <c r="S47" i="19"/>
  <c r="R47" i="19"/>
  <c r="Q47" i="19"/>
  <c r="P47" i="19"/>
  <c r="O47" i="19"/>
  <c r="N47" i="19"/>
  <c r="M47" i="19"/>
  <c r="L47" i="19"/>
  <c r="K47" i="19"/>
  <c r="J47" i="19"/>
  <c r="I47" i="19"/>
  <c r="H47" i="19"/>
  <c r="AE31" i="19"/>
  <c r="AD31" i="19"/>
  <c r="AC31" i="19"/>
  <c r="AB31" i="19"/>
  <c r="AA31" i="19"/>
  <c r="Z31" i="19"/>
  <c r="Y31" i="19"/>
  <c r="X31" i="19"/>
  <c r="W31" i="19"/>
  <c r="V31" i="19"/>
  <c r="U31" i="19"/>
  <c r="T31" i="19"/>
  <c r="S31" i="19"/>
  <c r="R31" i="19"/>
  <c r="Q31" i="19"/>
  <c r="P31" i="19"/>
  <c r="O31" i="19"/>
  <c r="N31" i="19"/>
  <c r="M31" i="19"/>
  <c r="L31" i="19"/>
  <c r="K31" i="19"/>
  <c r="J31" i="19"/>
  <c r="I31" i="19"/>
  <c r="H31" i="19"/>
  <c r="AE24" i="19"/>
  <c r="AD24" i="19"/>
  <c r="AC24" i="19"/>
  <c r="AB24" i="19"/>
  <c r="AA24" i="19"/>
  <c r="Z24" i="19"/>
  <c r="Y24" i="19"/>
  <c r="X24" i="19"/>
  <c r="W24" i="19"/>
  <c r="V24" i="19"/>
  <c r="U24" i="19"/>
  <c r="T24" i="19"/>
  <c r="S24" i="19"/>
  <c r="R24" i="19"/>
  <c r="Q24" i="19"/>
  <c r="P24" i="19"/>
  <c r="O24" i="19"/>
  <c r="N24" i="19"/>
  <c r="M24" i="19"/>
  <c r="L24" i="19"/>
  <c r="K24" i="19"/>
  <c r="J24" i="19"/>
  <c r="I24" i="19"/>
  <c r="H24" i="19"/>
  <c r="G146" i="18"/>
  <c r="F146" i="18"/>
  <c r="E133" i="18"/>
  <c r="D133" i="18" s="1"/>
  <c r="C132" i="18"/>
  <c r="B133" i="18"/>
  <c r="AE132" i="18"/>
  <c r="AD132" i="18"/>
  <c r="AC132" i="18"/>
  <c r="AB132" i="18"/>
  <c r="AA132" i="18"/>
  <c r="Z132" i="18"/>
  <c r="Y132" i="18"/>
  <c r="X132" i="18"/>
  <c r="W132" i="18"/>
  <c r="V132" i="18"/>
  <c r="U132" i="18"/>
  <c r="T132" i="18"/>
  <c r="S132" i="18"/>
  <c r="R132" i="18"/>
  <c r="Q132" i="18"/>
  <c r="P132" i="18"/>
  <c r="O132" i="18"/>
  <c r="N132" i="18"/>
  <c r="M132" i="18"/>
  <c r="L132" i="18"/>
  <c r="K132" i="18"/>
  <c r="J132" i="18"/>
  <c r="I132" i="18"/>
  <c r="H132" i="18"/>
  <c r="AE130" i="18"/>
  <c r="AE146" i="18" s="1"/>
  <c r="AE145" i="18" s="1"/>
  <c r="AD130" i="18"/>
  <c r="AD146" i="18" s="1"/>
  <c r="AD145" i="18" s="1"/>
  <c r="AC130" i="18"/>
  <c r="AB130" i="18"/>
  <c r="AA130" i="18"/>
  <c r="AA146" i="18" s="1"/>
  <c r="AA145" i="18" s="1"/>
  <c r="Z130" i="18"/>
  <c r="Z146" i="18" s="1"/>
  <c r="Z145" i="18" s="1"/>
  <c r="Y130" i="18"/>
  <c r="X130" i="18"/>
  <c r="X146" i="18" s="1"/>
  <c r="X145" i="18" s="1"/>
  <c r="W130" i="18"/>
  <c r="W146" i="18" s="1"/>
  <c r="W145" i="18" s="1"/>
  <c r="V130" i="18"/>
  <c r="V146" i="18" s="1"/>
  <c r="V145" i="18" s="1"/>
  <c r="U130" i="18"/>
  <c r="T130" i="18"/>
  <c r="T146" i="18" s="1"/>
  <c r="T145" i="18" s="1"/>
  <c r="S130" i="18"/>
  <c r="S146" i="18" s="1"/>
  <c r="S145" i="18" s="1"/>
  <c r="R130" i="18"/>
  <c r="R146" i="18" s="1"/>
  <c r="R145" i="18" s="1"/>
  <c r="Q130" i="18"/>
  <c r="P130" i="18"/>
  <c r="P146" i="18" s="1"/>
  <c r="P145" i="18" s="1"/>
  <c r="O130" i="18"/>
  <c r="O146" i="18" s="1"/>
  <c r="O145" i="18" s="1"/>
  <c r="N130" i="18"/>
  <c r="N146" i="18" s="1"/>
  <c r="N145" i="18" s="1"/>
  <c r="M130" i="18"/>
  <c r="L130" i="18"/>
  <c r="L146" i="18" s="1"/>
  <c r="L145" i="18" s="1"/>
  <c r="K130" i="18"/>
  <c r="K146" i="18" s="1"/>
  <c r="K145" i="18" s="1"/>
  <c r="J130" i="18"/>
  <c r="J146" i="18" s="1"/>
  <c r="J145" i="18" s="1"/>
  <c r="I130" i="18"/>
  <c r="H130" i="18"/>
  <c r="H146" i="18" s="1"/>
  <c r="H145" i="18" s="1"/>
  <c r="E126" i="18"/>
  <c r="D126" i="18" s="1"/>
  <c r="B126" i="18"/>
  <c r="E125" i="18"/>
  <c r="D125" i="18" s="1"/>
  <c r="B125" i="18"/>
  <c r="E124" i="18"/>
  <c r="D124" i="18" s="1"/>
  <c r="C123" i="18"/>
  <c r="B124" i="18"/>
  <c r="AE123" i="18"/>
  <c r="AD123" i="18"/>
  <c r="AC123" i="18"/>
  <c r="AB123" i="18"/>
  <c r="AA123" i="18"/>
  <c r="Z123" i="18"/>
  <c r="Y123" i="18"/>
  <c r="X123" i="18"/>
  <c r="W123" i="18"/>
  <c r="V123" i="18"/>
  <c r="U123" i="18"/>
  <c r="T123" i="18"/>
  <c r="S123" i="18"/>
  <c r="R123" i="18"/>
  <c r="Q123" i="18"/>
  <c r="P123" i="18"/>
  <c r="O123" i="18"/>
  <c r="N123" i="18"/>
  <c r="M123" i="18"/>
  <c r="L123" i="18"/>
  <c r="K123" i="18"/>
  <c r="J123" i="18"/>
  <c r="I123" i="18"/>
  <c r="H123" i="18"/>
  <c r="E121" i="18"/>
  <c r="D121" i="18" s="1"/>
  <c r="B121" i="18"/>
  <c r="E120" i="18"/>
  <c r="D120" i="18" s="1"/>
  <c r="B120" i="18"/>
  <c r="E119" i="18"/>
  <c r="D119" i="18" s="1"/>
  <c r="B119" i="18"/>
  <c r="AE118" i="18"/>
  <c r="AD118" i="18"/>
  <c r="AC118" i="18"/>
  <c r="AB118" i="18"/>
  <c r="AA118" i="18"/>
  <c r="Z118" i="18"/>
  <c r="Y118" i="18"/>
  <c r="X118" i="18"/>
  <c r="W118" i="18"/>
  <c r="V118" i="18"/>
  <c r="U118" i="18"/>
  <c r="T118" i="18"/>
  <c r="S118" i="18"/>
  <c r="R118" i="18"/>
  <c r="Q118" i="18"/>
  <c r="P118" i="18"/>
  <c r="O118" i="18"/>
  <c r="N118" i="18"/>
  <c r="M118" i="18"/>
  <c r="L118" i="18"/>
  <c r="K118" i="18"/>
  <c r="J118" i="18"/>
  <c r="I118" i="18"/>
  <c r="H118" i="18"/>
  <c r="C118" i="18"/>
  <c r="E116" i="18"/>
  <c r="D116" i="18" s="1"/>
  <c r="B116" i="18"/>
  <c r="E115" i="18"/>
  <c r="D115" i="18" s="1"/>
  <c r="B115" i="18"/>
  <c r="E114" i="18"/>
  <c r="D114" i="18" s="1"/>
  <c r="B114" i="18"/>
  <c r="AE113" i="18"/>
  <c r="AD113" i="18"/>
  <c r="AC113" i="18"/>
  <c r="AB113" i="18"/>
  <c r="AA113" i="18"/>
  <c r="Z113" i="18"/>
  <c r="Y113" i="18"/>
  <c r="X113" i="18"/>
  <c r="W113" i="18"/>
  <c r="V113" i="18"/>
  <c r="U113" i="18"/>
  <c r="T113" i="18"/>
  <c r="S113" i="18"/>
  <c r="R113" i="18"/>
  <c r="Q113" i="18"/>
  <c r="P113" i="18"/>
  <c r="O113" i="18"/>
  <c r="N113" i="18"/>
  <c r="M113" i="18"/>
  <c r="L113" i="18"/>
  <c r="K113" i="18"/>
  <c r="J113" i="18"/>
  <c r="I113" i="18"/>
  <c r="H113" i="18"/>
  <c r="C113" i="18"/>
  <c r="E111" i="18"/>
  <c r="D111" i="18" s="1"/>
  <c r="B111" i="18"/>
  <c r="E110" i="18"/>
  <c r="D110" i="18" s="1"/>
  <c r="B110" i="18"/>
  <c r="E109" i="18"/>
  <c r="D109" i="18" s="1"/>
  <c r="B109" i="18"/>
  <c r="AE108" i="18"/>
  <c r="AD108" i="18"/>
  <c r="AC108" i="18"/>
  <c r="AB108" i="18"/>
  <c r="AA108" i="18"/>
  <c r="Z108" i="18"/>
  <c r="Y108" i="18"/>
  <c r="X108" i="18"/>
  <c r="W108" i="18"/>
  <c r="V108" i="18"/>
  <c r="U108" i="18"/>
  <c r="T108" i="18"/>
  <c r="S108" i="18"/>
  <c r="R108" i="18"/>
  <c r="Q108" i="18"/>
  <c r="P108" i="18"/>
  <c r="O108" i="18"/>
  <c r="N108" i="18"/>
  <c r="M108" i="18"/>
  <c r="L108" i="18"/>
  <c r="K108" i="18"/>
  <c r="J108" i="18"/>
  <c r="I108" i="18"/>
  <c r="H108" i="18"/>
  <c r="C108" i="18"/>
  <c r="E106" i="18"/>
  <c r="D106" i="18" s="1"/>
  <c r="B106" i="18"/>
  <c r="E105" i="18"/>
  <c r="D105" i="18" s="1"/>
  <c r="B105" i="18"/>
  <c r="E104" i="18"/>
  <c r="D104" i="18" s="1"/>
  <c r="B104" i="18"/>
  <c r="AE103" i="18"/>
  <c r="AD103" i="18"/>
  <c r="AC103" i="18"/>
  <c r="AB103" i="18"/>
  <c r="AA103" i="18"/>
  <c r="Z103" i="18"/>
  <c r="Y103" i="18"/>
  <c r="X103" i="18"/>
  <c r="W103" i="18"/>
  <c r="V103" i="18"/>
  <c r="U103" i="18"/>
  <c r="T103" i="18"/>
  <c r="S103" i="18"/>
  <c r="R103" i="18"/>
  <c r="Q103" i="18"/>
  <c r="P103" i="18"/>
  <c r="O103" i="18"/>
  <c r="N103" i="18"/>
  <c r="M103" i="18"/>
  <c r="L103" i="18"/>
  <c r="K103" i="18"/>
  <c r="J103" i="18"/>
  <c r="I103" i="18"/>
  <c r="H103" i="18"/>
  <c r="C103" i="18"/>
  <c r="E101" i="18"/>
  <c r="D101" i="18" s="1"/>
  <c r="B101" i="18"/>
  <c r="E100" i="18"/>
  <c r="D100" i="18" s="1"/>
  <c r="B100" i="18"/>
  <c r="E99" i="18"/>
  <c r="D99" i="18" s="1"/>
  <c r="B99" i="18"/>
  <c r="AE98" i="18"/>
  <c r="AD98" i="18"/>
  <c r="AC98" i="18"/>
  <c r="AB98" i="18"/>
  <c r="AA98" i="18"/>
  <c r="Z98" i="18"/>
  <c r="Y98" i="18"/>
  <c r="X98" i="18"/>
  <c r="W98" i="18"/>
  <c r="V98" i="18"/>
  <c r="U98" i="18"/>
  <c r="T98" i="18"/>
  <c r="S98" i="18"/>
  <c r="R98" i="18"/>
  <c r="Q98" i="18"/>
  <c r="P98" i="18"/>
  <c r="O98" i="18"/>
  <c r="N98" i="18"/>
  <c r="M98" i="18"/>
  <c r="L98" i="18"/>
  <c r="K98" i="18"/>
  <c r="J98" i="18"/>
  <c r="I98" i="18"/>
  <c r="H98" i="18"/>
  <c r="C98" i="18"/>
  <c r="E96" i="18"/>
  <c r="D96" i="18" s="1"/>
  <c r="B96" i="18"/>
  <c r="E95" i="18"/>
  <c r="D95" i="18" s="1"/>
  <c r="B95" i="18"/>
  <c r="E94" i="18"/>
  <c r="D94" i="18" s="1"/>
  <c r="B94" i="18"/>
  <c r="AE93" i="18"/>
  <c r="AD93" i="18"/>
  <c r="AC93" i="18"/>
  <c r="AB93" i="18"/>
  <c r="AA93" i="18"/>
  <c r="Z93" i="18"/>
  <c r="Y93" i="18"/>
  <c r="X93" i="18"/>
  <c r="W93" i="18"/>
  <c r="V93" i="18"/>
  <c r="U93" i="18"/>
  <c r="T93" i="18"/>
  <c r="S93" i="18"/>
  <c r="R93" i="18"/>
  <c r="Q93" i="18"/>
  <c r="P93" i="18"/>
  <c r="O93" i="18"/>
  <c r="N93" i="18"/>
  <c r="M93" i="18"/>
  <c r="L93" i="18"/>
  <c r="K93" i="18"/>
  <c r="J93" i="18"/>
  <c r="I93" i="18"/>
  <c r="H93" i="18"/>
  <c r="C93" i="18"/>
  <c r="E91" i="18"/>
  <c r="D91" i="18" s="1"/>
  <c r="B91" i="18"/>
  <c r="E90" i="18"/>
  <c r="D90" i="18" s="1"/>
  <c r="B90" i="18"/>
  <c r="E89" i="18"/>
  <c r="D89" i="18" s="1"/>
  <c r="B89" i="18"/>
  <c r="AE88" i="18"/>
  <c r="AD88" i="18"/>
  <c r="AC88" i="18"/>
  <c r="AB88" i="18"/>
  <c r="AA88" i="18"/>
  <c r="Z88" i="18"/>
  <c r="Y88" i="18"/>
  <c r="X88" i="18"/>
  <c r="W88" i="18"/>
  <c r="V88" i="18"/>
  <c r="U88" i="18"/>
  <c r="T88" i="18"/>
  <c r="S88" i="18"/>
  <c r="R88" i="18"/>
  <c r="Q88" i="18"/>
  <c r="P88" i="18"/>
  <c r="O88" i="18"/>
  <c r="N88" i="18"/>
  <c r="M88" i="18"/>
  <c r="L88" i="18"/>
  <c r="K88" i="18"/>
  <c r="J88" i="18"/>
  <c r="I88" i="18"/>
  <c r="H88" i="18"/>
  <c r="E86" i="18"/>
  <c r="D86" i="18" s="1"/>
  <c r="B86" i="18"/>
  <c r="E85" i="18"/>
  <c r="D85" i="18" s="1"/>
  <c r="B85" i="18"/>
  <c r="E84" i="18"/>
  <c r="D84" i="18" s="1"/>
  <c r="B84" i="18"/>
  <c r="AE83" i="18"/>
  <c r="AD83" i="18"/>
  <c r="AC83" i="18"/>
  <c r="AB83" i="18"/>
  <c r="AA83" i="18"/>
  <c r="Z83" i="18"/>
  <c r="Y83" i="18"/>
  <c r="X83" i="18"/>
  <c r="W83" i="18"/>
  <c r="V83" i="18"/>
  <c r="U83" i="18"/>
  <c r="T83" i="18"/>
  <c r="S83" i="18"/>
  <c r="R83" i="18"/>
  <c r="Q83" i="18"/>
  <c r="P83" i="18"/>
  <c r="O83" i="18"/>
  <c r="N83" i="18"/>
  <c r="M83" i="18"/>
  <c r="L83" i="18"/>
  <c r="K83" i="18"/>
  <c r="J83" i="18"/>
  <c r="I83" i="18"/>
  <c r="H83" i="18"/>
  <c r="E81" i="18"/>
  <c r="D81" i="18" s="1"/>
  <c r="B81" i="18"/>
  <c r="E80" i="18"/>
  <c r="D80" i="18" s="1"/>
  <c r="B80" i="18"/>
  <c r="E79" i="18"/>
  <c r="C78" i="18"/>
  <c r="B79" i="18"/>
  <c r="AE78" i="18"/>
  <c r="AD78" i="18"/>
  <c r="AC78" i="18"/>
  <c r="AB78" i="18"/>
  <c r="AA78" i="18"/>
  <c r="Z78" i="18"/>
  <c r="Y78" i="18"/>
  <c r="X78" i="18"/>
  <c r="W78" i="18"/>
  <c r="V78" i="18"/>
  <c r="U78" i="18"/>
  <c r="T78" i="18"/>
  <c r="S78" i="18"/>
  <c r="R78" i="18"/>
  <c r="Q78" i="18"/>
  <c r="P78" i="18"/>
  <c r="O78" i="18"/>
  <c r="N78" i="18"/>
  <c r="M78" i="18"/>
  <c r="L78" i="18"/>
  <c r="K78" i="18"/>
  <c r="J78" i="18"/>
  <c r="I78" i="18"/>
  <c r="H78" i="18"/>
  <c r="E76" i="18"/>
  <c r="B76" i="18"/>
  <c r="E75" i="18"/>
  <c r="B75" i="18"/>
  <c r="E74" i="18"/>
  <c r="B74" i="18"/>
  <c r="AE73" i="18"/>
  <c r="AD73" i="18"/>
  <c r="AC73" i="18"/>
  <c r="AB73" i="18"/>
  <c r="AA73" i="18"/>
  <c r="Z73" i="18"/>
  <c r="Y73" i="18"/>
  <c r="X73" i="18"/>
  <c r="W73" i="18"/>
  <c r="V73" i="18"/>
  <c r="U73" i="18"/>
  <c r="T73" i="18"/>
  <c r="S73" i="18"/>
  <c r="R73" i="18"/>
  <c r="Q73" i="18"/>
  <c r="P73" i="18"/>
  <c r="O73" i="18"/>
  <c r="N73" i="18"/>
  <c r="M73" i="18"/>
  <c r="L73" i="18"/>
  <c r="K73" i="18"/>
  <c r="J73" i="18"/>
  <c r="I73" i="18"/>
  <c r="H73" i="18"/>
  <c r="AE71" i="18"/>
  <c r="AD71" i="18"/>
  <c r="AC71" i="18"/>
  <c r="AB71" i="18"/>
  <c r="AA71" i="18"/>
  <c r="Z71" i="18"/>
  <c r="Y71" i="18"/>
  <c r="X71" i="18"/>
  <c r="W71" i="18"/>
  <c r="V71" i="18"/>
  <c r="U71" i="18"/>
  <c r="T71" i="18"/>
  <c r="S71" i="18"/>
  <c r="R71" i="18"/>
  <c r="Q71" i="18"/>
  <c r="P71" i="18"/>
  <c r="O71" i="18"/>
  <c r="N71" i="18"/>
  <c r="M71" i="18"/>
  <c r="L71" i="18"/>
  <c r="K71" i="18"/>
  <c r="J71" i="18"/>
  <c r="I71" i="18"/>
  <c r="H71" i="18"/>
  <c r="AE70" i="18"/>
  <c r="AD70" i="18"/>
  <c r="AC70" i="18"/>
  <c r="AB70" i="18"/>
  <c r="AA70" i="18"/>
  <c r="Z70" i="18"/>
  <c r="Y70" i="18"/>
  <c r="X70" i="18"/>
  <c r="W70" i="18"/>
  <c r="V70" i="18"/>
  <c r="U70" i="18"/>
  <c r="T70" i="18"/>
  <c r="S70" i="18"/>
  <c r="R70" i="18"/>
  <c r="Q70" i="18"/>
  <c r="P70" i="18"/>
  <c r="O70" i="18"/>
  <c r="N70" i="18"/>
  <c r="M70" i="18"/>
  <c r="L70" i="18"/>
  <c r="K70" i="18"/>
  <c r="J70" i="18"/>
  <c r="I70" i="18"/>
  <c r="H70" i="18"/>
  <c r="AE69" i="18"/>
  <c r="AD69" i="18"/>
  <c r="AC69" i="18"/>
  <c r="AC68" i="18" s="1"/>
  <c r="AB69" i="18"/>
  <c r="AB68" i="18" s="1"/>
  <c r="AA69" i="18"/>
  <c r="AA68" i="18" s="1"/>
  <c r="Z69" i="18"/>
  <c r="Y69" i="18"/>
  <c r="Y68" i="18" s="1"/>
  <c r="X69" i="18"/>
  <c r="X68" i="18" s="1"/>
  <c r="W69" i="18"/>
  <c r="W68" i="18" s="1"/>
  <c r="V69" i="18"/>
  <c r="U69" i="18"/>
  <c r="U68" i="18" s="1"/>
  <c r="T69" i="18"/>
  <c r="T68" i="18" s="1"/>
  <c r="S69" i="18"/>
  <c r="R69" i="18"/>
  <c r="Q69" i="18"/>
  <c r="Q68" i="18" s="1"/>
  <c r="P69" i="18"/>
  <c r="O69" i="18"/>
  <c r="O68" i="18" s="1"/>
  <c r="N69" i="18"/>
  <c r="M69" i="18"/>
  <c r="M68" i="18" s="1"/>
  <c r="L69" i="18"/>
  <c r="L68" i="18" s="1"/>
  <c r="K69" i="18"/>
  <c r="K68" i="18" s="1"/>
  <c r="J69" i="18"/>
  <c r="I69" i="18"/>
  <c r="H69" i="18"/>
  <c r="AE68" i="18"/>
  <c r="AE66" i="18"/>
  <c r="AD66" i="18"/>
  <c r="AC66" i="18"/>
  <c r="AB66" i="18"/>
  <c r="AA66" i="18"/>
  <c r="Z66" i="18"/>
  <c r="Y66" i="18"/>
  <c r="X66" i="18"/>
  <c r="W66" i="18"/>
  <c r="V66" i="18"/>
  <c r="U66" i="18"/>
  <c r="T66" i="18"/>
  <c r="S66" i="18"/>
  <c r="R66" i="18"/>
  <c r="AE65" i="18"/>
  <c r="AD65" i="18"/>
  <c r="AC65" i="18"/>
  <c r="AB65" i="18"/>
  <c r="AA65" i="18"/>
  <c r="Z65" i="18"/>
  <c r="Y65" i="18"/>
  <c r="X65" i="18"/>
  <c r="W65" i="18"/>
  <c r="V65" i="18"/>
  <c r="U65" i="18"/>
  <c r="T65" i="18"/>
  <c r="S65" i="18"/>
  <c r="R65" i="18"/>
  <c r="AE64" i="18"/>
  <c r="AD64" i="18"/>
  <c r="AC64" i="18"/>
  <c r="AB64" i="18"/>
  <c r="AA64" i="18"/>
  <c r="Z64" i="18"/>
  <c r="Y64" i="18"/>
  <c r="X64" i="18"/>
  <c r="W64" i="18"/>
  <c r="V64" i="18"/>
  <c r="U64" i="18"/>
  <c r="T64" i="18"/>
  <c r="S64" i="18"/>
  <c r="R64" i="18"/>
  <c r="P63" i="18"/>
  <c r="L63" i="18"/>
  <c r="H63" i="18"/>
  <c r="E61" i="18"/>
  <c r="D61" i="18" s="1"/>
  <c r="B61" i="18"/>
  <c r="E60" i="18"/>
  <c r="D60" i="18" s="1"/>
  <c r="B60" i="18"/>
  <c r="E59" i="18"/>
  <c r="D59" i="18" s="1"/>
  <c r="B59" i="18"/>
  <c r="AE58" i="18"/>
  <c r="AD58" i="18"/>
  <c r="AC58" i="18"/>
  <c r="AB58" i="18"/>
  <c r="AA58" i="18"/>
  <c r="Z58" i="18"/>
  <c r="Y58" i="18"/>
  <c r="X58" i="18"/>
  <c r="W58" i="18"/>
  <c r="V58" i="18"/>
  <c r="U58" i="18"/>
  <c r="T58" i="18"/>
  <c r="S58" i="18"/>
  <c r="R58" i="18"/>
  <c r="Q58" i="18"/>
  <c r="P58" i="18"/>
  <c r="O58" i="18"/>
  <c r="N58" i="18"/>
  <c r="M58" i="18"/>
  <c r="L58" i="18"/>
  <c r="K58" i="18"/>
  <c r="J58" i="18"/>
  <c r="I58" i="18"/>
  <c r="H58" i="18"/>
  <c r="AE56" i="18"/>
  <c r="AE46" i="18" s="1"/>
  <c r="AE41" i="18" s="1"/>
  <c r="AD56" i="18"/>
  <c r="AD46" i="18" s="1"/>
  <c r="AD41" i="18" s="1"/>
  <c r="AC56" i="18"/>
  <c r="AB56" i="18"/>
  <c r="AB46" i="18" s="1"/>
  <c r="AB41" i="18" s="1"/>
  <c r="AA56" i="18"/>
  <c r="AA46" i="18" s="1"/>
  <c r="AA41" i="18" s="1"/>
  <c r="Z56" i="18"/>
  <c r="Z46" i="18" s="1"/>
  <c r="Z41" i="18" s="1"/>
  <c r="Y56" i="18"/>
  <c r="Y46" i="18" s="1"/>
  <c r="Y41" i="18" s="1"/>
  <c r="X56" i="18"/>
  <c r="X46" i="18" s="1"/>
  <c r="X41" i="18" s="1"/>
  <c r="W56" i="18"/>
  <c r="W46" i="18" s="1"/>
  <c r="W41" i="18" s="1"/>
  <c r="V56" i="18"/>
  <c r="V46" i="18" s="1"/>
  <c r="V41" i="18" s="1"/>
  <c r="U56" i="18"/>
  <c r="U46" i="18" s="1"/>
  <c r="U41" i="18" s="1"/>
  <c r="T56" i="18"/>
  <c r="T46" i="18" s="1"/>
  <c r="T41" i="18" s="1"/>
  <c r="S56" i="18"/>
  <c r="S46" i="18" s="1"/>
  <c r="S41" i="18" s="1"/>
  <c r="R56" i="18"/>
  <c r="R46" i="18" s="1"/>
  <c r="Q56" i="18"/>
  <c r="Q46" i="18" s="1"/>
  <c r="Q41" i="18" s="1"/>
  <c r="P56" i="18"/>
  <c r="P46" i="18" s="1"/>
  <c r="P41" i="18" s="1"/>
  <c r="O56" i="18"/>
  <c r="O46" i="18" s="1"/>
  <c r="O41" i="18" s="1"/>
  <c r="N56" i="18"/>
  <c r="N46" i="18" s="1"/>
  <c r="N41" i="18" s="1"/>
  <c r="M56" i="18"/>
  <c r="M46" i="18" s="1"/>
  <c r="M41" i="18" s="1"/>
  <c r="L56" i="18"/>
  <c r="L46" i="18" s="1"/>
  <c r="L41" i="18" s="1"/>
  <c r="K56" i="18"/>
  <c r="K46" i="18" s="1"/>
  <c r="K41" i="18" s="1"/>
  <c r="J56" i="18"/>
  <c r="I56" i="18"/>
  <c r="H56" i="18"/>
  <c r="AE55" i="18"/>
  <c r="AE45" i="18" s="1"/>
  <c r="AE40" i="18" s="1"/>
  <c r="AD55" i="18"/>
  <c r="AD45" i="18" s="1"/>
  <c r="AC55" i="18"/>
  <c r="AC45" i="18" s="1"/>
  <c r="AC40" i="18" s="1"/>
  <c r="AB55" i="18"/>
  <c r="AB45" i="18" s="1"/>
  <c r="AB40" i="18" s="1"/>
  <c r="AA55" i="18"/>
  <c r="AA45" i="18" s="1"/>
  <c r="AA40" i="18" s="1"/>
  <c r="Z55" i="18"/>
  <c r="Z45" i="18" s="1"/>
  <c r="Y55" i="18"/>
  <c r="Y45" i="18" s="1"/>
  <c r="Y40" i="18" s="1"/>
  <c r="X55" i="18"/>
  <c r="X45" i="18" s="1"/>
  <c r="X40" i="18" s="1"/>
  <c r="W55" i="18"/>
  <c r="W45" i="18" s="1"/>
  <c r="V55" i="18"/>
  <c r="V45" i="18" s="1"/>
  <c r="U55" i="18"/>
  <c r="U45" i="18" s="1"/>
  <c r="U40" i="18" s="1"/>
  <c r="T55" i="18"/>
  <c r="T45" i="18" s="1"/>
  <c r="T40" i="18" s="1"/>
  <c r="S55" i="18"/>
  <c r="S45" i="18" s="1"/>
  <c r="S40" i="18" s="1"/>
  <c r="R55" i="18"/>
  <c r="R45" i="18" s="1"/>
  <c r="Q55" i="18"/>
  <c r="Q45" i="18" s="1"/>
  <c r="Q40" i="18" s="1"/>
  <c r="P55" i="18"/>
  <c r="P45" i="18" s="1"/>
  <c r="P40" i="18" s="1"/>
  <c r="O55" i="18"/>
  <c r="O45" i="18" s="1"/>
  <c r="O40" i="18" s="1"/>
  <c r="N55" i="18"/>
  <c r="N45" i="18" s="1"/>
  <c r="M55" i="18"/>
  <c r="M45" i="18" s="1"/>
  <c r="M40" i="18" s="1"/>
  <c r="L55" i="18"/>
  <c r="L45" i="18" s="1"/>
  <c r="L40" i="18" s="1"/>
  <c r="K55" i="18"/>
  <c r="K45" i="18" s="1"/>
  <c r="K40" i="18" s="1"/>
  <c r="J55" i="18"/>
  <c r="J45" i="18" s="1"/>
  <c r="I55" i="18"/>
  <c r="H55" i="18"/>
  <c r="AE54" i="18"/>
  <c r="AE53" i="18" s="1"/>
  <c r="AD54" i="18"/>
  <c r="AD44" i="18" s="1"/>
  <c r="AD39" i="18" s="1"/>
  <c r="AC54" i="18"/>
  <c r="AC53" i="18" s="1"/>
  <c r="AB54" i="18"/>
  <c r="AB44" i="18" s="1"/>
  <c r="AB39" i="18" s="1"/>
  <c r="AA54" i="18"/>
  <c r="AA44" i="18" s="1"/>
  <c r="Z54" i="18"/>
  <c r="Z44" i="18" s="1"/>
  <c r="Z39" i="18" s="1"/>
  <c r="Y54" i="18"/>
  <c r="Y53" i="18" s="1"/>
  <c r="X54" i="18"/>
  <c r="X44" i="18" s="1"/>
  <c r="X39" i="18" s="1"/>
  <c r="W54" i="18"/>
  <c r="W53" i="18" s="1"/>
  <c r="V54" i="18"/>
  <c r="V44" i="18" s="1"/>
  <c r="V39" i="18" s="1"/>
  <c r="U54" i="18"/>
  <c r="U53" i="18" s="1"/>
  <c r="T54" i="18"/>
  <c r="T44" i="18" s="1"/>
  <c r="T43" i="18" s="1"/>
  <c r="S54" i="18"/>
  <c r="S53" i="18" s="1"/>
  <c r="R54" i="18"/>
  <c r="R44" i="18" s="1"/>
  <c r="Q54" i="18"/>
  <c r="Q53" i="18" s="1"/>
  <c r="P54" i="18"/>
  <c r="P44" i="18" s="1"/>
  <c r="P39" i="18" s="1"/>
  <c r="O54" i="18"/>
  <c r="O53" i="18" s="1"/>
  <c r="N54" i="18"/>
  <c r="N44" i="18" s="1"/>
  <c r="N39" i="18" s="1"/>
  <c r="M54" i="18"/>
  <c r="M53" i="18" s="1"/>
  <c r="L54" i="18"/>
  <c r="L44" i="18" s="1"/>
  <c r="L39" i="18" s="1"/>
  <c r="K54" i="18"/>
  <c r="K44" i="18" s="1"/>
  <c r="J54" i="18"/>
  <c r="I54" i="18"/>
  <c r="I44" i="18" s="1"/>
  <c r="I39" i="18" s="1"/>
  <c r="H54" i="18"/>
  <c r="E51" i="18"/>
  <c r="D51" i="18" s="1"/>
  <c r="B51" i="18"/>
  <c r="E50" i="18"/>
  <c r="D50" i="18" s="1"/>
  <c r="B50" i="18"/>
  <c r="E49" i="18"/>
  <c r="D49" i="18" s="1"/>
  <c r="B49" i="18"/>
  <c r="AE48" i="18"/>
  <c r="AD48" i="18"/>
  <c r="AC48" i="18"/>
  <c r="AB48" i="18"/>
  <c r="AA48" i="18"/>
  <c r="Z48" i="18"/>
  <c r="Y48" i="18"/>
  <c r="X48" i="18"/>
  <c r="W48" i="18"/>
  <c r="V48" i="18"/>
  <c r="U48" i="18"/>
  <c r="T48" i="18"/>
  <c r="S48" i="18"/>
  <c r="R48" i="18"/>
  <c r="Q48" i="18"/>
  <c r="P48" i="18"/>
  <c r="O48" i="18"/>
  <c r="N48" i="18"/>
  <c r="M48" i="18"/>
  <c r="L48" i="18"/>
  <c r="K48" i="18"/>
  <c r="J48" i="18"/>
  <c r="I48" i="18"/>
  <c r="H48" i="18"/>
  <c r="AC46" i="18"/>
  <c r="AC41" i="18" s="1"/>
  <c r="AE34" i="18"/>
  <c r="AE32" i="18" s="1"/>
  <c r="AD34" i="18"/>
  <c r="AD32" i="18" s="1"/>
  <c r="AC34" i="18"/>
  <c r="AC32" i="18" s="1"/>
  <c r="AB34" i="18"/>
  <c r="AB32" i="18" s="1"/>
  <c r="AA34" i="18"/>
  <c r="AA32" i="18" s="1"/>
  <c r="Z34" i="18"/>
  <c r="Z32" i="18" s="1"/>
  <c r="Y34" i="18"/>
  <c r="Y32" i="18" s="1"/>
  <c r="X34" i="18"/>
  <c r="X32" i="18" s="1"/>
  <c r="W34" i="18"/>
  <c r="W32" i="18" s="1"/>
  <c r="V34" i="18"/>
  <c r="V32" i="18" s="1"/>
  <c r="U34" i="18"/>
  <c r="U32" i="18" s="1"/>
  <c r="T34" i="18"/>
  <c r="T32" i="18" s="1"/>
  <c r="S34" i="18"/>
  <c r="S32" i="18" s="1"/>
  <c r="R34" i="18"/>
  <c r="R32" i="18" s="1"/>
  <c r="Q34" i="18"/>
  <c r="Q32" i="18" s="1"/>
  <c r="P34" i="18"/>
  <c r="P32" i="18" s="1"/>
  <c r="O34" i="18"/>
  <c r="O32" i="18" s="1"/>
  <c r="N34" i="18"/>
  <c r="N32" i="18" s="1"/>
  <c r="M34" i="18"/>
  <c r="M32" i="18" s="1"/>
  <c r="L34" i="18"/>
  <c r="L32" i="18" s="1"/>
  <c r="K34" i="18"/>
  <c r="K32" i="18" s="1"/>
  <c r="J34" i="18"/>
  <c r="J32" i="18" s="1"/>
  <c r="I34" i="18"/>
  <c r="I32" i="18" s="1"/>
  <c r="H34" i="18"/>
  <c r="E30" i="18"/>
  <c r="B30" i="18"/>
  <c r="B28" i="18" s="1"/>
  <c r="E26" i="18"/>
  <c r="B26" i="18"/>
  <c r="B24" i="18" s="1"/>
  <c r="E22" i="18"/>
  <c r="B22" i="18"/>
  <c r="B20" i="18" s="1"/>
  <c r="E18" i="18"/>
  <c r="D18" i="18" s="1"/>
  <c r="D17" i="18" s="1"/>
  <c r="B18" i="18"/>
  <c r="B17" i="18" s="1"/>
  <c r="AE17" i="18"/>
  <c r="AD17" i="18"/>
  <c r="AC17" i="18"/>
  <c r="AB17" i="18"/>
  <c r="AA17" i="18"/>
  <c r="Z17" i="18"/>
  <c r="Y17" i="18"/>
  <c r="X17" i="18"/>
  <c r="W17" i="18"/>
  <c r="V17" i="18"/>
  <c r="U17" i="18"/>
  <c r="T17" i="18"/>
  <c r="S17" i="18"/>
  <c r="R17" i="18"/>
  <c r="Q17" i="18"/>
  <c r="P17" i="18"/>
  <c r="O17" i="18"/>
  <c r="N17" i="18"/>
  <c r="M17" i="18"/>
  <c r="L17" i="18"/>
  <c r="K17" i="18"/>
  <c r="J17" i="18"/>
  <c r="I17" i="18"/>
  <c r="H17" i="18"/>
  <c r="E15" i="18"/>
  <c r="E14" i="18" s="1"/>
  <c r="C14" i="18"/>
  <c r="B15" i="18"/>
  <c r="AE14" i="18"/>
  <c r="AD14" i="18"/>
  <c r="AC14" i="18"/>
  <c r="AB14" i="18"/>
  <c r="AA14" i="18"/>
  <c r="Z14" i="18"/>
  <c r="Y14" i="18"/>
  <c r="X14" i="18"/>
  <c r="W14" i="18"/>
  <c r="V14" i="18"/>
  <c r="U14" i="18"/>
  <c r="T14" i="18"/>
  <c r="S14" i="18"/>
  <c r="R14" i="18"/>
  <c r="Q14" i="18"/>
  <c r="P14" i="18"/>
  <c r="O14" i="18"/>
  <c r="N14" i="18"/>
  <c r="M14" i="18"/>
  <c r="L14" i="18"/>
  <c r="K14" i="18"/>
  <c r="J14" i="18"/>
  <c r="I14" i="18"/>
  <c r="H14" i="18"/>
  <c r="AE12" i="18"/>
  <c r="AD12" i="18"/>
  <c r="AC12" i="18"/>
  <c r="AB12" i="18"/>
  <c r="AB11" i="18" s="1"/>
  <c r="AA12" i="18"/>
  <c r="Z12" i="18"/>
  <c r="Y12" i="18"/>
  <c r="X12" i="18"/>
  <c r="X11" i="18" s="1"/>
  <c r="W12" i="18"/>
  <c r="V12" i="18"/>
  <c r="U12" i="18"/>
  <c r="T12" i="18"/>
  <c r="T11" i="18" s="1"/>
  <c r="S12" i="18"/>
  <c r="R12" i="18"/>
  <c r="Q12" i="18"/>
  <c r="P12" i="18"/>
  <c r="P11" i="18" s="1"/>
  <c r="O12" i="18"/>
  <c r="N12" i="18"/>
  <c r="M12" i="18"/>
  <c r="L12" i="18"/>
  <c r="L11" i="18" s="1"/>
  <c r="K12" i="18"/>
  <c r="J12" i="18"/>
  <c r="I12" i="18"/>
  <c r="H12" i="18"/>
  <c r="H11" i="18" s="1"/>
  <c r="AE11" i="18"/>
  <c r="E64" i="18" l="1"/>
  <c r="G64" i="18" s="1"/>
  <c r="D76" i="18"/>
  <c r="D66" i="18" s="1"/>
  <c r="E66" i="18"/>
  <c r="T63" i="18"/>
  <c r="X63" i="18"/>
  <c r="AB63" i="18"/>
  <c r="D75" i="18"/>
  <c r="D65" i="18" s="1"/>
  <c r="E65" i="18"/>
  <c r="C55" i="18"/>
  <c r="C56" i="18"/>
  <c r="AB146" i="18"/>
  <c r="AB145" i="18" s="1"/>
  <c r="AB137" i="18"/>
  <c r="C69" i="18"/>
  <c r="C70" i="18"/>
  <c r="C71" i="18"/>
  <c r="J44" i="18"/>
  <c r="J39" i="18" s="1"/>
  <c r="C54" i="18"/>
  <c r="S68" i="18"/>
  <c r="R41" i="18"/>
  <c r="R143" i="18" s="1"/>
  <c r="R138" i="18" s="1"/>
  <c r="D30" i="18"/>
  <c r="D28" i="18" s="1"/>
  <c r="E28" i="18"/>
  <c r="D22" i="18"/>
  <c r="D20" i="18" s="1"/>
  <c r="E20" i="18"/>
  <c r="D26" i="18"/>
  <c r="D24" i="18" s="1"/>
  <c r="E24" i="18"/>
  <c r="C34" i="18"/>
  <c r="C32" i="18" s="1"/>
  <c r="R39" i="18"/>
  <c r="L73" i="20"/>
  <c r="T73" i="20"/>
  <c r="T79" i="20" s="1"/>
  <c r="AB73" i="20"/>
  <c r="AB79" i="20" s="1"/>
  <c r="L74" i="20"/>
  <c r="T74" i="20"/>
  <c r="T80" i="20" s="1"/>
  <c r="X74" i="20"/>
  <c r="AB74" i="20"/>
  <c r="L75" i="20"/>
  <c r="L81" i="20" s="1"/>
  <c r="P75" i="20"/>
  <c r="P81" i="20" s="1"/>
  <c r="T75" i="20"/>
  <c r="T81" i="20" s="1"/>
  <c r="X75" i="20"/>
  <c r="X81" i="20" s="1"/>
  <c r="AB75" i="20"/>
  <c r="AB81" i="20" s="1"/>
  <c r="M75" i="20"/>
  <c r="M81" i="20" s="1"/>
  <c r="Q75" i="20"/>
  <c r="Q81" i="20" s="1"/>
  <c r="U75" i="20"/>
  <c r="U81" i="20" s="1"/>
  <c r="Y75" i="20"/>
  <c r="Y81" i="20" s="1"/>
  <c r="AC81" i="20"/>
  <c r="AC75" i="20"/>
  <c r="J73" i="20"/>
  <c r="N73" i="20"/>
  <c r="N79" i="20" s="1"/>
  <c r="R73" i="20"/>
  <c r="V73" i="20"/>
  <c r="Z73" i="20"/>
  <c r="AD73" i="20"/>
  <c r="J74" i="20"/>
  <c r="N74" i="20"/>
  <c r="R74" i="20"/>
  <c r="R80" i="20" s="1"/>
  <c r="V74" i="20"/>
  <c r="V80" i="20" s="1"/>
  <c r="Z74" i="20"/>
  <c r="AD74" i="20"/>
  <c r="AD80" i="20" s="1"/>
  <c r="J75" i="20"/>
  <c r="J81" i="20" s="1"/>
  <c r="N75" i="20"/>
  <c r="N81" i="20" s="1"/>
  <c r="R75" i="20"/>
  <c r="R71" i="20" s="1"/>
  <c r="V75" i="20"/>
  <c r="V81" i="20" s="1"/>
  <c r="Z75" i="20"/>
  <c r="Z81" i="20" s="1"/>
  <c r="AD75" i="20"/>
  <c r="AD81" i="20" s="1"/>
  <c r="D9" i="20"/>
  <c r="D8" i="20" s="1"/>
  <c r="K34" i="20"/>
  <c r="K72" i="20"/>
  <c r="O34" i="20"/>
  <c r="O72" i="20"/>
  <c r="S34" i="20"/>
  <c r="S72" i="20"/>
  <c r="W34" i="20"/>
  <c r="W72" i="20"/>
  <c r="AA34" i="20"/>
  <c r="AA72" i="20"/>
  <c r="AE34" i="20"/>
  <c r="AE72" i="20"/>
  <c r="K73" i="20"/>
  <c r="O73" i="20"/>
  <c r="S73" i="20"/>
  <c r="W73" i="20"/>
  <c r="AA73" i="20"/>
  <c r="AE73" i="20"/>
  <c r="K74" i="20"/>
  <c r="O74" i="20"/>
  <c r="S74" i="20"/>
  <c r="W74" i="20"/>
  <c r="AA74" i="20"/>
  <c r="K81" i="20"/>
  <c r="K75" i="20"/>
  <c r="O75" i="20"/>
  <c r="O81" i="20" s="1"/>
  <c r="S75" i="20"/>
  <c r="S81" i="20" s="1"/>
  <c r="W75" i="20"/>
  <c r="W81" i="20" s="1"/>
  <c r="AA75" i="20"/>
  <c r="AA81" i="20" s="1"/>
  <c r="AE75" i="20"/>
  <c r="AE81" i="20" s="1"/>
  <c r="O118" i="21"/>
  <c r="W118" i="21"/>
  <c r="AD79" i="20"/>
  <c r="L79" i="20"/>
  <c r="R79" i="20"/>
  <c r="V79" i="20"/>
  <c r="Z79" i="20"/>
  <c r="AE79" i="20"/>
  <c r="K80" i="20"/>
  <c r="O80" i="20"/>
  <c r="S80" i="20"/>
  <c r="W80" i="20"/>
  <c r="AA80" i="20"/>
  <c r="AE80" i="20"/>
  <c r="K79" i="20"/>
  <c r="O79" i="20"/>
  <c r="S79" i="20"/>
  <c r="W79" i="20"/>
  <c r="AA79" i="20"/>
  <c r="J80" i="20"/>
  <c r="L80" i="20"/>
  <c r="N80" i="20"/>
  <c r="X80" i="20"/>
  <c r="Z80" i="20"/>
  <c r="AB80" i="20"/>
  <c r="C23" i="20"/>
  <c r="C24" i="20"/>
  <c r="C25" i="20"/>
  <c r="C26" i="20"/>
  <c r="D23" i="20"/>
  <c r="D24" i="20"/>
  <c r="D25" i="20"/>
  <c r="D26" i="20"/>
  <c r="H32" i="18"/>
  <c r="H8" i="20"/>
  <c r="C9" i="20"/>
  <c r="C8" i="20" s="1"/>
  <c r="E56" i="18"/>
  <c r="D56" i="18" s="1"/>
  <c r="D108" i="18"/>
  <c r="B118" i="18"/>
  <c r="I157" i="18"/>
  <c r="I155" i="18" s="1"/>
  <c r="K157" i="18"/>
  <c r="K155" i="18" s="1"/>
  <c r="M157" i="18"/>
  <c r="M155" i="18" s="1"/>
  <c r="O157" i="18"/>
  <c r="O155" i="18" s="1"/>
  <c r="Q157" i="18"/>
  <c r="Q155" i="18" s="1"/>
  <c r="S157" i="18"/>
  <c r="S155" i="18" s="1"/>
  <c r="U157" i="18"/>
  <c r="U155" i="18" s="1"/>
  <c r="W157" i="18"/>
  <c r="W155" i="18" s="1"/>
  <c r="Y157" i="18"/>
  <c r="Y155" i="18" s="1"/>
  <c r="AA157" i="18"/>
  <c r="AA155" i="18" s="1"/>
  <c r="AC157" i="18"/>
  <c r="AC155" i="18" s="1"/>
  <c r="AE157" i="18"/>
  <c r="AE155" i="18" s="1"/>
  <c r="Y44" i="18"/>
  <c r="Y39" i="18" s="1"/>
  <c r="Y141" i="18" s="1"/>
  <c r="Y152" i="18" s="1"/>
  <c r="Y148" i="18" s="1"/>
  <c r="O11" i="18"/>
  <c r="U125" i="21"/>
  <c r="W11" i="18"/>
  <c r="I46" i="18"/>
  <c r="I41" i="18" s="1"/>
  <c r="I143" i="18" s="1"/>
  <c r="R129" i="18"/>
  <c r="T129" i="18"/>
  <c r="X43" i="18"/>
  <c r="S129" i="18"/>
  <c r="J120" i="21"/>
  <c r="N120" i="21"/>
  <c r="R120" i="21"/>
  <c r="V120" i="21"/>
  <c r="Z120" i="21"/>
  <c r="AD120" i="21"/>
  <c r="R121" i="21"/>
  <c r="V121" i="21"/>
  <c r="Z121" i="21"/>
  <c r="W44" i="18"/>
  <c r="W39" i="18" s="1"/>
  <c r="W141" i="18" s="1"/>
  <c r="W152" i="18" s="1"/>
  <c r="W148" i="18" s="1"/>
  <c r="J141" i="18"/>
  <c r="J136" i="18" s="1"/>
  <c r="N141" i="18"/>
  <c r="N136" i="18" s="1"/>
  <c r="R141" i="18"/>
  <c r="R152" i="18" s="1"/>
  <c r="R148" i="18" s="1"/>
  <c r="V141" i="18"/>
  <c r="V152" i="18" s="1"/>
  <c r="V148" i="18" s="1"/>
  <c r="Z141" i="18"/>
  <c r="Z152" i="18" s="1"/>
  <c r="Z148" i="18" s="1"/>
  <c r="AD141" i="18"/>
  <c r="AD152" i="18" s="1"/>
  <c r="AD148" i="18" s="1"/>
  <c r="L142" i="18"/>
  <c r="L153" i="18" s="1"/>
  <c r="P142" i="18"/>
  <c r="P153" i="18" s="1"/>
  <c r="T142" i="18"/>
  <c r="T153" i="18" s="1"/>
  <c r="X142" i="18"/>
  <c r="X153" i="18" s="1"/>
  <c r="AB142" i="18"/>
  <c r="AB153" i="18" s="1"/>
  <c r="L143" i="18"/>
  <c r="L154" i="18" s="1"/>
  <c r="L150" i="18" s="1"/>
  <c r="P143" i="18"/>
  <c r="P154" i="18" s="1"/>
  <c r="P150" i="18" s="1"/>
  <c r="V143" i="18"/>
  <c r="V154" i="18" s="1"/>
  <c r="V150" i="18" s="1"/>
  <c r="X143" i="18"/>
  <c r="X138" i="18" s="1"/>
  <c r="AB143" i="18"/>
  <c r="AB154" i="18" s="1"/>
  <c r="AB150" i="18" s="1"/>
  <c r="F90" i="18"/>
  <c r="F91" i="18"/>
  <c r="F100" i="18"/>
  <c r="F101" i="18"/>
  <c r="F111" i="18"/>
  <c r="Z129" i="18"/>
  <c r="L129" i="18"/>
  <c r="J157" i="18"/>
  <c r="J155" i="18" s="1"/>
  <c r="N157" i="18"/>
  <c r="N155" i="18" s="1"/>
  <c r="R157" i="18"/>
  <c r="R155" i="18" s="1"/>
  <c r="V157" i="18"/>
  <c r="V155" i="18" s="1"/>
  <c r="Z157" i="18"/>
  <c r="Z155" i="18" s="1"/>
  <c r="AD157" i="18"/>
  <c r="AD155" i="18" s="1"/>
  <c r="K143" i="18"/>
  <c r="K138" i="18" s="1"/>
  <c r="O143" i="18"/>
  <c r="O154" i="18" s="1"/>
  <c r="O150" i="18" s="1"/>
  <c r="W143" i="18"/>
  <c r="W138" i="18" s="1"/>
  <c r="AA143" i="18"/>
  <c r="AA138" i="18" s="1"/>
  <c r="AE143" i="18"/>
  <c r="AE154" i="18" s="1"/>
  <c r="AE150" i="18" s="1"/>
  <c r="H129" i="18"/>
  <c r="AD129" i="18"/>
  <c r="I35" i="20"/>
  <c r="E23" i="20"/>
  <c r="F23" i="20" s="1"/>
  <c r="I36" i="20"/>
  <c r="E24" i="20"/>
  <c r="G24" i="20" s="1"/>
  <c r="I37" i="20"/>
  <c r="E25" i="20"/>
  <c r="F25" i="20" s="1"/>
  <c r="I38" i="20"/>
  <c r="I75" i="20" s="1"/>
  <c r="E26" i="20"/>
  <c r="F26" i="20" s="1"/>
  <c r="Q119" i="21"/>
  <c r="U119" i="21"/>
  <c r="Y119" i="21"/>
  <c r="AC119" i="21"/>
  <c r="I120" i="21"/>
  <c r="M120" i="21"/>
  <c r="Q120" i="21"/>
  <c r="U120" i="21"/>
  <c r="Y120" i="21"/>
  <c r="AC120" i="21"/>
  <c r="I121" i="21"/>
  <c r="M121" i="21"/>
  <c r="Q121" i="21"/>
  <c r="U121" i="21"/>
  <c r="Y121" i="21"/>
  <c r="AC121" i="21"/>
  <c r="D93" i="18"/>
  <c r="H18" i="20"/>
  <c r="J118" i="21"/>
  <c r="N118" i="21"/>
  <c r="V118" i="21"/>
  <c r="Z118" i="21"/>
  <c r="AD118" i="21"/>
  <c r="N119" i="21"/>
  <c r="R119" i="21"/>
  <c r="V119" i="21"/>
  <c r="Z119" i="21"/>
  <c r="AD119" i="21"/>
  <c r="AE142" i="18"/>
  <c r="AE153" i="18" s="1"/>
  <c r="O142" i="18"/>
  <c r="O153" i="18" s="1"/>
  <c r="H46" i="18"/>
  <c r="AC143" i="18"/>
  <c r="AC154" i="18" s="1"/>
  <c r="AC150" i="18" s="1"/>
  <c r="I141" i="18"/>
  <c r="I136" i="18" s="1"/>
  <c r="M142" i="18"/>
  <c r="M153" i="18" s="1"/>
  <c r="Q142" i="18"/>
  <c r="Q153" i="18" s="1"/>
  <c r="U142" i="18"/>
  <c r="U153" i="18" s="1"/>
  <c r="Y142" i="18"/>
  <c r="Y153" i="18" s="1"/>
  <c r="AC142" i="18"/>
  <c r="AC153" i="18" s="1"/>
  <c r="M143" i="18"/>
  <c r="M138" i="18" s="1"/>
  <c r="P68" i="18"/>
  <c r="F95" i="18"/>
  <c r="F106" i="18"/>
  <c r="B113" i="18"/>
  <c r="N129" i="18"/>
  <c r="X129" i="18"/>
  <c r="B16" i="19"/>
  <c r="E9" i="20"/>
  <c r="E8" i="20" s="1"/>
  <c r="I119" i="21"/>
  <c r="M119" i="21"/>
  <c r="C68" i="18"/>
  <c r="K11" i="18"/>
  <c r="S11" i="18"/>
  <c r="AA11" i="18"/>
  <c r="D48" i="18"/>
  <c r="D103" i="18"/>
  <c r="F110" i="18"/>
  <c r="J129" i="18"/>
  <c r="P129" i="18"/>
  <c r="V129" i="18"/>
  <c r="AA129" i="18"/>
  <c r="X8" i="20"/>
  <c r="L22" i="20"/>
  <c r="J121" i="21"/>
  <c r="B48" i="18"/>
  <c r="B54" i="18"/>
  <c r="H68" i="18"/>
  <c r="B69" i="18"/>
  <c r="F96" i="18"/>
  <c r="D98" i="18"/>
  <c r="F105" i="18"/>
  <c r="E118" i="18"/>
  <c r="G118" i="18" s="1"/>
  <c r="K129" i="18"/>
  <c r="W129" i="18"/>
  <c r="AB129" i="18"/>
  <c r="B24" i="19"/>
  <c r="E31" i="19"/>
  <c r="C47" i="19"/>
  <c r="T22" i="20"/>
  <c r="K119" i="21"/>
  <c r="O119" i="21"/>
  <c r="S119" i="21"/>
  <c r="W119" i="21"/>
  <c r="AA119" i="21"/>
  <c r="AE119" i="21"/>
  <c r="K120" i="21"/>
  <c r="O120" i="21"/>
  <c r="S120" i="21"/>
  <c r="W120" i="21"/>
  <c r="AA120" i="21"/>
  <c r="AE120" i="21"/>
  <c r="K121" i="21"/>
  <c r="O121" i="21"/>
  <c r="S121" i="21"/>
  <c r="W121" i="21"/>
  <c r="AA121" i="21"/>
  <c r="AE121" i="21"/>
  <c r="R58" i="21"/>
  <c r="H118" i="21"/>
  <c r="L118" i="21"/>
  <c r="P118" i="21"/>
  <c r="T118" i="21"/>
  <c r="X118" i="21"/>
  <c r="H119" i="21"/>
  <c r="L119" i="21"/>
  <c r="P119" i="21"/>
  <c r="T119" i="21"/>
  <c r="X119" i="21"/>
  <c r="AB119" i="21"/>
  <c r="H120" i="21"/>
  <c r="L120" i="21"/>
  <c r="P120" i="21"/>
  <c r="T120" i="21"/>
  <c r="X120" i="21"/>
  <c r="AB120" i="21"/>
  <c r="H121" i="21"/>
  <c r="L121" i="21"/>
  <c r="P121" i="21"/>
  <c r="T121" i="21"/>
  <c r="X121" i="21"/>
  <c r="AB121" i="21"/>
  <c r="D118" i="18"/>
  <c r="D79" i="18"/>
  <c r="D78" i="18" s="1"/>
  <c r="E78" i="18"/>
  <c r="G78" i="18" s="1"/>
  <c r="E88" i="18"/>
  <c r="E108" i="18"/>
  <c r="G108" i="18" s="1"/>
  <c r="M146" i="18"/>
  <c r="M145" i="18" s="1"/>
  <c r="M129" i="18"/>
  <c r="AC146" i="18"/>
  <c r="AC145" i="18" s="1"/>
  <c r="AC129" i="18"/>
  <c r="B31" i="19"/>
  <c r="D113" i="18"/>
  <c r="E93" i="18"/>
  <c r="G93" i="18" s="1"/>
  <c r="E103" i="18"/>
  <c r="G103" i="18" s="1"/>
  <c r="D123" i="18"/>
  <c r="I146" i="18"/>
  <c r="I145" i="18" s="1"/>
  <c r="I129" i="18"/>
  <c r="U146" i="18"/>
  <c r="U145" i="18" s="1"/>
  <c r="U129" i="18"/>
  <c r="U44" i="18"/>
  <c r="U39" i="18" s="1"/>
  <c r="U141" i="18" s="1"/>
  <c r="U152" i="18" s="1"/>
  <c r="U148" i="18" s="1"/>
  <c r="C48" i="18"/>
  <c r="K53" i="18"/>
  <c r="I63" i="18"/>
  <c r="M63" i="18"/>
  <c r="Q63" i="18"/>
  <c r="U63" i="18"/>
  <c r="Y63" i="18"/>
  <c r="AC63" i="18"/>
  <c r="E123" i="18"/>
  <c r="G123" i="18" s="1"/>
  <c r="O129" i="18"/>
  <c r="AE129" i="18"/>
  <c r="I8" i="20"/>
  <c r="P22" i="20"/>
  <c r="H35" i="20"/>
  <c r="AB35" i="20"/>
  <c r="AB22" i="20"/>
  <c r="N7" i="22"/>
  <c r="K17" i="20"/>
  <c r="E36" i="22"/>
  <c r="E98" i="18"/>
  <c r="G98" i="18" s="1"/>
  <c r="E113" i="18"/>
  <c r="Q146" i="18"/>
  <c r="Q145" i="18" s="1"/>
  <c r="Q129" i="18"/>
  <c r="Y146" i="18"/>
  <c r="Y145" i="18" s="1"/>
  <c r="Y129" i="18"/>
  <c r="C24" i="19"/>
  <c r="M44" i="18"/>
  <c r="M43" i="18" s="1"/>
  <c r="AC44" i="18"/>
  <c r="U143" i="18"/>
  <c r="U138" i="18" s="1"/>
  <c r="L53" i="18"/>
  <c r="B56" i="18"/>
  <c r="F56" i="18" s="1"/>
  <c r="B93" i="18"/>
  <c r="B98" i="18"/>
  <c r="B103" i="18"/>
  <c r="B108" i="18"/>
  <c r="C130" i="18"/>
  <c r="E16" i="19"/>
  <c r="E24" i="19"/>
  <c r="G24" i="19" s="1"/>
  <c r="H37" i="20"/>
  <c r="H38" i="20"/>
  <c r="H75" i="20" s="1"/>
  <c r="B28" i="20"/>
  <c r="N14" i="22"/>
  <c r="AD14" i="22"/>
  <c r="E69" i="18"/>
  <c r="E70" i="18"/>
  <c r="D70" i="18" s="1"/>
  <c r="E71" i="18"/>
  <c r="D71" i="18" s="1"/>
  <c r="C73" i="18"/>
  <c r="F80" i="18"/>
  <c r="D83" i="18"/>
  <c r="F89" i="18"/>
  <c r="F94" i="18"/>
  <c r="F99" i="18"/>
  <c r="F104" i="18"/>
  <c r="F109" i="18"/>
  <c r="C31" i="19"/>
  <c r="E28" i="20"/>
  <c r="R160" i="21"/>
  <c r="R155" i="21" s="1"/>
  <c r="D31" i="19"/>
  <c r="D132" i="18"/>
  <c r="D130" i="18"/>
  <c r="Q143" i="18"/>
  <c r="Q138" i="18" s="1"/>
  <c r="T53" i="18"/>
  <c r="B58" i="18"/>
  <c r="J63" i="18"/>
  <c r="N63" i="18"/>
  <c r="R63" i="18"/>
  <c r="V63" i="18"/>
  <c r="Z63" i="18"/>
  <c r="AD63" i="18"/>
  <c r="B66" i="18"/>
  <c r="F85" i="18"/>
  <c r="E130" i="18"/>
  <c r="F133" i="18"/>
  <c r="E132" i="18"/>
  <c r="G132" i="18" s="1"/>
  <c r="Y143" i="18"/>
  <c r="Y138" i="18" s="1"/>
  <c r="X53" i="18"/>
  <c r="B64" i="18"/>
  <c r="F64" i="18" s="1"/>
  <c r="K63" i="18"/>
  <c r="O63" i="18"/>
  <c r="S63" i="18"/>
  <c r="W63" i="18"/>
  <c r="AA63" i="18"/>
  <c r="AE63" i="18"/>
  <c r="F84" i="18"/>
  <c r="C83" i="18"/>
  <c r="F124" i="18"/>
  <c r="F125" i="18"/>
  <c r="F126" i="18"/>
  <c r="B130" i="18"/>
  <c r="N16" i="21"/>
  <c r="R16" i="21"/>
  <c r="V16" i="21"/>
  <c r="AD16" i="21"/>
  <c r="C82" i="21"/>
  <c r="C12" i="18"/>
  <c r="C11" i="18" s="1"/>
  <c r="L43" i="18"/>
  <c r="K142" i="18"/>
  <c r="K153" i="18" s="1"/>
  <c r="S142" i="18"/>
  <c r="S153" i="18" s="1"/>
  <c r="AA142" i="18"/>
  <c r="AA153" i="18" s="1"/>
  <c r="N143" i="18"/>
  <c r="N154" i="18" s="1"/>
  <c r="N150" i="18" s="1"/>
  <c r="Z143" i="18"/>
  <c r="Z154" i="18" s="1"/>
  <c r="Z150" i="18" s="1"/>
  <c r="AD143" i="18"/>
  <c r="AD154" i="18" s="1"/>
  <c r="AD150" i="18" s="1"/>
  <c r="F114" i="18"/>
  <c r="F115" i="18"/>
  <c r="F116" i="18"/>
  <c r="F119" i="18"/>
  <c r="F120" i="18"/>
  <c r="F121" i="18"/>
  <c r="E127" i="21"/>
  <c r="G127" i="21" s="1"/>
  <c r="P16" i="21"/>
  <c r="X16" i="21"/>
  <c r="B19" i="21"/>
  <c r="B20" i="21"/>
  <c r="B10" i="22"/>
  <c r="G46" i="22"/>
  <c r="E46" i="21"/>
  <c r="R52" i="21"/>
  <c r="C70" i="21"/>
  <c r="C137" i="21"/>
  <c r="L52" i="21"/>
  <c r="P52" i="21"/>
  <c r="T52" i="21"/>
  <c r="X52" i="21"/>
  <c r="L58" i="21"/>
  <c r="Z58" i="21"/>
  <c r="C56" i="21"/>
  <c r="AC125" i="21"/>
  <c r="B10" i="21"/>
  <c r="B9" i="21" s="1"/>
  <c r="F9" i="21" s="1"/>
  <c r="B137" i="21"/>
  <c r="B131" i="21"/>
  <c r="E112" i="21"/>
  <c r="B112" i="21"/>
  <c r="E94" i="21"/>
  <c r="AD160" i="21"/>
  <c r="AD155" i="21" s="1"/>
  <c r="B88" i="21"/>
  <c r="G84" i="21"/>
  <c r="G82" i="21" s="1"/>
  <c r="AC58" i="21"/>
  <c r="I58" i="21"/>
  <c r="V58" i="21"/>
  <c r="B70" i="21"/>
  <c r="Y58" i="21"/>
  <c r="AB58" i="21"/>
  <c r="AB52" i="21"/>
  <c r="M58" i="21"/>
  <c r="Q58" i="21"/>
  <c r="U58" i="21"/>
  <c r="O58" i="21"/>
  <c r="G66" i="21"/>
  <c r="C55" i="21"/>
  <c r="B46" i="21"/>
  <c r="G49" i="21"/>
  <c r="B34" i="21"/>
  <c r="B22" i="21"/>
  <c r="B17" i="21"/>
  <c r="G42" i="21"/>
  <c r="G35" i="21"/>
  <c r="E34" i="21"/>
  <c r="G30" i="21"/>
  <c r="E22" i="21"/>
  <c r="G24" i="21"/>
  <c r="G12" i="21"/>
  <c r="L141" i="18"/>
  <c r="L136" i="18" s="1"/>
  <c r="L38" i="18"/>
  <c r="P141" i="18"/>
  <c r="P152" i="18" s="1"/>
  <c r="P148" i="18" s="1"/>
  <c r="P38" i="18"/>
  <c r="X141" i="18"/>
  <c r="X152" i="18" s="1"/>
  <c r="X148" i="18" s="1"/>
  <c r="X38" i="18"/>
  <c r="AB141" i="18"/>
  <c r="AB38" i="18"/>
  <c r="K43" i="18"/>
  <c r="K39" i="18"/>
  <c r="AA43" i="18"/>
  <c r="AA39" i="18"/>
  <c r="W40" i="18"/>
  <c r="W142" i="18" s="1"/>
  <c r="W153" i="18" s="1"/>
  <c r="S44" i="18"/>
  <c r="J68" i="18"/>
  <c r="V68" i="18"/>
  <c r="B132" i="18"/>
  <c r="E128" i="21"/>
  <c r="D128" i="21" s="1"/>
  <c r="C131" i="21"/>
  <c r="C148" i="21"/>
  <c r="E55" i="19"/>
  <c r="G55" i="19" s="1"/>
  <c r="D55" i="19"/>
  <c r="AD7" i="22"/>
  <c r="S143" i="18"/>
  <c r="S154" i="18" s="1"/>
  <c r="S150" i="18" s="1"/>
  <c r="E48" i="18"/>
  <c r="F48" i="18" s="1"/>
  <c r="H44" i="18"/>
  <c r="C44" i="18" s="1"/>
  <c r="C58" i="18"/>
  <c r="N68" i="18"/>
  <c r="Z68" i="18"/>
  <c r="N160" i="21"/>
  <c r="N155" i="21" s="1"/>
  <c r="V160" i="21"/>
  <c r="V155" i="21" s="1"/>
  <c r="M11" i="18"/>
  <c r="U11" i="18"/>
  <c r="AC11" i="18"/>
  <c r="C17" i="18"/>
  <c r="T143" i="18"/>
  <c r="T154" i="18" s="1"/>
  <c r="T150" i="18" s="1"/>
  <c r="P43" i="18"/>
  <c r="O44" i="18"/>
  <c r="AE44" i="18"/>
  <c r="R43" i="18"/>
  <c r="R40" i="18"/>
  <c r="R142" i="18" s="1"/>
  <c r="R153" i="18" s="1"/>
  <c r="P53" i="18"/>
  <c r="AA53" i="18"/>
  <c r="E55" i="18"/>
  <c r="D55" i="18" s="1"/>
  <c r="F74" i="18"/>
  <c r="F86" i="18"/>
  <c r="B47" i="19"/>
  <c r="P18" i="20"/>
  <c r="P17" i="20" s="1"/>
  <c r="P8" i="20"/>
  <c r="C54" i="21"/>
  <c r="E64" i="21"/>
  <c r="E59" i="21"/>
  <c r="H14" i="22"/>
  <c r="H8" i="22"/>
  <c r="L8" i="22"/>
  <c r="P8" i="22"/>
  <c r="T14" i="22"/>
  <c r="T8" i="22"/>
  <c r="X14" i="22"/>
  <c r="X8" i="22"/>
  <c r="AB14" i="22"/>
  <c r="AB8" i="22"/>
  <c r="V9" i="22"/>
  <c r="J43" i="18"/>
  <c r="J40" i="18"/>
  <c r="J142" i="18" s="1"/>
  <c r="J153" i="18" s="1"/>
  <c r="Z43" i="18"/>
  <c r="Z40" i="18"/>
  <c r="Z142" i="18" s="1"/>
  <c r="Z153" i="18" s="1"/>
  <c r="D74" i="18"/>
  <c r="D64" i="18" s="1"/>
  <c r="E73" i="18"/>
  <c r="B12" i="18"/>
  <c r="V43" i="18"/>
  <c r="V40" i="18"/>
  <c r="V142" i="18" s="1"/>
  <c r="V153" i="18" s="1"/>
  <c r="H45" i="18"/>
  <c r="C45" i="18" s="1"/>
  <c r="R68" i="18"/>
  <c r="AD68" i="18"/>
  <c r="B123" i="18"/>
  <c r="B82" i="21"/>
  <c r="Q11" i="18"/>
  <c r="Y11" i="18"/>
  <c r="B34" i="18"/>
  <c r="B32" i="18" s="1"/>
  <c r="F28" i="18"/>
  <c r="AB43" i="18"/>
  <c r="E54" i="18"/>
  <c r="J11" i="18"/>
  <c r="N11" i="18"/>
  <c r="R11" i="18"/>
  <c r="V11" i="18"/>
  <c r="Z11" i="18"/>
  <c r="AD11" i="18"/>
  <c r="H157" i="18"/>
  <c r="H155" i="18" s="1"/>
  <c r="L157" i="18"/>
  <c r="L155" i="18" s="1"/>
  <c r="P157" i="18"/>
  <c r="P155" i="18" s="1"/>
  <c r="T157" i="18"/>
  <c r="T155" i="18" s="1"/>
  <c r="X157" i="18"/>
  <c r="X155" i="18" s="1"/>
  <c r="AB157" i="18"/>
  <c r="AB155" i="18" s="1"/>
  <c r="B14" i="18"/>
  <c r="F14" i="18" s="1"/>
  <c r="E17" i="18"/>
  <c r="F17" i="18" s="1"/>
  <c r="T39" i="18"/>
  <c r="Q44" i="18"/>
  <c r="I45" i="18"/>
  <c r="I43" i="18" s="1"/>
  <c r="N43" i="18"/>
  <c r="N40" i="18"/>
  <c r="N142" i="18" s="1"/>
  <c r="N153" i="18" s="1"/>
  <c r="AD43" i="18"/>
  <c r="AD40" i="18"/>
  <c r="AD142" i="18" s="1"/>
  <c r="AD153" i="18" s="1"/>
  <c r="J46" i="18"/>
  <c r="H53" i="18"/>
  <c r="AB53" i="18"/>
  <c r="E58" i="18"/>
  <c r="B65" i="18"/>
  <c r="B73" i="18"/>
  <c r="E83" i="18"/>
  <c r="C88" i="18"/>
  <c r="C16" i="19"/>
  <c r="B9" i="20"/>
  <c r="B8" i="20" s="1"/>
  <c r="H36" i="20"/>
  <c r="H22" i="20"/>
  <c r="X36" i="20"/>
  <c r="X22" i="20"/>
  <c r="H16" i="21"/>
  <c r="T16" i="21"/>
  <c r="E40" i="21"/>
  <c r="I125" i="21"/>
  <c r="E126" i="21"/>
  <c r="M125" i="21"/>
  <c r="Q125" i="21"/>
  <c r="Y148" i="21"/>
  <c r="Y125" i="21"/>
  <c r="H150" i="21"/>
  <c r="B150" i="21" s="1"/>
  <c r="B127" i="21"/>
  <c r="G15" i="22"/>
  <c r="I8" i="22"/>
  <c r="E8" i="22" s="1"/>
  <c r="D8" i="22" s="1"/>
  <c r="H160" i="21"/>
  <c r="H155" i="21" s="1"/>
  <c r="L160" i="21"/>
  <c r="L155" i="21" s="1"/>
  <c r="P160" i="21"/>
  <c r="P155" i="21" s="1"/>
  <c r="T160" i="21"/>
  <c r="T155" i="21" s="1"/>
  <c r="X160" i="21"/>
  <c r="X155" i="21" s="1"/>
  <c r="AB160" i="21"/>
  <c r="AB155" i="21" s="1"/>
  <c r="J16" i="21"/>
  <c r="Z16" i="21"/>
  <c r="B28" i="21"/>
  <c r="K58" i="21"/>
  <c r="O52" i="21"/>
  <c r="S58" i="21"/>
  <c r="W52" i="21"/>
  <c r="AA58" i="21"/>
  <c r="AE52" i="21"/>
  <c r="AE58" i="21"/>
  <c r="E70" i="21"/>
  <c r="B61" i="21"/>
  <c r="F61" i="21" s="1"/>
  <c r="E76" i="21"/>
  <c r="B94" i="21"/>
  <c r="J14" i="22"/>
  <c r="Z14" i="22"/>
  <c r="J53" i="18"/>
  <c r="N53" i="18"/>
  <c r="R53" i="18"/>
  <c r="V53" i="18"/>
  <c r="Z53" i="18"/>
  <c r="AD53" i="18"/>
  <c r="D58" i="18"/>
  <c r="F75" i="18"/>
  <c r="F79" i="18"/>
  <c r="D88" i="18"/>
  <c r="B55" i="19"/>
  <c r="L54" i="19"/>
  <c r="P54" i="19"/>
  <c r="T54" i="19"/>
  <c r="AB54" i="19"/>
  <c r="I160" i="21"/>
  <c r="I155" i="21" s="1"/>
  <c r="Q160" i="21"/>
  <c r="Q155" i="21" s="1"/>
  <c r="Y160" i="21"/>
  <c r="Y155" i="21" s="1"/>
  <c r="E11" i="21"/>
  <c r="F11" i="21" s="1"/>
  <c r="C28" i="21"/>
  <c r="G43" i="21"/>
  <c r="W58" i="21"/>
  <c r="P58" i="21"/>
  <c r="T58" i="21"/>
  <c r="J119" i="21"/>
  <c r="J58" i="21"/>
  <c r="Z52" i="21"/>
  <c r="B64" i="21"/>
  <c r="B129" i="21"/>
  <c r="N58" i="21"/>
  <c r="AD58" i="21"/>
  <c r="G72" i="21"/>
  <c r="G70" i="21" s="1"/>
  <c r="B76" i="21"/>
  <c r="E82" i="21"/>
  <c r="E88" i="21"/>
  <c r="J106" i="21"/>
  <c r="N106" i="21"/>
  <c r="R106" i="21"/>
  <c r="V106" i="21"/>
  <c r="Z106" i="21"/>
  <c r="AD106" i="21"/>
  <c r="B108" i="21"/>
  <c r="E131" i="21"/>
  <c r="G44" i="22"/>
  <c r="E47" i="19"/>
  <c r="D49" i="19"/>
  <c r="D56" i="19" s="1"/>
  <c r="D62" i="19" s="1"/>
  <c r="E34" i="18"/>
  <c r="E32" i="18" s="1"/>
  <c r="G24" i="18"/>
  <c r="I11" i="18"/>
  <c r="G20" i="18"/>
  <c r="E12" i="18"/>
  <c r="D15" i="18"/>
  <c r="B55" i="18"/>
  <c r="B70" i="18"/>
  <c r="B22" i="20"/>
  <c r="V52" i="21"/>
  <c r="B71" i="18"/>
  <c r="F18" i="18"/>
  <c r="F22" i="18"/>
  <c r="F26" i="18"/>
  <c r="F30" i="18"/>
  <c r="F49" i="18"/>
  <c r="F50" i="18"/>
  <c r="F51" i="18"/>
  <c r="I53" i="18"/>
  <c r="F59" i="18"/>
  <c r="F60" i="18"/>
  <c r="F61" i="18"/>
  <c r="I68" i="18"/>
  <c r="B78" i="18"/>
  <c r="B83" i="18"/>
  <c r="B88" i="18"/>
  <c r="F76" i="18"/>
  <c r="F81" i="18"/>
  <c r="N8" i="20"/>
  <c r="V8" i="20"/>
  <c r="AD8" i="20"/>
  <c r="K22" i="20"/>
  <c r="O22" i="20"/>
  <c r="S22" i="20"/>
  <c r="W22" i="20"/>
  <c r="AA22" i="20"/>
  <c r="AE22" i="20"/>
  <c r="L34" i="20"/>
  <c r="P34" i="20"/>
  <c r="T34" i="20"/>
  <c r="N9" i="21"/>
  <c r="R9" i="21"/>
  <c r="V9" i="21"/>
  <c r="AD9" i="21"/>
  <c r="K160" i="21"/>
  <c r="K155" i="21" s="1"/>
  <c r="O160" i="21"/>
  <c r="O155" i="21" s="1"/>
  <c r="S160" i="21"/>
  <c r="S155" i="21" s="1"/>
  <c r="W160" i="21"/>
  <c r="W155" i="21" s="1"/>
  <c r="AA160" i="21"/>
  <c r="AA155" i="21" s="1"/>
  <c r="AE160" i="21"/>
  <c r="AE155" i="21" s="1"/>
  <c r="L16" i="21"/>
  <c r="W16" i="21"/>
  <c r="AB16" i="21"/>
  <c r="B18" i="21"/>
  <c r="G23" i="21"/>
  <c r="C22" i="21"/>
  <c r="C40" i="21"/>
  <c r="G44" i="21"/>
  <c r="G48" i="21"/>
  <c r="K52" i="21"/>
  <c r="S52" i="21"/>
  <c r="AA52" i="21"/>
  <c r="B59" i="21"/>
  <c r="C64" i="21"/>
  <c r="E60" i="21"/>
  <c r="F60" i="21" s="1"/>
  <c r="B62" i="21"/>
  <c r="F62" i="21" s="1"/>
  <c r="I16" i="21"/>
  <c r="M16" i="21"/>
  <c r="Q16" i="21"/>
  <c r="U16" i="21"/>
  <c r="Y16" i="21"/>
  <c r="AC16" i="21"/>
  <c r="G47" i="21"/>
  <c r="C46" i="21"/>
  <c r="H52" i="21"/>
  <c r="G61" i="21"/>
  <c r="C67" i="19"/>
  <c r="J8" i="20"/>
  <c r="R8" i="20"/>
  <c r="Z8" i="20"/>
  <c r="I22" i="20"/>
  <c r="M22" i="20"/>
  <c r="Q22" i="20"/>
  <c r="U22" i="20"/>
  <c r="Y22" i="20"/>
  <c r="AC22" i="20"/>
  <c r="J34" i="20"/>
  <c r="N34" i="20"/>
  <c r="R34" i="20"/>
  <c r="V34" i="20"/>
  <c r="Z34" i="20"/>
  <c r="AD34" i="20"/>
  <c r="C28" i="20"/>
  <c r="H9" i="21"/>
  <c r="L9" i="21"/>
  <c r="P9" i="21"/>
  <c r="T9" i="21"/>
  <c r="X9" i="21"/>
  <c r="AB9" i="21"/>
  <c r="M160" i="21"/>
  <c r="M155" i="21" s="1"/>
  <c r="U160" i="21"/>
  <c r="U155" i="21" s="1"/>
  <c r="AC160" i="21"/>
  <c r="AC155" i="21" s="1"/>
  <c r="C11" i="21"/>
  <c r="O16" i="21"/>
  <c r="AE16" i="21"/>
  <c r="C34" i="21"/>
  <c r="G38" i="21"/>
  <c r="B40" i="21"/>
  <c r="I118" i="21"/>
  <c r="M52" i="21"/>
  <c r="Q52" i="21"/>
  <c r="U52" i="21"/>
  <c r="Y52" i="21"/>
  <c r="AC52" i="21"/>
  <c r="B55" i="21"/>
  <c r="E56" i="21"/>
  <c r="D56" i="21" s="1"/>
  <c r="N52" i="21"/>
  <c r="AD52" i="21"/>
  <c r="H58" i="21"/>
  <c r="X58" i="21"/>
  <c r="C76" i="21"/>
  <c r="C9" i="19"/>
  <c r="L8" i="20"/>
  <c r="T8" i="20"/>
  <c r="AB8" i="20"/>
  <c r="J22" i="20"/>
  <c r="N22" i="20"/>
  <c r="R22" i="20"/>
  <c r="V22" i="20"/>
  <c r="Z22" i="20"/>
  <c r="AD22" i="20"/>
  <c r="C10" i="21"/>
  <c r="G10" i="21" s="1"/>
  <c r="Z160" i="21"/>
  <c r="Z155" i="21" s="1"/>
  <c r="K16" i="21"/>
  <c r="AA16" i="21"/>
  <c r="E28" i="21"/>
  <c r="E54" i="21"/>
  <c r="E55" i="21"/>
  <c r="D55" i="21" s="1"/>
  <c r="G62" i="21"/>
  <c r="G96" i="21"/>
  <c r="G94" i="21" s="1"/>
  <c r="C94" i="21"/>
  <c r="H106" i="21"/>
  <c r="C88" i="21"/>
  <c r="O159" i="21"/>
  <c r="O154" i="21" s="1"/>
  <c r="W159" i="21"/>
  <c r="W154" i="21" s="1"/>
  <c r="E18" i="21"/>
  <c r="K161" i="21"/>
  <c r="O161" i="21"/>
  <c r="S161" i="21"/>
  <c r="W161" i="21"/>
  <c r="AA161" i="21"/>
  <c r="AE161" i="21"/>
  <c r="I162" i="21"/>
  <c r="I157" i="21" s="1"/>
  <c r="M162" i="21"/>
  <c r="M157" i="21" s="1"/>
  <c r="Q162" i="21"/>
  <c r="Q157" i="21" s="1"/>
  <c r="U162" i="21"/>
  <c r="U157" i="21" s="1"/>
  <c r="Y162" i="21"/>
  <c r="Y157" i="21" s="1"/>
  <c r="AC162" i="21"/>
  <c r="AC157" i="21" s="1"/>
  <c r="G36" i="21"/>
  <c r="G41" i="21"/>
  <c r="G50" i="21"/>
  <c r="G78" i="21"/>
  <c r="G76" i="21" s="1"/>
  <c r="G90" i="21"/>
  <c r="G88" i="21" s="1"/>
  <c r="G114" i="21"/>
  <c r="G112" i="21" s="1"/>
  <c r="J125" i="21"/>
  <c r="N125" i="21"/>
  <c r="R125" i="21"/>
  <c r="V125" i="21"/>
  <c r="Z125" i="21"/>
  <c r="AD125" i="21"/>
  <c r="O148" i="21"/>
  <c r="S148" i="21"/>
  <c r="W148" i="21"/>
  <c r="AA148" i="21"/>
  <c r="AE148" i="21"/>
  <c r="B128" i="21"/>
  <c r="B11" i="22"/>
  <c r="E12" i="22"/>
  <c r="K14" i="22"/>
  <c r="O14" i="22"/>
  <c r="W14" i="22"/>
  <c r="AA14" i="22"/>
  <c r="AE14" i="22"/>
  <c r="G16" i="22"/>
  <c r="E19" i="22"/>
  <c r="F19" i="22" s="1"/>
  <c r="G47" i="22"/>
  <c r="K125" i="21"/>
  <c r="O125" i="21"/>
  <c r="S125" i="21"/>
  <c r="W125" i="21"/>
  <c r="AA125" i="21"/>
  <c r="AE125" i="21"/>
  <c r="E129" i="21"/>
  <c r="D129" i="21" s="1"/>
  <c r="J7" i="22"/>
  <c r="R7" i="22"/>
  <c r="Z7" i="22"/>
  <c r="G17" i="22"/>
  <c r="B36" i="22"/>
  <c r="K106" i="21"/>
  <c r="O106" i="21"/>
  <c r="S106" i="21"/>
  <c r="W106" i="21"/>
  <c r="AA106" i="21"/>
  <c r="AE106" i="21"/>
  <c r="E108" i="21"/>
  <c r="C112" i="21"/>
  <c r="H125" i="21"/>
  <c r="L125" i="21"/>
  <c r="P125" i="21"/>
  <c r="T125" i="21"/>
  <c r="X125" i="21"/>
  <c r="AB125" i="21"/>
  <c r="B126" i="21"/>
  <c r="M148" i="21"/>
  <c r="U148" i="21"/>
  <c r="AC148" i="21"/>
  <c r="Q7" i="22"/>
  <c r="B12" i="22"/>
  <c r="M14" i="22"/>
  <c r="U14" i="22"/>
  <c r="Y14" i="22"/>
  <c r="AC14" i="22"/>
  <c r="C36" i="22"/>
  <c r="G45" i="22"/>
  <c r="G14" i="18"/>
  <c r="G18" i="18"/>
  <c r="G22" i="18"/>
  <c r="G26" i="18"/>
  <c r="G30" i="18"/>
  <c r="G49" i="18"/>
  <c r="G50" i="18"/>
  <c r="G51" i="18"/>
  <c r="G59" i="18"/>
  <c r="G60" i="18"/>
  <c r="G61" i="18"/>
  <c r="G74" i="18"/>
  <c r="G75" i="18"/>
  <c r="G76" i="18"/>
  <c r="G79" i="18"/>
  <c r="G80" i="18"/>
  <c r="G81" i="18"/>
  <c r="G84" i="18"/>
  <c r="G85" i="18"/>
  <c r="G86" i="18"/>
  <c r="G89" i="18"/>
  <c r="G90" i="18"/>
  <c r="G91" i="18"/>
  <c r="G94" i="18"/>
  <c r="G95" i="18"/>
  <c r="G96" i="18"/>
  <c r="G99" i="18"/>
  <c r="G100" i="18"/>
  <c r="G101" i="18"/>
  <c r="G104" i="18"/>
  <c r="G105" i="18"/>
  <c r="G106" i="18"/>
  <c r="G109" i="18"/>
  <c r="G110" i="18"/>
  <c r="G111" i="18"/>
  <c r="G114" i="18"/>
  <c r="G115" i="18"/>
  <c r="G116" i="18"/>
  <c r="G119" i="18"/>
  <c r="G120" i="18"/>
  <c r="G121" i="18"/>
  <c r="G124" i="18"/>
  <c r="G125" i="18"/>
  <c r="G126" i="18"/>
  <c r="G133" i="18"/>
  <c r="N67" i="19"/>
  <c r="V67" i="19"/>
  <c r="AD67" i="19"/>
  <c r="K62" i="19"/>
  <c r="K76" i="19" s="1"/>
  <c r="M62" i="19"/>
  <c r="M76" i="19" s="1"/>
  <c r="O62" i="19"/>
  <c r="O76" i="19" s="1"/>
  <c r="S62" i="19"/>
  <c r="S76" i="19" s="1"/>
  <c r="W62" i="19"/>
  <c r="W76" i="19" s="1"/>
  <c r="AA62" i="19"/>
  <c r="AA76" i="19" s="1"/>
  <c r="AC62" i="19"/>
  <c r="AC76" i="19" s="1"/>
  <c r="AE62" i="19"/>
  <c r="AE76" i="19" s="1"/>
  <c r="I41" i="19"/>
  <c r="I63" i="19" s="1"/>
  <c r="I77" i="19" s="1"/>
  <c r="J41" i="19"/>
  <c r="J38" i="19" s="1"/>
  <c r="K41" i="19"/>
  <c r="K63" i="19" s="1"/>
  <c r="K77" i="19" s="1"/>
  <c r="M41" i="19"/>
  <c r="M63" i="19" s="1"/>
  <c r="M77" i="19" s="1"/>
  <c r="N41" i="19"/>
  <c r="N63" i="19" s="1"/>
  <c r="N77" i="19" s="1"/>
  <c r="O41" i="19"/>
  <c r="O63" i="19" s="1"/>
  <c r="O77" i="19" s="1"/>
  <c r="Q41" i="19"/>
  <c r="Q63" i="19" s="1"/>
  <c r="Q77" i="19" s="1"/>
  <c r="R41" i="19"/>
  <c r="R63" i="19" s="1"/>
  <c r="R77" i="19" s="1"/>
  <c r="S41" i="19"/>
  <c r="S63" i="19" s="1"/>
  <c r="S77" i="19" s="1"/>
  <c r="U41" i="19"/>
  <c r="U63" i="19" s="1"/>
  <c r="U77" i="19" s="1"/>
  <c r="V41" i="19"/>
  <c r="V63" i="19" s="1"/>
  <c r="V77" i="19" s="1"/>
  <c r="W41" i="19"/>
  <c r="W63" i="19" s="1"/>
  <c r="W77" i="19" s="1"/>
  <c r="Y41" i="19"/>
  <c r="Y63" i="19" s="1"/>
  <c r="Y77" i="19" s="1"/>
  <c r="Z41" i="19"/>
  <c r="Z38" i="19" s="1"/>
  <c r="AA41" i="19"/>
  <c r="AA63" i="19" s="1"/>
  <c r="AA77" i="19" s="1"/>
  <c r="AC41" i="19"/>
  <c r="AC63" i="19" s="1"/>
  <c r="AC77" i="19" s="1"/>
  <c r="AD41" i="19"/>
  <c r="AD63" i="19" s="1"/>
  <c r="AD77" i="19" s="1"/>
  <c r="AE41" i="19"/>
  <c r="AE63" i="19" s="1"/>
  <c r="AE77" i="19" s="1"/>
  <c r="C62" i="19"/>
  <c r="C41" i="19"/>
  <c r="D41" i="19"/>
  <c r="D63" i="19" s="1"/>
  <c r="D77" i="19" s="1"/>
  <c r="I62" i="19"/>
  <c r="I76" i="19" s="1"/>
  <c r="Q62" i="19"/>
  <c r="Q76" i="19" s="1"/>
  <c r="U62" i="19"/>
  <c r="U76" i="19" s="1"/>
  <c r="Y62" i="19"/>
  <c r="Y76" i="19" s="1"/>
  <c r="I54" i="19"/>
  <c r="K54" i="19"/>
  <c r="M54" i="19"/>
  <c r="O54" i="19"/>
  <c r="Q54" i="19"/>
  <c r="S54" i="19"/>
  <c r="U54" i="19"/>
  <c r="W54" i="19"/>
  <c r="Y54" i="19"/>
  <c r="AA54" i="19"/>
  <c r="F11" i="20"/>
  <c r="G12" i="20"/>
  <c r="F12" i="20"/>
  <c r="F29" i="20"/>
  <c r="Q34" i="20"/>
  <c r="Y34" i="20"/>
  <c r="C8" i="22"/>
  <c r="C10" i="22"/>
  <c r="C12" i="22"/>
  <c r="M34" i="20"/>
  <c r="U34" i="20"/>
  <c r="AC34" i="20"/>
  <c r="F15" i="18"/>
  <c r="L137" i="18"/>
  <c r="L149" i="18" s="1"/>
  <c r="P137" i="18"/>
  <c r="P149" i="18" s="1"/>
  <c r="T137" i="18"/>
  <c r="T149" i="18" s="1"/>
  <c r="X137" i="18"/>
  <c r="X149" i="18" s="1"/>
  <c r="AB149" i="18"/>
  <c r="L62" i="19"/>
  <c r="L76" i="19" s="1"/>
  <c r="P62" i="19"/>
  <c r="P76" i="19" s="1"/>
  <c r="X62" i="19"/>
  <c r="X76" i="19" s="1"/>
  <c r="AB62" i="19"/>
  <c r="AB76" i="19" s="1"/>
  <c r="G56" i="19"/>
  <c r="H62" i="19"/>
  <c r="H76" i="19" s="1"/>
  <c r="T62" i="19"/>
  <c r="T76" i="19" s="1"/>
  <c r="F15" i="20"/>
  <c r="E14" i="20"/>
  <c r="I18" i="20"/>
  <c r="M18" i="20"/>
  <c r="Q18" i="20"/>
  <c r="Q17" i="20" s="1"/>
  <c r="U18" i="20"/>
  <c r="U73" i="20" s="1"/>
  <c r="U71" i="20" s="1"/>
  <c r="Y18" i="20"/>
  <c r="Y17" i="20" s="1"/>
  <c r="AC18" i="20"/>
  <c r="F30" i="20"/>
  <c r="F31" i="20"/>
  <c r="F32" i="20"/>
  <c r="F133" i="21"/>
  <c r="D133" i="21"/>
  <c r="G133" i="21"/>
  <c r="K148" i="21"/>
  <c r="M161" i="21"/>
  <c r="U161" i="21"/>
  <c r="AC161" i="21"/>
  <c r="O162" i="21"/>
  <c r="O157" i="21" s="1"/>
  <c r="W162" i="21"/>
  <c r="AE162" i="21"/>
  <c r="AE157" i="21" s="1"/>
  <c r="E10" i="22"/>
  <c r="G37" i="22"/>
  <c r="G38" i="22"/>
  <c r="G39" i="22"/>
  <c r="G40" i="22"/>
  <c r="G41" i="22"/>
  <c r="G15" i="18"/>
  <c r="K137" i="18"/>
  <c r="K149" i="18" s="1"/>
  <c r="M137" i="18"/>
  <c r="M149" i="18" s="1"/>
  <c r="O137" i="18"/>
  <c r="O149" i="18" s="1"/>
  <c r="Q137" i="18"/>
  <c r="Q149" i="18" s="1"/>
  <c r="S137" i="18"/>
  <c r="S149" i="18" s="1"/>
  <c r="U137" i="18"/>
  <c r="U149" i="18" s="1"/>
  <c r="Y137" i="18"/>
  <c r="Y149" i="18" s="1"/>
  <c r="AA137" i="18"/>
  <c r="AA149" i="18" s="1"/>
  <c r="AC137" i="18"/>
  <c r="AC149" i="18" s="1"/>
  <c r="AE137" i="18"/>
  <c r="AE149" i="18" s="1"/>
  <c r="H67" i="19"/>
  <c r="J67" i="19"/>
  <c r="L67" i="19"/>
  <c r="P67" i="19"/>
  <c r="R67" i="19"/>
  <c r="T67" i="19"/>
  <c r="X67" i="19"/>
  <c r="Z67" i="19"/>
  <c r="AB67" i="19"/>
  <c r="D24" i="19"/>
  <c r="R62" i="19"/>
  <c r="R76" i="19" s="1"/>
  <c r="H41" i="19"/>
  <c r="L41" i="19"/>
  <c r="L63" i="19" s="1"/>
  <c r="L77" i="19" s="1"/>
  <c r="P41" i="19"/>
  <c r="P63" i="19" s="1"/>
  <c r="P77" i="19" s="1"/>
  <c r="T41" i="19"/>
  <c r="T63" i="19" s="1"/>
  <c r="T77" i="19" s="1"/>
  <c r="X41" i="19"/>
  <c r="X63" i="19" s="1"/>
  <c r="X77" i="19" s="1"/>
  <c r="AB41" i="19"/>
  <c r="AB63" i="19" s="1"/>
  <c r="AB77" i="19" s="1"/>
  <c r="C54" i="19"/>
  <c r="F49" i="19"/>
  <c r="J54" i="19"/>
  <c r="N54" i="19"/>
  <c r="R54" i="19"/>
  <c r="V54" i="19"/>
  <c r="Z54" i="19"/>
  <c r="F56" i="19"/>
  <c r="K8" i="20"/>
  <c r="O8" i="20"/>
  <c r="S8" i="20"/>
  <c r="W8" i="20"/>
  <c r="AA8" i="20"/>
  <c r="AE8" i="20"/>
  <c r="G11" i="20"/>
  <c r="G15" i="20"/>
  <c r="D28" i="20"/>
  <c r="G29" i="20"/>
  <c r="G30" i="20"/>
  <c r="G31" i="20"/>
  <c r="G32" i="20"/>
  <c r="D10" i="21"/>
  <c r="F12" i="21"/>
  <c r="D12" i="21"/>
  <c r="D11" i="21" s="1"/>
  <c r="E17" i="21"/>
  <c r="E19" i="21"/>
  <c r="E20" i="21"/>
  <c r="F23" i="21"/>
  <c r="D23" i="21"/>
  <c r="F24" i="21"/>
  <c r="D24" i="21"/>
  <c r="F30" i="21"/>
  <c r="D30" i="21"/>
  <c r="F35" i="21"/>
  <c r="D35" i="21"/>
  <c r="F36" i="21"/>
  <c r="D36" i="21"/>
  <c r="F38" i="21"/>
  <c r="D38" i="21"/>
  <c r="F41" i="21"/>
  <c r="D41" i="21"/>
  <c r="F42" i="21"/>
  <c r="D42" i="21"/>
  <c r="F43" i="21"/>
  <c r="D43" i="21"/>
  <c r="F44" i="21"/>
  <c r="D44" i="21"/>
  <c r="F47" i="21"/>
  <c r="D47" i="21"/>
  <c r="F48" i="21"/>
  <c r="D48" i="21"/>
  <c r="F49" i="21"/>
  <c r="D49" i="21"/>
  <c r="F50" i="21"/>
  <c r="D50" i="21"/>
  <c r="F66" i="21"/>
  <c r="D66" i="21"/>
  <c r="F72" i="21"/>
  <c r="F70" i="21" s="1"/>
  <c r="D72" i="21"/>
  <c r="F78" i="21"/>
  <c r="F76" i="21" s="1"/>
  <c r="D78" i="21"/>
  <c r="F84" i="21"/>
  <c r="F82" i="21" s="1"/>
  <c r="D84" i="21"/>
  <c r="F90" i="21"/>
  <c r="F88" i="21" s="1"/>
  <c r="D90" i="21"/>
  <c r="I106" i="21"/>
  <c r="J148" i="21"/>
  <c r="L148" i="21"/>
  <c r="N148" i="21"/>
  <c r="P148" i="21"/>
  <c r="R148" i="21"/>
  <c r="T148" i="21"/>
  <c r="V148" i="21"/>
  <c r="X148" i="21"/>
  <c r="Z148" i="21"/>
  <c r="AB148" i="21"/>
  <c r="AD148" i="21"/>
  <c r="E150" i="21"/>
  <c r="E137" i="21"/>
  <c r="F139" i="21"/>
  <c r="D139" i="21"/>
  <c r="G139" i="21"/>
  <c r="Q148" i="21"/>
  <c r="I161" i="21"/>
  <c r="Q161" i="21"/>
  <c r="Y161" i="21"/>
  <c r="K162" i="21"/>
  <c r="S162" i="21"/>
  <c r="S157" i="21" s="1"/>
  <c r="AA162" i="21"/>
  <c r="K7" i="22"/>
  <c r="M7" i="22"/>
  <c r="O7" i="22"/>
  <c r="S7" i="22"/>
  <c r="U7" i="22"/>
  <c r="W7" i="22"/>
  <c r="Y7" i="22"/>
  <c r="AA7" i="22"/>
  <c r="AC7" i="22"/>
  <c r="AE7" i="22"/>
  <c r="E9" i="22"/>
  <c r="E11" i="22"/>
  <c r="I14" i="22"/>
  <c r="G49" i="19"/>
  <c r="H159" i="21"/>
  <c r="J159" i="21"/>
  <c r="L159" i="21"/>
  <c r="N159" i="21"/>
  <c r="P159" i="21"/>
  <c r="T159" i="21"/>
  <c r="V159" i="21"/>
  <c r="X159" i="21"/>
  <c r="Z159" i="21"/>
  <c r="AD159" i="21"/>
  <c r="H161" i="21"/>
  <c r="J161" i="21"/>
  <c r="L161" i="21"/>
  <c r="N161" i="21"/>
  <c r="P161" i="21"/>
  <c r="R161" i="21"/>
  <c r="T161" i="21"/>
  <c r="V161" i="21"/>
  <c r="X161" i="21"/>
  <c r="Z161" i="21"/>
  <c r="AB161" i="21"/>
  <c r="AD161" i="21"/>
  <c r="H162" i="21"/>
  <c r="H157" i="21" s="1"/>
  <c r="J162" i="21"/>
  <c r="J157" i="21" s="1"/>
  <c r="L162" i="21"/>
  <c r="L157" i="21" s="1"/>
  <c r="P162" i="21"/>
  <c r="P157" i="21" s="1"/>
  <c r="R162" i="21"/>
  <c r="R157" i="21" s="1"/>
  <c r="T162" i="21"/>
  <c r="T157" i="21" s="1"/>
  <c r="V162" i="21"/>
  <c r="V157" i="21" s="1"/>
  <c r="X162" i="21"/>
  <c r="X157" i="21" s="1"/>
  <c r="Z162" i="21"/>
  <c r="Z157" i="21" s="1"/>
  <c r="AB162" i="21"/>
  <c r="AB157" i="21" s="1"/>
  <c r="F96" i="21"/>
  <c r="F94" i="21" s="1"/>
  <c r="D96" i="21"/>
  <c r="F114" i="21"/>
  <c r="F112" i="21" s="1"/>
  <c r="D114" i="21"/>
  <c r="F37" i="22"/>
  <c r="D37" i="22"/>
  <c r="F38" i="22"/>
  <c r="D38" i="22"/>
  <c r="F39" i="22"/>
  <c r="D39" i="22"/>
  <c r="F40" i="22"/>
  <c r="D40" i="22"/>
  <c r="F41" i="22"/>
  <c r="D41" i="22"/>
  <c r="F44" i="22"/>
  <c r="D44" i="22"/>
  <c r="F45" i="22"/>
  <c r="D45" i="22"/>
  <c r="F46" i="22"/>
  <c r="F47" i="22"/>
  <c r="D47" i="22"/>
  <c r="Z71" i="20" l="1"/>
  <c r="O71" i="20"/>
  <c r="L71" i="20"/>
  <c r="AE71" i="20"/>
  <c r="F66" i="18"/>
  <c r="G66" i="18"/>
  <c r="J71" i="20"/>
  <c r="R81" i="20"/>
  <c r="V71" i="20"/>
  <c r="C46" i="18"/>
  <c r="G65" i="18"/>
  <c r="F65" i="18"/>
  <c r="F32" i="18"/>
  <c r="G32" i="18"/>
  <c r="W71" i="20"/>
  <c r="Q74" i="20"/>
  <c r="T71" i="20"/>
  <c r="C36" i="20"/>
  <c r="H73" i="20"/>
  <c r="C37" i="20"/>
  <c r="H74" i="20"/>
  <c r="AB34" i="20"/>
  <c r="AB72" i="20"/>
  <c r="AB71" i="20" s="1"/>
  <c r="D37" i="20"/>
  <c r="I74" i="20"/>
  <c r="I80" i="20" s="1"/>
  <c r="D35" i="20"/>
  <c r="D72" i="20" s="1"/>
  <c r="I72" i="20"/>
  <c r="AD71" i="20"/>
  <c r="N71" i="20"/>
  <c r="AC74" i="20"/>
  <c r="AC80" i="20" s="1"/>
  <c r="M74" i="20"/>
  <c r="M80" i="20" s="1"/>
  <c r="Q73" i="20"/>
  <c r="Q71" i="20" s="1"/>
  <c r="P74" i="20"/>
  <c r="P73" i="20"/>
  <c r="P71" i="20" s="1"/>
  <c r="C35" i="20"/>
  <c r="C72" i="20" s="1"/>
  <c r="H72" i="20"/>
  <c r="J79" i="20"/>
  <c r="AA71" i="20"/>
  <c r="S71" i="20"/>
  <c r="K71" i="20"/>
  <c r="Y74" i="20"/>
  <c r="AC73" i="20"/>
  <c r="AC71" i="20" s="1"/>
  <c r="M73" i="20"/>
  <c r="M71" i="20" s="1"/>
  <c r="X73" i="20"/>
  <c r="X71" i="20" s="1"/>
  <c r="D36" i="20"/>
  <c r="I73" i="20"/>
  <c r="U74" i="20"/>
  <c r="U80" i="20" s="1"/>
  <c r="Y73" i="20"/>
  <c r="Y71" i="20" s="1"/>
  <c r="Y136" i="18"/>
  <c r="D38" i="20"/>
  <c r="D75" i="20" s="1"/>
  <c r="I81" i="20"/>
  <c r="E81" i="20" s="1"/>
  <c r="Y79" i="20"/>
  <c r="U79" i="20"/>
  <c r="I79" i="20"/>
  <c r="AE78" i="20"/>
  <c r="AE77" i="20" s="1"/>
  <c r="AC78" i="20"/>
  <c r="AA78" i="20"/>
  <c r="AA77" i="20" s="1"/>
  <c r="Y78" i="20"/>
  <c r="W78" i="20"/>
  <c r="W77" i="20" s="1"/>
  <c r="U78" i="20"/>
  <c r="S78" i="20"/>
  <c r="S77" i="20" s="1"/>
  <c r="Q78" i="20"/>
  <c r="O78" i="20"/>
  <c r="O77" i="20" s="1"/>
  <c r="M78" i="20"/>
  <c r="K78" i="20"/>
  <c r="K77" i="20" s="1"/>
  <c r="Y80" i="20"/>
  <c r="Q80" i="20"/>
  <c r="P79" i="20"/>
  <c r="H79" i="20"/>
  <c r="AD78" i="20"/>
  <c r="AD77" i="20" s="1"/>
  <c r="Z78" i="20"/>
  <c r="Z77" i="20" s="1"/>
  <c r="X78" i="20"/>
  <c r="V78" i="20"/>
  <c r="V77" i="20" s="1"/>
  <c r="T78" i="20"/>
  <c r="T77" i="20" s="1"/>
  <c r="N78" i="20"/>
  <c r="N77" i="20" s="1"/>
  <c r="L78" i="20"/>
  <c r="L77" i="20" s="1"/>
  <c r="J78" i="20"/>
  <c r="J77" i="20" s="1"/>
  <c r="D19" i="22"/>
  <c r="C38" i="20"/>
  <c r="C75" i="20" s="1"/>
  <c r="H81" i="20"/>
  <c r="P80" i="20"/>
  <c r="H80" i="20"/>
  <c r="R78" i="20"/>
  <c r="P78" i="20"/>
  <c r="P77" i="20" s="1"/>
  <c r="H41" i="18"/>
  <c r="H143" i="18" s="1"/>
  <c r="H154" i="18" s="1"/>
  <c r="H150" i="18" s="1"/>
  <c r="C18" i="20"/>
  <c r="C17" i="20" s="1"/>
  <c r="G56" i="18"/>
  <c r="N152" i="18"/>
  <c r="N148" i="18" s="1"/>
  <c r="Y38" i="18"/>
  <c r="F108" i="18"/>
  <c r="F113" i="18"/>
  <c r="G19" i="22"/>
  <c r="U154" i="18"/>
  <c r="U150" i="18" s="1"/>
  <c r="Z136" i="18"/>
  <c r="G26" i="20"/>
  <c r="F103" i="18"/>
  <c r="F18" i="22"/>
  <c r="D12" i="22"/>
  <c r="G71" i="18"/>
  <c r="M154" i="18"/>
  <c r="M150" i="18" s="1"/>
  <c r="R154" i="18"/>
  <c r="R150" i="18" s="1"/>
  <c r="G28" i="18"/>
  <c r="Y43" i="18"/>
  <c r="D67" i="19"/>
  <c r="AD38" i="19"/>
  <c r="T138" i="18"/>
  <c r="AB140" i="18"/>
  <c r="F118" i="18"/>
  <c r="I7" i="22"/>
  <c r="M159" i="21"/>
  <c r="M158" i="21" s="1"/>
  <c r="G129" i="21"/>
  <c r="F12" i="18"/>
  <c r="G17" i="18"/>
  <c r="X154" i="18"/>
  <c r="X150" i="18" s="1"/>
  <c r="AB136" i="18"/>
  <c r="AB135" i="18" s="1"/>
  <c r="P136" i="18"/>
  <c r="P135" i="18" s="1"/>
  <c r="J152" i="18"/>
  <c r="J148" i="18" s="1"/>
  <c r="K159" i="21"/>
  <c r="K154" i="21" s="1"/>
  <c r="E22" i="20"/>
  <c r="F22" i="20" s="1"/>
  <c r="G40" i="21"/>
  <c r="F83" i="18"/>
  <c r="G88" i="18"/>
  <c r="F123" i="18"/>
  <c r="G73" i="18"/>
  <c r="F12" i="22"/>
  <c r="AA154" i="18"/>
  <c r="AA150" i="18" s="1"/>
  <c r="Q154" i="18"/>
  <c r="Q150" i="18" s="1"/>
  <c r="AB152" i="18"/>
  <c r="X136" i="18"/>
  <c r="X135" i="18" s="1"/>
  <c r="E46" i="18"/>
  <c r="E41" i="18" s="1"/>
  <c r="G12" i="18"/>
  <c r="G128" i="21"/>
  <c r="AE138" i="18"/>
  <c r="W154" i="18"/>
  <c r="W150" i="18" s="1"/>
  <c r="K154" i="18"/>
  <c r="K150" i="18" s="1"/>
  <c r="Y140" i="18"/>
  <c r="I152" i="18"/>
  <c r="I148" i="18" s="1"/>
  <c r="AB138" i="18"/>
  <c r="V138" i="18"/>
  <c r="L138" i="18"/>
  <c r="AD136" i="18"/>
  <c r="V136" i="18"/>
  <c r="L152" i="18"/>
  <c r="G18" i="22"/>
  <c r="F55" i="18"/>
  <c r="B38" i="20"/>
  <c r="B75" i="20" s="1"/>
  <c r="G16" i="19"/>
  <c r="C41" i="18"/>
  <c r="C143" i="18" s="1"/>
  <c r="I138" i="18"/>
  <c r="I154" i="18"/>
  <c r="I150" i="18" s="1"/>
  <c r="G25" i="20"/>
  <c r="H17" i="20"/>
  <c r="AC138" i="18"/>
  <c r="S138" i="18"/>
  <c r="Z138" i="18"/>
  <c r="P138" i="18"/>
  <c r="R136" i="18"/>
  <c r="E62" i="19"/>
  <c r="G62" i="19" s="1"/>
  <c r="X34" i="20"/>
  <c r="G70" i="18"/>
  <c r="F130" i="18"/>
  <c r="F58" i="18"/>
  <c r="F16" i="22"/>
  <c r="G130" i="18"/>
  <c r="D18" i="20"/>
  <c r="D17" i="20" s="1"/>
  <c r="Z137" i="18"/>
  <c r="Z149" i="18" s="1"/>
  <c r="N137" i="18"/>
  <c r="N149" i="18" s="1"/>
  <c r="Y154" i="18"/>
  <c r="Y150" i="18" s="1"/>
  <c r="L140" i="18"/>
  <c r="F40" i="21"/>
  <c r="F88" i="18"/>
  <c r="F70" i="18"/>
  <c r="F43" i="22"/>
  <c r="B37" i="20"/>
  <c r="F54" i="18"/>
  <c r="G58" i="18"/>
  <c r="C157" i="18"/>
  <c r="C155" i="18" s="1"/>
  <c r="F69" i="18"/>
  <c r="F16" i="19"/>
  <c r="F98" i="18"/>
  <c r="F10" i="21"/>
  <c r="G23" i="20"/>
  <c r="D9" i="19"/>
  <c r="P140" i="18"/>
  <c r="F9" i="20"/>
  <c r="E41" i="19"/>
  <c r="E63" i="19" s="1"/>
  <c r="D76" i="19"/>
  <c r="G113" i="18"/>
  <c r="L7" i="22"/>
  <c r="G108" i="21"/>
  <c r="G106" i="21" s="1"/>
  <c r="F78" i="18"/>
  <c r="B45" i="18"/>
  <c r="B40" i="18" s="1"/>
  <c r="D54" i="19"/>
  <c r="F131" i="21"/>
  <c r="W43" i="18"/>
  <c r="E63" i="18"/>
  <c r="D16" i="19"/>
  <c r="F93" i="18"/>
  <c r="G8" i="20"/>
  <c r="B54" i="19"/>
  <c r="G55" i="18"/>
  <c r="G83" i="18"/>
  <c r="F36" i="22"/>
  <c r="C121" i="21"/>
  <c r="C120" i="21"/>
  <c r="E38" i="20"/>
  <c r="E75" i="20" s="1"/>
  <c r="C157" i="21"/>
  <c r="J63" i="19"/>
  <c r="J77" i="19" s="1"/>
  <c r="H34" i="20"/>
  <c r="V137" i="18"/>
  <c r="V149" i="18" s="1"/>
  <c r="W136" i="18"/>
  <c r="G34" i="18"/>
  <c r="R140" i="18"/>
  <c r="P7" i="22"/>
  <c r="V38" i="18"/>
  <c r="F71" i="18"/>
  <c r="F73" i="18"/>
  <c r="F55" i="19"/>
  <c r="G55" i="21"/>
  <c r="C118" i="21"/>
  <c r="E9" i="19"/>
  <c r="G9" i="19" s="1"/>
  <c r="E35" i="20"/>
  <c r="E72" i="20" s="1"/>
  <c r="F31" i="19"/>
  <c r="Z63" i="19"/>
  <c r="Z77" i="19" s="1"/>
  <c r="O138" i="18"/>
  <c r="W140" i="18"/>
  <c r="I34" i="20"/>
  <c r="V140" i="18"/>
  <c r="R38" i="18"/>
  <c r="F28" i="20"/>
  <c r="E36" i="20"/>
  <c r="R137" i="18"/>
  <c r="R149" i="18" s="1"/>
  <c r="J137" i="18"/>
  <c r="J149" i="18" s="1"/>
  <c r="F34" i="18"/>
  <c r="J140" i="18"/>
  <c r="G9" i="20"/>
  <c r="G36" i="22"/>
  <c r="J38" i="18"/>
  <c r="B119" i="21"/>
  <c r="M39" i="18"/>
  <c r="M141" i="18" s="1"/>
  <c r="M152" i="18" s="1"/>
  <c r="U140" i="18"/>
  <c r="E37" i="20"/>
  <c r="C119" i="21"/>
  <c r="F127" i="21"/>
  <c r="B120" i="21"/>
  <c r="G54" i="21"/>
  <c r="G28" i="20"/>
  <c r="F15" i="22"/>
  <c r="B35" i="20"/>
  <c r="B72" i="20" s="1"/>
  <c r="G69" i="18"/>
  <c r="AD140" i="18"/>
  <c r="F8" i="20"/>
  <c r="D127" i="21"/>
  <c r="B18" i="20"/>
  <c r="B17" i="20" s="1"/>
  <c r="V38" i="19"/>
  <c r="AD137" i="18"/>
  <c r="AD149" i="18" s="1"/>
  <c r="U136" i="18"/>
  <c r="U135" i="18" s="1"/>
  <c r="AD138" i="18"/>
  <c r="N138" i="18"/>
  <c r="X140" i="18"/>
  <c r="F24" i="20"/>
  <c r="G31" i="19"/>
  <c r="F24" i="19"/>
  <c r="AB7" i="22"/>
  <c r="C162" i="21"/>
  <c r="Z38" i="18"/>
  <c r="U38" i="18"/>
  <c r="D69" i="18"/>
  <c r="D68" i="18" s="1"/>
  <c r="F132" i="18"/>
  <c r="W137" i="18"/>
  <c r="W149" i="18" s="1"/>
  <c r="E68" i="18"/>
  <c r="G68" i="18" s="1"/>
  <c r="E54" i="19"/>
  <c r="G54" i="19" s="1"/>
  <c r="Z140" i="18"/>
  <c r="T7" i="22"/>
  <c r="B9" i="22"/>
  <c r="B63" i="18"/>
  <c r="U43" i="18"/>
  <c r="AA118" i="21"/>
  <c r="AA117" i="21" s="1"/>
  <c r="N121" i="21"/>
  <c r="N117" i="21" s="1"/>
  <c r="U118" i="21"/>
  <c r="U117" i="21" s="1"/>
  <c r="S118" i="21"/>
  <c r="S117" i="21" s="1"/>
  <c r="Q118" i="21"/>
  <c r="Q117" i="21" s="1"/>
  <c r="AB118" i="21"/>
  <c r="K118" i="21"/>
  <c r="K117" i="21" s="1"/>
  <c r="R118" i="21"/>
  <c r="R117" i="21" s="1"/>
  <c r="AC118" i="21"/>
  <c r="AC117" i="21" s="1"/>
  <c r="M118" i="21"/>
  <c r="M117" i="21" s="1"/>
  <c r="AE118" i="21"/>
  <c r="AE117" i="21" s="1"/>
  <c r="AD121" i="21"/>
  <c r="Y118" i="21"/>
  <c r="Y117" i="21" s="1"/>
  <c r="F20" i="18"/>
  <c r="B36" i="20"/>
  <c r="G43" i="22"/>
  <c r="AD38" i="18"/>
  <c r="C146" i="18"/>
  <c r="C145" i="18" s="1"/>
  <c r="C129" i="18"/>
  <c r="AC43" i="18"/>
  <c r="AC39" i="18"/>
  <c r="B53" i="18"/>
  <c r="F46" i="21"/>
  <c r="D14" i="20"/>
  <c r="F108" i="21"/>
  <c r="F106" i="21" s="1"/>
  <c r="E146" i="18"/>
  <c r="E145" i="18" s="1"/>
  <c r="E129" i="18"/>
  <c r="G129" i="18" s="1"/>
  <c r="C38" i="19"/>
  <c r="G48" i="18"/>
  <c r="H7" i="22"/>
  <c r="B146" i="18"/>
  <c r="B145" i="18" s="1"/>
  <c r="B129" i="18"/>
  <c r="D146" i="18"/>
  <c r="D145" i="18" s="1"/>
  <c r="D129" i="18"/>
  <c r="F17" i="22"/>
  <c r="B8" i="22"/>
  <c r="B106" i="21"/>
  <c r="G46" i="21"/>
  <c r="E53" i="18"/>
  <c r="G14" i="22"/>
  <c r="G54" i="18"/>
  <c r="N140" i="18"/>
  <c r="X7" i="22"/>
  <c r="R159" i="21"/>
  <c r="R158" i="21" s="1"/>
  <c r="E58" i="21"/>
  <c r="G22" i="21"/>
  <c r="I148" i="21"/>
  <c r="G131" i="21"/>
  <c r="D54" i="21"/>
  <c r="C125" i="21"/>
  <c r="F18" i="21"/>
  <c r="G28" i="21"/>
  <c r="B53" i="21"/>
  <c r="B159" i="21" s="1"/>
  <c r="F22" i="21"/>
  <c r="F34" i="21"/>
  <c r="G60" i="21"/>
  <c r="F126" i="21"/>
  <c r="D126" i="21"/>
  <c r="G126" i="21"/>
  <c r="H148" i="21"/>
  <c r="F128" i="21"/>
  <c r="F129" i="21"/>
  <c r="E125" i="21"/>
  <c r="B125" i="21"/>
  <c r="D108" i="21"/>
  <c r="E106" i="21"/>
  <c r="Q159" i="21"/>
  <c r="Q154" i="21" s="1"/>
  <c r="Q153" i="21" s="1"/>
  <c r="AC159" i="21"/>
  <c r="AC158" i="21" s="1"/>
  <c r="U159" i="21"/>
  <c r="U154" i="21" s="1"/>
  <c r="U153" i="21" s="1"/>
  <c r="I159" i="21"/>
  <c r="I154" i="21" s="1"/>
  <c r="N162" i="21"/>
  <c r="N157" i="21" s="1"/>
  <c r="Y159" i="21"/>
  <c r="Y154" i="21" s="1"/>
  <c r="Y153" i="21" s="1"/>
  <c r="AD162" i="21"/>
  <c r="AD157" i="21" s="1"/>
  <c r="G56" i="21"/>
  <c r="AB159" i="21"/>
  <c r="AB158" i="21" s="1"/>
  <c r="F59" i="21"/>
  <c r="F55" i="21"/>
  <c r="AA159" i="21"/>
  <c r="AA154" i="21" s="1"/>
  <c r="AE159" i="21"/>
  <c r="AE154" i="21" s="1"/>
  <c r="AE153" i="21" s="1"/>
  <c r="F64" i="21"/>
  <c r="G64" i="21"/>
  <c r="B16" i="21"/>
  <c r="W117" i="21"/>
  <c r="G34" i="21"/>
  <c r="F28" i="21"/>
  <c r="E160" i="21"/>
  <c r="O117" i="21"/>
  <c r="G18" i="21"/>
  <c r="D18" i="21"/>
  <c r="E119" i="21"/>
  <c r="E155" i="21"/>
  <c r="D155" i="21" s="1"/>
  <c r="G11" i="21"/>
  <c r="T141" i="18"/>
  <c r="T38" i="18"/>
  <c r="B157" i="18"/>
  <c r="B155" i="18" s="1"/>
  <c r="B11" i="18"/>
  <c r="D63" i="18"/>
  <c r="D73" i="18"/>
  <c r="J160" i="21"/>
  <c r="J155" i="21" s="1"/>
  <c r="C155" i="21" s="1"/>
  <c r="B68" i="18"/>
  <c r="B54" i="21"/>
  <c r="F54" i="21" s="1"/>
  <c r="D54" i="18"/>
  <c r="D53" i="18" s="1"/>
  <c r="F47" i="19"/>
  <c r="B46" i="18"/>
  <c r="J41" i="18"/>
  <c r="J143" i="18" s="1"/>
  <c r="AE43" i="18"/>
  <c r="AE39" i="18"/>
  <c r="V7" i="22"/>
  <c r="K141" i="18"/>
  <c r="K38" i="18"/>
  <c r="J52" i="21"/>
  <c r="E45" i="18"/>
  <c r="I40" i="18"/>
  <c r="O39" i="18"/>
  <c r="O43" i="18"/>
  <c r="H43" i="18"/>
  <c r="H39" i="18"/>
  <c r="B44" i="18"/>
  <c r="S43" i="18"/>
  <c r="S39" i="18"/>
  <c r="W38" i="18"/>
  <c r="B161" i="21"/>
  <c r="N38" i="18"/>
  <c r="F24" i="18"/>
  <c r="C63" i="18"/>
  <c r="Q43" i="18"/>
  <c r="Q39" i="18"/>
  <c r="C40" i="18"/>
  <c r="C142" i="18" s="1"/>
  <c r="H40" i="18"/>
  <c r="C53" i="18"/>
  <c r="E44" i="18"/>
  <c r="AA141" i="18"/>
  <c r="AA38" i="18"/>
  <c r="G47" i="19"/>
  <c r="D47" i="19"/>
  <c r="C63" i="19"/>
  <c r="C77" i="19" s="1"/>
  <c r="E157" i="18"/>
  <c r="E155" i="18" s="1"/>
  <c r="E11" i="18"/>
  <c r="C76" i="19"/>
  <c r="AD62" i="19"/>
  <c r="AD76" i="19" s="1"/>
  <c r="AD74" i="19" s="1"/>
  <c r="C160" i="21"/>
  <c r="C9" i="21"/>
  <c r="G9" i="21" s="1"/>
  <c r="C161" i="21"/>
  <c r="G59" i="21"/>
  <c r="C58" i="21"/>
  <c r="C52" i="21"/>
  <c r="B56" i="21"/>
  <c r="C22" i="20"/>
  <c r="C16" i="21"/>
  <c r="S159" i="21"/>
  <c r="S154" i="21" s="1"/>
  <c r="S153" i="21" s="1"/>
  <c r="C106" i="21"/>
  <c r="E53" i="21"/>
  <c r="E118" i="21" s="1"/>
  <c r="I52" i="21"/>
  <c r="B58" i="21"/>
  <c r="D34" i="18"/>
  <c r="D32" i="18" s="1"/>
  <c r="D14" i="18"/>
  <c r="D12" i="18"/>
  <c r="AA157" i="21"/>
  <c r="K157" i="21"/>
  <c r="B148" i="21"/>
  <c r="N62" i="19"/>
  <c r="N76" i="19" s="1"/>
  <c r="N38" i="19"/>
  <c r="W157" i="21"/>
  <c r="W153" i="21" s="1"/>
  <c r="W158" i="21"/>
  <c r="I117" i="21"/>
  <c r="AC17" i="20"/>
  <c r="U17" i="20"/>
  <c r="M17" i="20"/>
  <c r="AE67" i="19"/>
  <c r="AE38" i="19"/>
  <c r="AC67" i="19"/>
  <c r="AC38" i="19"/>
  <c r="AA67" i="19"/>
  <c r="AA38" i="19"/>
  <c r="Y67" i="19"/>
  <c r="Y38" i="19"/>
  <c r="W67" i="19"/>
  <c r="W38" i="19"/>
  <c r="U67" i="19"/>
  <c r="U38" i="19"/>
  <c r="S67" i="19"/>
  <c r="S38" i="19"/>
  <c r="Q67" i="19"/>
  <c r="Q38" i="19"/>
  <c r="O67" i="19"/>
  <c r="O38" i="19"/>
  <c r="M67" i="19"/>
  <c r="M38" i="19"/>
  <c r="K67" i="19"/>
  <c r="K38" i="19"/>
  <c r="I67" i="19"/>
  <c r="I38" i="19"/>
  <c r="AD154" i="21"/>
  <c r="Z158" i="21"/>
  <c r="Z154" i="21"/>
  <c r="Z153" i="21" s="1"/>
  <c r="X158" i="21"/>
  <c r="X154" i="21"/>
  <c r="X153" i="21" s="1"/>
  <c r="V158" i="21"/>
  <c r="V154" i="21"/>
  <c r="V153" i="21" s="1"/>
  <c r="T158" i="21"/>
  <c r="T154" i="21"/>
  <c r="T153" i="21" s="1"/>
  <c r="P158" i="21"/>
  <c r="P154" i="21"/>
  <c r="P153" i="21" s="1"/>
  <c r="N154" i="21"/>
  <c r="L158" i="21"/>
  <c r="L154" i="21"/>
  <c r="L153" i="21" s="1"/>
  <c r="J154" i="21"/>
  <c r="H158" i="21"/>
  <c r="H154" i="21"/>
  <c r="F11" i="22"/>
  <c r="D11" i="22"/>
  <c r="G11" i="22"/>
  <c r="D9" i="22"/>
  <c r="G9" i="22"/>
  <c r="F137" i="21"/>
  <c r="G137" i="21"/>
  <c r="E120" i="21"/>
  <c r="F19" i="21"/>
  <c r="D19" i="21"/>
  <c r="E161" i="21"/>
  <c r="G19" i="21"/>
  <c r="D9" i="21"/>
  <c r="D22" i="20"/>
  <c r="Y74" i="19"/>
  <c r="Y60" i="19"/>
  <c r="Q74" i="19"/>
  <c r="Q60" i="19"/>
  <c r="I74" i="19"/>
  <c r="I60" i="19"/>
  <c r="AB74" i="19"/>
  <c r="AB60" i="19"/>
  <c r="X74" i="19"/>
  <c r="X60" i="19"/>
  <c r="T74" i="19"/>
  <c r="T60" i="19"/>
  <c r="P74" i="19"/>
  <c r="P60" i="19"/>
  <c r="L74" i="19"/>
  <c r="L60" i="19"/>
  <c r="B41" i="19"/>
  <c r="AB38" i="19"/>
  <c r="T38" i="19"/>
  <c r="L38" i="19"/>
  <c r="F10" i="22"/>
  <c r="D10" i="22"/>
  <c r="G10" i="22"/>
  <c r="E7" i="22"/>
  <c r="I17" i="20"/>
  <c r="E18" i="20"/>
  <c r="AA60" i="19"/>
  <c r="AA74" i="19"/>
  <c r="S60" i="19"/>
  <c r="S74" i="19"/>
  <c r="K60" i="19"/>
  <c r="K74" i="19"/>
  <c r="W151" i="18"/>
  <c r="G8" i="22"/>
  <c r="C7" i="22"/>
  <c r="O158" i="21"/>
  <c r="R38" i="19"/>
  <c r="AD151" i="18"/>
  <c r="Z151" i="18"/>
  <c r="V151" i="18"/>
  <c r="R151" i="18"/>
  <c r="D36" i="22"/>
  <c r="D112" i="21"/>
  <c r="D94" i="21"/>
  <c r="Z117" i="21"/>
  <c r="X117" i="21"/>
  <c r="V117" i="21"/>
  <c r="T117" i="21"/>
  <c r="P117" i="21"/>
  <c r="L117" i="21"/>
  <c r="J117" i="21"/>
  <c r="H117" i="21"/>
  <c r="D131" i="21"/>
  <c r="F150" i="21"/>
  <c r="D150" i="21"/>
  <c r="G150" i="21"/>
  <c r="D88" i="21"/>
  <c r="D82" i="21"/>
  <c r="D76" i="21"/>
  <c r="D70" i="21"/>
  <c r="D62" i="21"/>
  <c r="D61" i="21"/>
  <c r="D60" i="21"/>
  <c r="D64" i="21"/>
  <c r="D59" i="21"/>
  <c r="D46" i="21"/>
  <c r="D40" i="21"/>
  <c r="D34" i="21"/>
  <c r="D28" i="21"/>
  <c r="D22" i="21"/>
  <c r="E162" i="21"/>
  <c r="F20" i="21"/>
  <c r="D20" i="21"/>
  <c r="E121" i="21"/>
  <c r="G20" i="21"/>
  <c r="F17" i="21"/>
  <c r="D17" i="21"/>
  <c r="E16" i="21"/>
  <c r="G17" i="21"/>
  <c r="AC74" i="19"/>
  <c r="AC60" i="19"/>
  <c r="U74" i="19"/>
  <c r="U60" i="19"/>
  <c r="M74" i="19"/>
  <c r="M60" i="19"/>
  <c r="H63" i="19"/>
  <c r="H77" i="19" s="1"/>
  <c r="R74" i="19"/>
  <c r="R60" i="19"/>
  <c r="X38" i="19"/>
  <c r="P38" i="19"/>
  <c r="H38" i="19"/>
  <c r="B9" i="19"/>
  <c r="O153" i="21"/>
  <c r="D137" i="21"/>
  <c r="G14" i="20"/>
  <c r="F14" i="20"/>
  <c r="AE60" i="19"/>
  <c r="AE74" i="19"/>
  <c r="W60" i="19"/>
  <c r="W74" i="19"/>
  <c r="O60" i="19"/>
  <c r="O74" i="19"/>
  <c r="Z62" i="19"/>
  <c r="V62" i="19"/>
  <c r="V76" i="19" s="1"/>
  <c r="J62" i="19"/>
  <c r="Y135" i="18"/>
  <c r="Y151" i="18"/>
  <c r="Y147" i="18"/>
  <c r="U151" i="18"/>
  <c r="U147" i="18"/>
  <c r="G12" i="22"/>
  <c r="E148" i="21"/>
  <c r="X147" i="18"/>
  <c r="X151" i="18"/>
  <c r="P147" i="18"/>
  <c r="P151" i="18"/>
  <c r="L135" i="18"/>
  <c r="M79" i="20" l="1"/>
  <c r="R77" i="20"/>
  <c r="U77" i="20"/>
  <c r="Q79" i="20"/>
  <c r="Q77" i="20" s="1"/>
  <c r="I71" i="20"/>
  <c r="B73" i="20"/>
  <c r="AB148" i="18"/>
  <c r="AB147" i="18" s="1"/>
  <c r="AC79" i="20"/>
  <c r="L148" i="18"/>
  <c r="L147" i="18" s="1"/>
  <c r="M148" i="18"/>
  <c r="M147" i="18" s="1"/>
  <c r="F155" i="18"/>
  <c r="G155" i="18"/>
  <c r="B74" i="20"/>
  <c r="D73" i="20"/>
  <c r="D71" i="20" s="1"/>
  <c r="D74" i="20"/>
  <c r="C74" i="20"/>
  <c r="G37" i="20"/>
  <c r="E74" i="20"/>
  <c r="E73" i="20"/>
  <c r="E71" i="20" s="1"/>
  <c r="X79" i="20"/>
  <c r="X77" i="20" s="1"/>
  <c r="C73" i="20"/>
  <c r="C71" i="20" s="1"/>
  <c r="B71" i="20"/>
  <c r="G72" i="20"/>
  <c r="F72" i="20"/>
  <c r="G75" i="20"/>
  <c r="F75" i="20"/>
  <c r="H71" i="20"/>
  <c r="AC77" i="20"/>
  <c r="E79" i="20"/>
  <c r="D79" i="20" s="1"/>
  <c r="M77" i="20"/>
  <c r="N151" i="18"/>
  <c r="H138" i="18"/>
  <c r="E80" i="20"/>
  <c r="D80" i="20" s="1"/>
  <c r="G38" i="20"/>
  <c r="B80" i="20"/>
  <c r="C80" i="20"/>
  <c r="C81" i="20"/>
  <c r="B81" i="20"/>
  <c r="F81" i="20" s="1"/>
  <c r="AB78" i="20"/>
  <c r="AB77" i="20" s="1"/>
  <c r="I78" i="20"/>
  <c r="Y77" i="20"/>
  <c r="D81" i="20"/>
  <c r="H78" i="20"/>
  <c r="C79" i="20"/>
  <c r="B79" i="20"/>
  <c r="M136" i="18"/>
  <c r="M135" i="18" s="1"/>
  <c r="J151" i="18"/>
  <c r="M154" i="21"/>
  <c r="M153" i="21" s="1"/>
  <c r="K153" i="21"/>
  <c r="AB151" i="18"/>
  <c r="R135" i="18"/>
  <c r="E76" i="19"/>
  <c r="G76" i="19" s="1"/>
  <c r="Z135" i="18"/>
  <c r="K158" i="21"/>
  <c r="G46" i="18"/>
  <c r="L151" i="18"/>
  <c r="G35" i="20"/>
  <c r="F38" i="20"/>
  <c r="G22" i="20"/>
  <c r="G63" i="18"/>
  <c r="D46" i="18"/>
  <c r="D41" i="18" s="1"/>
  <c r="D143" i="18" s="1"/>
  <c r="D154" i="18" s="1"/>
  <c r="D150" i="18" s="1"/>
  <c r="E60" i="19"/>
  <c r="V135" i="18"/>
  <c r="G119" i="21"/>
  <c r="AD135" i="18"/>
  <c r="N135" i="18"/>
  <c r="E67" i="19"/>
  <c r="G67" i="19" s="1"/>
  <c r="F63" i="18"/>
  <c r="D7" i="22"/>
  <c r="F53" i="18"/>
  <c r="W135" i="18"/>
  <c r="N60" i="19"/>
  <c r="R147" i="18"/>
  <c r="Z147" i="18"/>
  <c r="W147" i="18"/>
  <c r="D38" i="19"/>
  <c r="E34" i="20"/>
  <c r="F37" i="20"/>
  <c r="M151" i="18"/>
  <c r="N147" i="18"/>
  <c r="AD147" i="18"/>
  <c r="G53" i="18"/>
  <c r="F45" i="18"/>
  <c r="E77" i="19"/>
  <c r="G77" i="19" s="1"/>
  <c r="V147" i="18"/>
  <c r="AB154" i="21"/>
  <c r="AB153" i="21" s="1"/>
  <c r="G41" i="19"/>
  <c r="M38" i="18"/>
  <c r="M140" i="18"/>
  <c r="E38" i="19"/>
  <c r="G38" i="19" s="1"/>
  <c r="B34" i="20"/>
  <c r="J147" i="18"/>
  <c r="F54" i="19"/>
  <c r="F129" i="18"/>
  <c r="D125" i="21"/>
  <c r="J135" i="18"/>
  <c r="C154" i="21"/>
  <c r="C153" i="21" s="1"/>
  <c r="F9" i="19"/>
  <c r="B7" i="22"/>
  <c r="F7" i="22" s="1"/>
  <c r="B121" i="21"/>
  <c r="F121" i="21" s="1"/>
  <c r="B118" i="21"/>
  <c r="F36" i="20"/>
  <c r="F35" i="20"/>
  <c r="F14" i="22"/>
  <c r="R154" i="21"/>
  <c r="R153" i="21" s="1"/>
  <c r="F68" i="18"/>
  <c r="AD60" i="19"/>
  <c r="G36" i="20"/>
  <c r="F9" i="22"/>
  <c r="AB117" i="21"/>
  <c r="G125" i="21"/>
  <c r="C138" i="18"/>
  <c r="C154" i="18"/>
  <c r="C150" i="18" s="1"/>
  <c r="G58" i="21"/>
  <c r="B52" i="21"/>
  <c r="AC141" i="18"/>
  <c r="AC38" i="18"/>
  <c r="B157" i="21"/>
  <c r="D11" i="20"/>
  <c r="B155" i="21"/>
  <c r="F155" i="21" s="1"/>
  <c r="AA158" i="21"/>
  <c r="F8" i="22"/>
  <c r="G145" i="18"/>
  <c r="F145" i="18"/>
  <c r="AE158" i="21"/>
  <c r="F58" i="21"/>
  <c r="D106" i="21"/>
  <c r="D119" i="21"/>
  <c r="I158" i="21"/>
  <c r="N153" i="21"/>
  <c r="F125" i="21"/>
  <c r="AC154" i="21"/>
  <c r="AC153" i="21" s="1"/>
  <c r="Q158" i="21"/>
  <c r="U158" i="21"/>
  <c r="C117" i="21"/>
  <c r="J153" i="21"/>
  <c r="N158" i="21"/>
  <c r="B160" i="21"/>
  <c r="F160" i="21" s="1"/>
  <c r="AD117" i="21"/>
  <c r="AA153" i="21"/>
  <c r="Y158" i="21"/>
  <c r="AD153" i="21"/>
  <c r="AD158" i="21"/>
  <c r="E159" i="21"/>
  <c r="F159" i="21" s="1"/>
  <c r="J158" i="21"/>
  <c r="G160" i="21"/>
  <c r="F119" i="21"/>
  <c r="S158" i="21"/>
  <c r="D160" i="21"/>
  <c r="G155" i="21"/>
  <c r="C74" i="19"/>
  <c r="S141" i="18"/>
  <c r="S38" i="18"/>
  <c r="E143" i="18"/>
  <c r="G41" i="18"/>
  <c r="F46" i="18"/>
  <c r="B41" i="18"/>
  <c r="B143" i="18" s="1"/>
  <c r="D58" i="21"/>
  <c r="H142" i="18"/>
  <c r="H153" i="18" s="1"/>
  <c r="H137" i="18"/>
  <c r="H149" i="18" s="1"/>
  <c r="C39" i="18"/>
  <c r="C43" i="18"/>
  <c r="AE141" i="18"/>
  <c r="AE38" i="18"/>
  <c r="AA152" i="18"/>
  <c r="AA148" i="18" s="1"/>
  <c r="AA140" i="18"/>
  <c r="AA136" i="18"/>
  <c r="AA135" i="18" s="1"/>
  <c r="C153" i="18"/>
  <c r="C149" i="18" s="1"/>
  <c r="C137" i="18"/>
  <c r="B39" i="18"/>
  <c r="B141" i="18" s="1"/>
  <c r="B152" i="18" s="1"/>
  <c r="B148" i="18" s="1"/>
  <c r="B43" i="18"/>
  <c r="I142" i="18"/>
  <c r="I38" i="18"/>
  <c r="I137" i="18"/>
  <c r="K152" i="18"/>
  <c r="K148" i="18" s="1"/>
  <c r="K140" i="18"/>
  <c r="K136" i="18"/>
  <c r="K135" i="18" s="1"/>
  <c r="T136" i="18"/>
  <c r="T135" i="18" s="1"/>
  <c r="T152" i="18"/>
  <c r="T148" i="18" s="1"/>
  <c r="T140" i="18"/>
  <c r="E43" i="18"/>
  <c r="F44" i="18"/>
  <c r="G44" i="18"/>
  <c r="E39" i="18"/>
  <c r="D44" i="18"/>
  <c r="Q141" i="18"/>
  <c r="Q38" i="18"/>
  <c r="H141" i="18"/>
  <c r="H38" i="18"/>
  <c r="O141" i="18"/>
  <c r="O38" i="18"/>
  <c r="G45" i="18"/>
  <c r="E40" i="18"/>
  <c r="F40" i="18" s="1"/>
  <c r="D45" i="18"/>
  <c r="D40" i="18" s="1"/>
  <c r="J154" i="18"/>
  <c r="J150" i="18" s="1"/>
  <c r="J138" i="18"/>
  <c r="D60" i="19"/>
  <c r="D74" i="19"/>
  <c r="N74" i="19"/>
  <c r="C60" i="19"/>
  <c r="G63" i="19"/>
  <c r="F11" i="18"/>
  <c r="G11" i="18"/>
  <c r="G157" i="18"/>
  <c r="F157" i="18"/>
  <c r="D148" i="21"/>
  <c r="G53" i="21"/>
  <c r="F53" i="21"/>
  <c r="D53" i="21"/>
  <c r="D52" i="21" s="1"/>
  <c r="E52" i="21"/>
  <c r="B142" i="18"/>
  <c r="C34" i="20"/>
  <c r="C159" i="21"/>
  <c r="C158" i="21" s="1"/>
  <c r="B162" i="21"/>
  <c r="F56" i="21"/>
  <c r="D157" i="18"/>
  <c r="D155" i="18" s="1"/>
  <c r="D11" i="18"/>
  <c r="J76" i="19"/>
  <c r="J74" i="19" s="1"/>
  <c r="J60" i="19"/>
  <c r="Z76" i="19"/>
  <c r="Z74" i="19" s="1"/>
  <c r="Z60" i="19"/>
  <c r="E157" i="21"/>
  <c r="F148" i="21"/>
  <c r="G148" i="21"/>
  <c r="B67" i="19"/>
  <c r="B38" i="19"/>
  <c r="V60" i="19"/>
  <c r="D162" i="21"/>
  <c r="D121" i="21"/>
  <c r="G162" i="21"/>
  <c r="I153" i="21"/>
  <c r="G7" i="22"/>
  <c r="H60" i="19"/>
  <c r="H74" i="19"/>
  <c r="F161" i="21"/>
  <c r="G161" i="21"/>
  <c r="V74" i="19"/>
  <c r="F16" i="21"/>
  <c r="G16" i="21"/>
  <c r="D16" i="21"/>
  <c r="G118" i="21"/>
  <c r="E117" i="21"/>
  <c r="G121" i="21"/>
  <c r="B62" i="19"/>
  <c r="F18" i="20"/>
  <c r="G18" i="20"/>
  <c r="E17" i="20"/>
  <c r="F41" i="19"/>
  <c r="B63" i="19"/>
  <c r="D34" i="20"/>
  <c r="D161" i="21"/>
  <c r="D120" i="21"/>
  <c r="F120" i="21"/>
  <c r="G120" i="21"/>
  <c r="H153" i="21"/>
  <c r="F79" i="20" l="1"/>
  <c r="F73" i="20"/>
  <c r="F74" i="20"/>
  <c r="F71" i="20"/>
  <c r="G71" i="20"/>
  <c r="G74" i="20"/>
  <c r="G73" i="20"/>
  <c r="G79" i="20"/>
  <c r="F80" i="20"/>
  <c r="G80" i="20" s="1"/>
  <c r="H77" i="20"/>
  <c r="C78" i="20"/>
  <c r="C77" i="20" s="1"/>
  <c r="B78" i="20"/>
  <c r="B77" i="20" s="1"/>
  <c r="E78" i="20"/>
  <c r="I77" i="20"/>
  <c r="G81" i="20"/>
  <c r="F34" i="20"/>
  <c r="F67" i="19"/>
  <c r="D138" i="18"/>
  <c r="G34" i="20"/>
  <c r="B117" i="21"/>
  <c r="F117" i="21" s="1"/>
  <c r="F38" i="19"/>
  <c r="G60" i="19"/>
  <c r="B154" i="21"/>
  <c r="B153" i="21" s="1"/>
  <c r="AC152" i="18"/>
  <c r="AC148" i="18" s="1"/>
  <c r="AC140" i="18"/>
  <c r="AC136" i="18"/>
  <c r="AC135" i="18" s="1"/>
  <c r="F43" i="18"/>
  <c r="E154" i="21"/>
  <c r="G159" i="21"/>
  <c r="F118" i="21"/>
  <c r="E158" i="21"/>
  <c r="G158" i="21" s="1"/>
  <c r="B158" i="21"/>
  <c r="D159" i="21"/>
  <c r="D158" i="21" s="1"/>
  <c r="F162" i="21"/>
  <c r="E142" i="18"/>
  <c r="F142" i="18" s="1"/>
  <c r="E137" i="18"/>
  <c r="G137" i="18" s="1"/>
  <c r="G40" i="18"/>
  <c r="D43" i="18"/>
  <c r="D39" i="18"/>
  <c r="AA151" i="18"/>
  <c r="AA147" i="18"/>
  <c r="H152" i="18"/>
  <c r="H148" i="18" s="1"/>
  <c r="H140" i="18"/>
  <c r="H136" i="18"/>
  <c r="H135" i="18" s="1"/>
  <c r="G39" i="18"/>
  <c r="F39" i="18"/>
  <c r="E38" i="18"/>
  <c r="E141" i="18"/>
  <c r="I153" i="18"/>
  <c r="I151" i="18" s="1"/>
  <c r="I140" i="18"/>
  <c r="S152" i="18"/>
  <c r="S148" i="18" s="1"/>
  <c r="S140" i="18"/>
  <c r="S136" i="18"/>
  <c r="S135" i="18" s="1"/>
  <c r="B38" i="18"/>
  <c r="T147" i="18"/>
  <c r="T151" i="18"/>
  <c r="K151" i="18"/>
  <c r="K147" i="18"/>
  <c r="G43" i="18"/>
  <c r="F41" i="18"/>
  <c r="D142" i="18"/>
  <c r="D153" i="18" s="1"/>
  <c r="D137" i="18"/>
  <c r="O140" i="18"/>
  <c r="O136" i="18"/>
  <c r="O135" i="18" s="1"/>
  <c r="O152" i="18"/>
  <c r="O148" i="18" s="1"/>
  <c r="Q136" i="18"/>
  <c r="Q135" i="18" s="1"/>
  <c r="Q152" i="18"/>
  <c r="Q148" i="18" s="1"/>
  <c r="Q140" i="18"/>
  <c r="I149" i="18"/>
  <c r="I147" i="18" s="1"/>
  <c r="I135" i="18"/>
  <c r="B136" i="18"/>
  <c r="AE140" i="18"/>
  <c r="AE136" i="18"/>
  <c r="AE135" i="18" s="1"/>
  <c r="AE152" i="18"/>
  <c r="AE148" i="18" s="1"/>
  <c r="C141" i="18"/>
  <c r="C140" i="18" s="1"/>
  <c r="C38" i="18"/>
  <c r="B154" i="18"/>
  <c r="B150" i="18" s="1"/>
  <c r="B138" i="18"/>
  <c r="E154" i="18"/>
  <c r="G143" i="18"/>
  <c r="E138" i="18"/>
  <c r="F143" i="18"/>
  <c r="B60" i="19"/>
  <c r="F60" i="19" s="1"/>
  <c r="D118" i="21"/>
  <c r="D117" i="21" s="1"/>
  <c r="D149" i="18"/>
  <c r="B140" i="18"/>
  <c r="B153" i="18"/>
  <c r="B137" i="18"/>
  <c r="F52" i="21"/>
  <c r="G52" i="21"/>
  <c r="D157" i="21"/>
  <c r="G157" i="21"/>
  <c r="F157" i="21"/>
  <c r="B77" i="19"/>
  <c r="F77" i="19" s="1"/>
  <c r="F63" i="19"/>
  <c r="F17" i="20"/>
  <c r="G17" i="20"/>
  <c r="B76" i="19"/>
  <c r="F62" i="19"/>
  <c r="G117" i="21"/>
  <c r="F154" i="21" l="1"/>
  <c r="F38" i="18"/>
  <c r="E77" i="20"/>
  <c r="F77" i="20" s="1"/>
  <c r="G77" i="20" s="1"/>
  <c r="D78" i="20"/>
  <c r="D77" i="20" s="1"/>
  <c r="F78" i="20"/>
  <c r="G78" i="20" s="1"/>
  <c r="E74" i="19"/>
  <c r="G74" i="19" s="1"/>
  <c r="E153" i="21"/>
  <c r="G153" i="21" s="1"/>
  <c r="D154" i="21"/>
  <c r="D153" i="21" s="1"/>
  <c r="G154" i="21"/>
  <c r="G38" i="18"/>
  <c r="AC151" i="18"/>
  <c r="AC147" i="18"/>
  <c r="F158" i="21"/>
  <c r="H147" i="18"/>
  <c r="H151" i="18"/>
  <c r="E150" i="18"/>
  <c r="F154" i="18"/>
  <c r="G154" i="18"/>
  <c r="C152" i="18"/>
  <c r="C148" i="18" s="1"/>
  <c r="C136" i="18"/>
  <c r="C135" i="18" s="1"/>
  <c r="O147" i="18"/>
  <c r="O151" i="18"/>
  <c r="AE147" i="18"/>
  <c r="AE151" i="18"/>
  <c r="Q151" i="18"/>
  <c r="Q147" i="18"/>
  <c r="E152" i="18"/>
  <c r="E148" i="18" s="1"/>
  <c r="G141" i="18"/>
  <c r="E140" i="18"/>
  <c r="F140" i="18" s="1"/>
  <c r="E136" i="18"/>
  <c r="F141" i="18"/>
  <c r="G138" i="18"/>
  <c r="F138" i="18"/>
  <c r="S151" i="18"/>
  <c r="S147" i="18"/>
  <c r="D141" i="18"/>
  <c r="D38" i="18"/>
  <c r="E153" i="18"/>
  <c r="F153" i="18" s="1"/>
  <c r="G142" i="18"/>
  <c r="B149" i="18"/>
  <c r="B147" i="18" s="1"/>
  <c r="B151" i="18"/>
  <c r="B135" i="18"/>
  <c r="F137" i="18"/>
  <c r="F76" i="19"/>
  <c r="B74" i="19"/>
  <c r="F153" i="21" l="1"/>
  <c r="F148" i="18"/>
  <c r="G148" i="18"/>
  <c r="F74" i="19"/>
  <c r="D140" i="18"/>
  <c r="D152" i="18"/>
  <c r="D148" i="18" s="1"/>
  <c r="D136" i="18"/>
  <c r="D135" i="18" s="1"/>
  <c r="F152" i="18"/>
  <c r="G152" i="18"/>
  <c r="E151" i="18"/>
  <c r="G140" i="18"/>
  <c r="G150" i="18"/>
  <c r="F150" i="18"/>
  <c r="G153" i="18"/>
  <c r="E149" i="18"/>
  <c r="E135" i="18"/>
  <c r="F136" i="18"/>
  <c r="G136" i="18"/>
  <c r="C147" i="18"/>
  <c r="C151" i="18"/>
  <c r="AE115" i="17"/>
  <c r="AD115" i="17"/>
  <c r="AC115" i="17"/>
  <c r="AB115" i="17"/>
  <c r="AA115" i="17"/>
  <c r="Z115" i="17"/>
  <c r="Y115" i="17"/>
  <c r="X115" i="17"/>
  <c r="W115" i="17"/>
  <c r="V115" i="17"/>
  <c r="U115" i="17"/>
  <c r="T115" i="17"/>
  <c r="S115" i="17"/>
  <c r="R115" i="17"/>
  <c r="Q115" i="17"/>
  <c r="P115" i="17"/>
  <c r="O115" i="17"/>
  <c r="O126" i="17" s="1"/>
  <c r="N115" i="17"/>
  <c r="M115" i="17"/>
  <c r="L115" i="17"/>
  <c r="K115" i="17"/>
  <c r="K126" i="17" s="1"/>
  <c r="J115" i="17"/>
  <c r="I115" i="17"/>
  <c r="H115" i="17"/>
  <c r="AE114" i="17"/>
  <c r="AD114" i="17"/>
  <c r="AD125" i="17" s="1"/>
  <c r="AC114" i="17"/>
  <c r="AB114" i="17"/>
  <c r="AB125" i="17" s="1"/>
  <c r="AA114" i="17"/>
  <c r="Z114" i="17"/>
  <c r="Z125" i="17" s="1"/>
  <c r="Y114" i="17"/>
  <c r="X114" i="17"/>
  <c r="X125" i="17" s="1"/>
  <c r="W114" i="17"/>
  <c r="V114" i="17"/>
  <c r="V125" i="17" s="1"/>
  <c r="U114" i="17"/>
  <c r="T114" i="17"/>
  <c r="T125" i="17" s="1"/>
  <c r="S114" i="17"/>
  <c r="R114" i="17"/>
  <c r="R125" i="17" s="1"/>
  <c r="Q114" i="17"/>
  <c r="P114" i="17"/>
  <c r="P125" i="17" s="1"/>
  <c r="O114" i="17"/>
  <c r="N114" i="17"/>
  <c r="N125" i="17" s="1"/>
  <c r="M114" i="17"/>
  <c r="L114" i="17"/>
  <c r="L125" i="17" s="1"/>
  <c r="K114" i="17"/>
  <c r="J114" i="17"/>
  <c r="J125" i="17" s="1"/>
  <c r="I114" i="17"/>
  <c r="H114" i="17"/>
  <c r="H125" i="17" s="1"/>
  <c r="AE113" i="17"/>
  <c r="AE124" i="17" s="1"/>
  <c r="AD113" i="17"/>
  <c r="AC113" i="17"/>
  <c r="AB113" i="17"/>
  <c r="AA113" i="17"/>
  <c r="AA124" i="17" s="1"/>
  <c r="Z113" i="17"/>
  <c r="Y113" i="17"/>
  <c r="X113" i="17"/>
  <c r="W113" i="17"/>
  <c r="W124" i="17" s="1"/>
  <c r="V113" i="17"/>
  <c r="U113" i="17"/>
  <c r="T113" i="17"/>
  <c r="S113" i="17"/>
  <c r="S124" i="17" s="1"/>
  <c r="R113" i="17"/>
  <c r="Q113" i="17"/>
  <c r="Q124" i="17" s="1"/>
  <c r="P113" i="17"/>
  <c r="O113" i="17"/>
  <c r="O124" i="17" s="1"/>
  <c r="N113" i="17"/>
  <c r="M113" i="17"/>
  <c r="M124" i="17" s="1"/>
  <c r="L113" i="17"/>
  <c r="K113" i="17"/>
  <c r="K124" i="17" s="1"/>
  <c r="J113" i="17"/>
  <c r="I113" i="17"/>
  <c r="I124" i="17" s="1"/>
  <c r="H113" i="17"/>
  <c r="AE112" i="17"/>
  <c r="AD112" i="17"/>
  <c r="AC112" i="17"/>
  <c r="AB112" i="17"/>
  <c r="AA112" i="17"/>
  <c r="Z112" i="17"/>
  <c r="Y112" i="17"/>
  <c r="X112" i="17"/>
  <c r="W112" i="17"/>
  <c r="V112" i="17"/>
  <c r="U112" i="17"/>
  <c r="T112" i="17"/>
  <c r="T111" i="17" s="1"/>
  <c r="S112" i="17"/>
  <c r="R112" i="17"/>
  <c r="Q112" i="17"/>
  <c r="P112" i="17"/>
  <c r="O112" i="17"/>
  <c r="N112" i="17"/>
  <c r="M112" i="17"/>
  <c r="L112" i="17"/>
  <c r="L111" i="17" s="1"/>
  <c r="K112" i="17"/>
  <c r="J112" i="17"/>
  <c r="I112" i="17"/>
  <c r="H112" i="17"/>
  <c r="S126" i="17"/>
  <c r="X105" i="17"/>
  <c r="W105" i="17"/>
  <c r="S105" i="17"/>
  <c r="P105" i="17"/>
  <c r="O105" i="17"/>
  <c r="K105" i="17"/>
  <c r="H105" i="17"/>
  <c r="AE105" i="17"/>
  <c r="AA105" i="17"/>
  <c r="E104" i="17"/>
  <c r="D104" i="17" s="1"/>
  <c r="B104" i="17"/>
  <c r="AG104" i="17" s="1"/>
  <c r="E103" i="17"/>
  <c r="B103" i="17"/>
  <c r="D102" i="17"/>
  <c r="B102" i="17"/>
  <c r="E101" i="17"/>
  <c r="B101" i="17"/>
  <c r="AG101" i="17" s="1"/>
  <c r="AE100" i="17"/>
  <c r="AC100" i="17"/>
  <c r="AB100" i="17"/>
  <c r="AA100" i="17"/>
  <c r="Z100" i="17"/>
  <c r="Y100" i="17"/>
  <c r="X100" i="17"/>
  <c r="W100" i="17"/>
  <c r="V100" i="17"/>
  <c r="U100" i="17"/>
  <c r="T100" i="17"/>
  <c r="S100" i="17"/>
  <c r="R100" i="17"/>
  <c r="Q100" i="17"/>
  <c r="P100" i="17"/>
  <c r="O100" i="17"/>
  <c r="N100" i="17"/>
  <c r="M100" i="17"/>
  <c r="L100" i="17"/>
  <c r="K100" i="17"/>
  <c r="J100" i="17"/>
  <c r="I100" i="17"/>
  <c r="H100" i="17"/>
  <c r="AG99" i="17"/>
  <c r="E98" i="17"/>
  <c r="D98" i="17" s="1"/>
  <c r="B98" i="17"/>
  <c r="AG98" i="17" s="1"/>
  <c r="E97" i="17"/>
  <c r="B97" i="17"/>
  <c r="AG97" i="17" s="1"/>
  <c r="E96" i="17"/>
  <c r="D96" i="17" s="1"/>
  <c r="B96" i="17"/>
  <c r="E95" i="17"/>
  <c r="B95" i="17"/>
  <c r="AG95" i="17" s="1"/>
  <c r="AE94" i="17"/>
  <c r="AD94" i="17"/>
  <c r="AC94" i="17"/>
  <c r="AB94" i="17"/>
  <c r="AA94" i="17"/>
  <c r="Z94" i="17"/>
  <c r="Y94" i="17"/>
  <c r="X94" i="17"/>
  <c r="W94" i="17"/>
  <c r="V94" i="17"/>
  <c r="U94" i="17"/>
  <c r="T94" i="17"/>
  <c r="S94" i="17"/>
  <c r="R94" i="17"/>
  <c r="Q94" i="17"/>
  <c r="P94" i="17"/>
  <c r="O94" i="17"/>
  <c r="N94" i="17"/>
  <c r="M94" i="17"/>
  <c r="L94" i="17"/>
  <c r="K94" i="17"/>
  <c r="J94" i="17"/>
  <c r="I94" i="17"/>
  <c r="H94" i="17"/>
  <c r="AG93" i="17"/>
  <c r="E92" i="17"/>
  <c r="D92" i="17" s="1"/>
  <c r="B92" i="17"/>
  <c r="AG92" i="17" s="1"/>
  <c r="E91" i="17"/>
  <c r="B91" i="17"/>
  <c r="AG91" i="17" s="1"/>
  <c r="E90" i="17"/>
  <c r="D90" i="17" s="1"/>
  <c r="B90" i="17"/>
  <c r="E89" i="17"/>
  <c r="B89" i="17"/>
  <c r="AG89" i="17" s="1"/>
  <c r="AE88" i="17"/>
  <c r="AD88" i="17"/>
  <c r="AC88" i="17"/>
  <c r="AB88" i="17"/>
  <c r="AA88" i="17"/>
  <c r="Z88" i="17"/>
  <c r="Y88" i="17"/>
  <c r="X88" i="17"/>
  <c r="W88" i="17"/>
  <c r="V88" i="17"/>
  <c r="U88" i="17"/>
  <c r="T88" i="17"/>
  <c r="S88" i="17"/>
  <c r="R88" i="17"/>
  <c r="Q88" i="17"/>
  <c r="P88" i="17"/>
  <c r="O88" i="17"/>
  <c r="N88" i="17"/>
  <c r="M88" i="17"/>
  <c r="L88" i="17"/>
  <c r="K88" i="17"/>
  <c r="J88" i="17"/>
  <c r="I88" i="17"/>
  <c r="H88" i="17"/>
  <c r="AG87" i="17"/>
  <c r="AG86" i="17"/>
  <c r="AG85" i="17"/>
  <c r="E84" i="17"/>
  <c r="D84" i="17" s="1"/>
  <c r="B84" i="17"/>
  <c r="AG84" i="17" s="1"/>
  <c r="E83" i="17"/>
  <c r="B83" i="17"/>
  <c r="AG83" i="17" s="1"/>
  <c r="E82" i="17"/>
  <c r="D82" i="17" s="1"/>
  <c r="B82" i="17"/>
  <c r="AG82" i="17" s="1"/>
  <c r="E81" i="17"/>
  <c r="B81" i="17"/>
  <c r="AG81" i="17" s="1"/>
  <c r="AE80" i="17"/>
  <c r="AD80" i="17"/>
  <c r="AC80" i="17"/>
  <c r="AB80" i="17"/>
  <c r="AA80" i="17"/>
  <c r="Z80" i="17"/>
  <c r="Y80" i="17"/>
  <c r="X80" i="17"/>
  <c r="W80" i="17"/>
  <c r="V80" i="17"/>
  <c r="U80" i="17"/>
  <c r="T80" i="17"/>
  <c r="S80" i="17"/>
  <c r="R80" i="17"/>
  <c r="Q80" i="17"/>
  <c r="P80" i="17"/>
  <c r="O80" i="17"/>
  <c r="N80" i="17"/>
  <c r="M80" i="17"/>
  <c r="L80" i="17"/>
  <c r="K80" i="17"/>
  <c r="J80" i="17"/>
  <c r="I80" i="17"/>
  <c r="H80" i="17"/>
  <c r="AG79" i="17"/>
  <c r="E78" i="17"/>
  <c r="D78" i="17" s="1"/>
  <c r="B78" i="17"/>
  <c r="E77" i="17"/>
  <c r="B77" i="17"/>
  <c r="AG77" i="17" s="1"/>
  <c r="E76" i="17"/>
  <c r="D76" i="17" s="1"/>
  <c r="B76" i="17"/>
  <c r="AG76" i="17" s="1"/>
  <c r="E75" i="17"/>
  <c r="B75" i="17"/>
  <c r="AG75" i="17" s="1"/>
  <c r="AE74" i="17"/>
  <c r="AD74" i="17"/>
  <c r="AC74" i="17"/>
  <c r="AB74" i="17"/>
  <c r="AA74" i="17"/>
  <c r="Z74" i="17"/>
  <c r="Y74" i="17"/>
  <c r="X74" i="17"/>
  <c r="W74" i="17"/>
  <c r="V74" i="17"/>
  <c r="U74" i="17"/>
  <c r="T74" i="17"/>
  <c r="S74" i="17"/>
  <c r="R74" i="17"/>
  <c r="Q74" i="17"/>
  <c r="P74" i="17"/>
  <c r="O74" i="17"/>
  <c r="N74" i="17"/>
  <c r="M74" i="17"/>
  <c r="L74" i="17"/>
  <c r="K74" i="17"/>
  <c r="J74" i="17"/>
  <c r="I74" i="17"/>
  <c r="H74" i="17"/>
  <c r="AG73" i="17"/>
  <c r="E72" i="17"/>
  <c r="D72" i="17" s="1"/>
  <c r="B72" i="17"/>
  <c r="AG72" i="17" s="1"/>
  <c r="E71" i="17"/>
  <c r="B71" i="17"/>
  <c r="AG71" i="17" s="1"/>
  <c r="E70" i="17"/>
  <c r="D70" i="17" s="1"/>
  <c r="B70" i="17"/>
  <c r="AG70" i="17" s="1"/>
  <c r="E69" i="17"/>
  <c r="B69" i="17"/>
  <c r="AG69" i="17" s="1"/>
  <c r="AE68" i="17"/>
  <c r="AD68" i="17"/>
  <c r="AC68" i="17"/>
  <c r="AB68" i="17"/>
  <c r="AA68" i="17"/>
  <c r="Z68" i="17"/>
  <c r="Y68" i="17"/>
  <c r="X68" i="17"/>
  <c r="W68" i="17"/>
  <c r="V68" i="17"/>
  <c r="U68" i="17"/>
  <c r="T68" i="17"/>
  <c r="S68" i="17"/>
  <c r="R68" i="17"/>
  <c r="Q68" i="17"/>
  <c r="P68" i="17"/>
  <c r="O68" i="17"/>
  <c r="N68" i="17"/>
  <c r="M68" i="17"/>
  <c r="L68" i="17"/>
  <c r="K68" i="17"/>
  <c r="J68" i="17"/>
  <c r="I68" i="17"/>
  <c r="H68" i="17"/>
  <c r="AG67" i="17"/>
  <c r="E66" i="17"/>
  <c r="D66" i="17" s="1"/>
  <c r="B66" i="17"/>
  <c r="E64" i="17"/>
  <c r="B64" i="17"/>
  <c r="AG64" i="17" s="1"/>
  <c r="E63" i="17"/>
  <c r="D63" i="17" s="1"/>
  <c r="B63" i="17"/>
  <c r="E62" i="17"/>
  <c r="B62" i="17"/>
  <c r="AG62" i="17" s="1"/>
  <c r="AE61" i="17"/>
  <c r="AD61" i="17"/>
  <c r="AC61" i="17"/>
  <c r="AB61" i="17"/>
  <c r="AA61" i="17"/>
  <c r="Z61" i="17"/>
  <c r="Y61" i="17"/>
  <c r="X61" i="17"/>
  <c r="W61" i="17"/>
  <c r="V61" i="17"/>
  <c r="U61" i="17"/>
  <c r="T61" i="17"/>
  <c r="S61" i="17"/>
  <c r="R61" i="17"/>
  <c r="Q61" i="17"/>
  <c r="P61" i="17"/>
  <c r="O61" i="17"/>
  <c r="N61" i="17"/>
  <c r="M61" i="17"/>
  <c r="L61" i="17"/>
  <c r="K61" i="17"/>
  <c r="J61" i="17"/>
  <c r="I61" i="17"/>
  <c r="H61" i="17"/>
  <c r="AG60" i="17"/>
  <c r="AG59" i="17"/>
  <c r="AG58" i="17"/>
  <c r="E50" i="17"/>
  <c r="B50" i="17"/>
  <c r="E49" i="17"/>
  <c r="B49" i="17"/>
  <c r="AG49" i="17" s="1"/>
  <c r="E48" i="17"/>
  <c r="D48" i="17" s="1"/>
  <c r="B48" i="17"/>
  <c r="E47" i="17"/>
  <c r="B47" i="17"/>
  <c r="AG47" i="17" s="1"/>
  <c r="AE46" i="17"/>
  <c r="AD46" i="17"/>
  <c r="AC46" i="17"/>
  <c r="AB46" i="17"/>
  <c r="AA46" i="17"/>
  <c r="Z46" i="17"/>
  <c r="Y46" i="17"/>
  <c r="X46" i="17"/>
  <c r="W46" i="17"/>
  <c r="V46" i="17"/>
  <c r="U46" i="17"/>
  <c r="T46" i="17"/>
  <c r="S46" i="17"/>
  <c r="R46" i="17"/>
  <c r="Q46" i="17"/>
  <c r="P46" i="17"/>
  <c r="O46" i="17"/>
  <c r="N46" i="17"/>
  <c r="M46" i="17"/>
  <c r="L46" i="17"/>
  <c r="K46" i="17"/>
  <c r="J46" i="17"/>
  <c r="I46" i="17"/>
  <c r="H46" i="17"/>
  <c r="AG45" i="17"/>
  <c r="E44" i="17"/>
  <c r="D44" i="17" s="1"/>
  <c r="B44" i="17"/>
  <c r="AG44" i="17" s="1"/>
  <c r="E42" i="17"/>
  <c r="B42" i="17"/>
  <c r="AG42" i="17" s="1"/>
  <c r="E41" i="17"/>
  <c r="B41" i="17"/>
  <c r="AG41" i="17" s="1"/>
  <c r="E40" i="17"/>
  <c r="B40" i="17"/>
  <c r="AG40" i="17" s="1"/>
  <c r="AE39" i="17"/>
  <c r="AD39" i="17"/>
  <c r="AC39" i="17"/>
  <c r="AB39" i="17"/>
  <c r="AA39" i="17"/>
  <c r="Z39" i="17"/>
  <c r="Y39" i="17"/>
  <c r="X39" i="17"/>
  <c r="W39" i="17"/>
  <c r="V39" i="17"/>
  <c r="U39" i="17"/>
  <c r="T39" i="17"/>
  <c r="S39" i="17"/>
  <c r="R39" i="17"/>
  <c r="Q39" i="17"/>
  <c r="P39" i="17"/>
  <c r="O39" i="17"/>
  <c r="N39" i="17"/>
  <c r="M39" i="17"/>
  <c r="L39" i="17"/>
  <c r="K39" i="17"/>
  <c r="J39" i="17"/>
  <c r="I39" i="17"/>
  <c r="H39" i="17"/>
  <c r="AG38" i="17"/>
  <c r="E37" i="17"/>
  <c r="D37" i="17" s="1"/>
  <c r="B37" i="17"/>
  <c r="E35" i="17"/>
  <c r="B35" i="17"/>
  <c r="AG35" i="17" s="1"/>
  <c r="E34" i="17"/>
  <c r="B34" i="17"/>
  <c r="E33" i="17"/>
  <c r="B33" i="17"/>
  <c r="AG33" i="17" s="1"/>
  <c r="AE32" i="17"/>
  <c r="AD32" i="17"/>
  <c r="AC32" i="17"/>
  <c r="AB32" i="17"/>
  <c r="AA32" i="17"/>
  <c r="Z32" i="17"/>
  <c r="Y32" i="17"/>
  <c r="X32" i="17"/>
  <c r="W32" i="17"/>
  <c r="V32" i="17"/>
  <c r="U32" i="17"/>
  <c r="T32" i="17"/>
  <c r="S32" i="17"/>
  <c r="R32" i="17"/>
  <c r="Q32" i="17"/>
  <c r="P32" i="17"/>
  <c r="O32" i="17"/>
  <c r="N32" i="17"/>
  <c r="M32" i="17"/>
  <c r="L32" i="17"/>
  <c r="K32" i="17"/>
  <c r="J32" i="17"/>
  <c r="I32" i="17"/>
  <c r="H32" i="17"/>
  <c r="AG31" i="17"/>
  <c r="E30" i="17"/>
  <c r="B30" i="17"/>
  <c r="E28" i="17"/>
  <c r="B28" i="17"/>
  <c r="E27" i="17"/>
  <c r="D27" i="17" s="1"/>
  <c r="B27" i="17"/>
  <c r="E26" i="17"/>
  <c r="B26" i="17"/>
  <c r="AE25" i="17"/>
  <c r="AD25" i="17"/>
  <c r="AC25" i="17"/>
  <c r="AB25" i="17"/>
  <c r="AA25" i="17"/>
  <c r="Z25" i="17"/>
  <c r="Y25" i="17"/>
  <c r="X25" i="17"/>
  <c r="W25" i="17"/>
  <c r="V25" i="17"/>
  <c r="U25" i="17"/>
  <c r="T25" i="17"/>
  <c r="S25" i="17"/>
  <c r="R25" i="17"/>
  <c r="Q25" i="17"/>
  <c r="P25" i="17"/>
  <c r="O25" i="17"/>
  <c r="N25" i="17"/>
  <c r="M25" i="17"/>
  <c r="L25" i="17"/>
  <c r="K25" i="17"/>
  <c r="J25" i="17"/>
  <c r="I25" i="17"/>
  <c r="H25" i="17"/>
  <c r="AG24" i="17"/>
  <c r="AG23" i="17"/>
  <c r="E22" i="17"/>
  <c r="C22" i="17"/>
  <c r="B22" i="17"/>
  <c r="AG22" i="17" s="1"/>
  <c r="E21" i="17"/>
  <c r="D21" i="17" s="1"/>
  <c r="C21" i="17"/>
  <c r="B21" i="17"/>
  <c r="AG21" i="17" s="1"/>
  <c r="E20" i="17"/>
  <c r="C20" i="17"/>
  <c r="B20" i="17"/>
  <c r="AG20" i="17" s="1"/>
  <c r="E19" i="17"/>
  <c r="D19" i="17" s="1"/>
  <c r="C19" i="17"/>
  <c r="B19" i="17"/>
  <c r="AE18" i="17"/>
  <c r="AD18" i="17"/>
  <c r="AC18" i="17"/>
  <c r="AB18" i="17"/>
  <c r="AA18" i="17"/>
  <c r="Z18" i="17"/>
  <c r="Y18" i="17"/>
  <c r="X18" i="17"/>
  <c r="W18" i="17"/>
  <c r="V18" i="17"/>
  <c r="U18" i="17"/>
  <c r="T18" i="17"/>
  <c r="S18" i="17"/>
  <c r="R18" i="17"/>
  <c r="Q18" i="17"/>
  <c r="P18" i="17"/>
  <c r="O18" i="17"/>
  <c r="N18" i="17"/>
  <c r="M18" i="17"/>
  <c r="L18" i="17"/>
  <c r="K18" i="17"/>
  <c r="J18" i="17"/>
  <c r="I18" i="17"/>
  <c r="H18" i="17"/>
  <c r="AG17" i="17"/>
  <c r="E16" i="17"/>
  <c r="C16" i="17"/>
  <c r="B16" i="17"/>
  <c r="E15" i="17"/>
  <c r="D15" i="17" s="1"/>
  <c r="C15" i="17"/>
  <c r="B15" i="17"/>
  <c r="E14" i="17"/>
  <c r="C14" i="17"/>
  <c r="B14" i="17"/>
  <c r="E13" i="17"/>
  <c r="C13" i="17"/>
  <c r="B13" i="17"/>
  <c r="AE12" i="17"/>
  <c r="AD12" i="17"/>
  <c r="AC12" i="17"/>
  <c r="AB12" i="17"/>
  <c r="AA12" i="17"/>
  <c r="Z12" i="17"/>
  <c r="Y12" i="17"/>
  <c r="X12" i="17"/>
  <c r="W12" i="17"/>
  <c r="V12" i="17"/>
  <c r="U12" i="17"/>
  <c r="T12" i="17"/>
  <c r="S12" i="17"/>
  <c r="R12" i="17"/>
  <c r="Q12" i="17"/>
  <c r="P12" i="17"/>
  <c r="O12" i="17"/>
  <c r="N12" i="17"/>
  <c r="M12" i="17"/>
  <c r="L12" i="17"/>
  <c r="K12" i="17"/>
  <c r="J12" i="17"/>
  <c r="I12" i="17"/>
  <c r="H12" i="17"/>
  <c r="AG11" i="17"/>
  <c r="G86" i="15"/>
  <c r="AE31" i="15"/>
  <c r="AD31" i="15"/>
  <c r="AC31" i="15"/>
  <c r="AB31" i="15"/>
  <c r="AA31" i="15"/>
  <c r="Z31" i="15"/>
  <c r="Y31" i="15"/>
  <c r="X31" i="15"/>
  <c r="W31" i="15"/>
  <c r="V31" i="15"/>
  <c r="U31" i="15"/>
  <c r="T31" i="15"/>
  <c r="S31" i="15"/>
  <c r="R31" i="15"/>
  <c r="Q31" i="15"/>
  <c r="P31" i="15"/>
  <c r="O31" i="15"/>
  <c r="N31" i="15"/>
  <c r="M31" i="15"/>
  <c r="L31" i="15"/>
  <c r="K31" i="15"/>
  <c r="J31" i="15"/>
  <c r="I31" i="15"/>
  <c r="H31" i="15"/>
  <c r="AE29" i="15"/>
  <c r="AD29" i="15"/>
  <c r="AC29" i="15"/>
  <c r="AB29" i="15"/>
  <c r="AA29" i="15"/>
  <c r="Z29" i="15"/>
  <c r="Y29" i="15"/>
  <c r="X29" i="15"/>
  <c r="W29" i="15"/>
  <c r="V29" i="15"/>
  <c r="U29" i="15"/>
  <c r="T29" i="15"/>
  <c r="S29" i="15"/>
  <c r="R29" i="15"/>
  <c r="Q29" i="15"/>
  <c r="P29" i="15"/>
  <c r="O29" i="15"/>
  <c r="N29" i="15"/>
  <c r="M29" i="15"/>
  <c r="L29" i="15"/>
  <c r="K29" i="15"/>
  <c r="J29" i="15"/>
  <c r="I29" i="15"/>
  <c r="H29" i="15"/>
  <c r="E29" i="15"/>
  <c r="AE28" i="15"/>
  <c r="AD28" i="15"/>
  <c r="AC28" i="15"/>
  <c r="AB28" i="15"/>
  <c r="AA28" i="15"/>
  <c r="Z28" i="15"/>
  <c r="Y28" i="15"/>
  <c r="X28" i="15"/>
  <c r="W28" i="15"/>
  <c r="V28" i="15"/>
  <c r="U28" i="15"/>
  <c r="T28" i="15"/>
  <c r="S28" i="15"/>
  <c r="R28" i="15"/>
  <c r="Q28" i="15"/>
  <c r="P28" i="15"/>
  <c r="O28" i="15"/>
  <c r="N28" i="15"/>
  <c r="M28" i="15"/>
  <c r="L28" i="15"/>
  <c r="K28" i="15"/>
  <c r="J28" i="15"/>
  <c r="I28" i="15"/>
  <c r="H28" i="15"/>
  <c r="E28" i="15"/>
  <c r="AE26" i="15"/>
  <c r="AD26" i="15"/>
  <c r="AC26" i="15"/>
  <c r="AB26" i="15"/>
  <c r="AA26" i="15"/>
  <c r="Z26" i="15"/>
  <c r="Y26" i="15"/>
  <c r="X26" i="15"/>
  <c r="W26" i="15"/>
  <c r="V26" i="15"/>
  <c r="U26" i="15"/>
  <c r="T26" i="15"/>
  <c r="S26" i="15"/>
  <c r="R26" i="15"/>
  <c r="Q26" i="15"/>
  <c r="P26" i="15"/>
  <c r="O26" i="15"/>
  <c r="N26" i="15"/>
  <c r="M26" i="15"/>
  <c r="L26" i="15"/>
  <c r="K26" i="15"/>
  <c r="J26" i="15"/>
  <c r="H26" i="15"/>
  <c r="AE25" i="15"/>
  <c r="AE30" i="15" s="1"/>
  <c r="AD25" i="15"/>
  <c r="AD30" i="15" s="1"/>
  <c r="AC25" i="15"/>
  <c r="AB25" i="15"/>
  <c r="AB30" i="15" s="1"/>
  <c r="AA25" i="15"/>
  <c r="AA30" i="15" s="1"/>
  <c r="Z25" i="15"/>
  <c r="Z30" i="15" s="1"/>
  <c r="Y25" i="15"/>
  <c r="Y30" i="15" s="1"/>
  <c r="X25" i="15"/>
  <c r="X30" i="15" s="1"/>
  <c r="W25" i="15"/>
  <c r="W30" i="15" s="1"/>
  <c r="V25" i="15"/>
  <c r="V30" i="15" s="1"/>
  <c r="U25" i="15"/>
  <c r="U30" i="15" s="1"/>
  <c r="T25" i="15"/>
  <c r="T30" i="15" s="1"/>
  <c r="S25" i="15"/>
  <c r="S30" i="15" s="1"/>
  <c r="Q25" i="15"/>
  <c r="Q30" i="15" s="1"/>
  <c r="P25" i="15"/>
  <c r="P30" i="15" s="1"/>
  <c r="O25" i="15"/>
  <c r="O30" i="15" s="1"/>
  <c r="N25" i="15"/>
  <c r="N30" i="15" s="1"/>
  <c r="M25" i="15"/>
  <c r="M30" i="15" s="1"/>
  <c r="L25" i="15"/>
  <c r="L30" i="15" s="1"/>
  <c r="K25" i="15"/>
  <c r="K30" i="15" s="1"/>
  <c r="J25" i="15"/>
  <c r="J30" i="15" s="1"/>
  <c r="I25" i="15"/>
  <c r="I30" i="15" s="1"/>
  <c r="H25" i="15"/>
  <c r="H30" i="15" s="1"/>
  <c r="D21" i="15"/>
  <c r="C21" i="15"/>
  <c r="AH21" i="15" s="1"/>
  <c r="B21" i="15"/>
  <c r="AG21" i="15" s="1"/>
  <c r="D19" i="15"/>
  <c r="C19" i="15"/>
  <c r="AH19" i="15" s="1"/>
  <c r="B19" i="15"/>
  <c r="AG19" i="15" s="1"/>
  <c r="D18" i="15"/>
  <c r="C18" i="15"/>
  <c r="AH18" i="15" s="1"/>
  <c r="B18" i="15"/>
  <c r="AG18" i="15" s="1"/>
  <c r="AD16" i="15"/>
  <c r="AB16" i="15"/>
  <c r="Z16" i="15"/>
  <c r="X16" i="15"/>
  <c r="V16" i="15"/>
  <c r="T16" i="15"/>
  <c r="R16" i="15"/>
  <c r="P16" i="15"/>
  <c r="N16" i="15"/>
  <c r="L16" i="15"/>
  <c r="J17" i="15"/>
  <c r="J16" i="15" s="1"/>
  <c r="I16" i="15"/>
  <c r="H16" i="15"/>
  <c r="E17" i="15"/>
  <c r="E16" i="15" s="1"/>
  <c r="D15" i="15"/>
  <c r="B15" i="15"/>
  <c r="D13" i="15"/>
  <c r="C13" i="15"/>
  <c r="B13" i="15"/>
  <c r="D12" i="15"/>
  <c r="C12" i="15"/>
  <c r="B12" i="15"/>
  <c r="AG12" i="15" s="1"/>
  <c r="AD10" i="15"/>
  <c r="AB10" i="15"/>
  <c r="Z10" i="15"/>
  <c r="X10" i="15"/>
  <c r="V10" i="15"/>
  <c r="T10" i="15"/>
  <c r="R10" i="15"/>
  <c r="P10" i="15"/>
  <c r="N10" i="15"/>
  <c r="L10" i="15"/>
  <c r="J10" i="15"/>
  <c r="I10" i="15"/>
  <c r="AG350" i="14"/>
  <c r="E349" i="14"/>
  <c r="C349" i="14"/>
  <c r="B349" i="14"/>
  <c r="AG349" i="14" s="1"/>
  <c r="E348" i="14"/>
  <c r="D348" i="14" s="1"/>
  <c r="C348" i="14"/>
  <c r="C336" i="14" s="1"/>
  <c r="B348" i="14"/>
  <c r="AG348" i="14" s="1"/>
  <c r="E347" i="14"/>
  <c r="C347" i="14"/>
  <c r="B347" i="14"/>
  <c r="AG347" i="14" s="1"/>
  <c r="AE346" i="14"/>
  <c r="AD346" i="14"/>
  <c r="AC346" i="14"/>
  <c r="AB346" i="14"/>
  <c r="AA346" i="14"/>
  <c r="Z346" i="14"/>
  <c r="Y346" i="14"/>
  <c r="X346" i="14"/>
  <c r="W346" i="14"/>
  <c r="V346" i="14"/>
  <c r="U346" i="14"/>
  <c r="T346" i="14"/>
  <c r="S346" i="14"/>
  <c r="R346" i="14"/>
  <c r="Q346" i="14"/>
  <c r="P346" i="14"/>
  <c r="O346" i="14"/>
  <c r="N346" i="14"/>
  <c r="M346" i="14"/>
  <c r="L346" i="14"/>
  <c r="K346" i="14"/>
  <c r="J346" i="14"/>
  <c r="I346" i="14"/>
  <c r="H346" i="14"/>
  <c r="AG345" i="14"/>
  <c r="AG344" i="14"/>
  <c r="E343" i="14"/>
  <c r="C343" i="14"/>
  <c r="B343" i="14"/>
  <c r="AG343" i="14" s="1"/>
  <c r="E342" i="14"/>
  <c r="D342" i="14" s="1"/>
  <c r="B342" i="14"/>
  <c r="E341" i="14"/>
  <c r="C341" i="14"/>
  <c r="AG341" i="14"/>
  <c r="AE340" i="14"/>
  <c r="AD340" i="14"/>
  <c r="AC340" i="14"/>
  <c r="AB340" i="14"/>
  <c r="AA340" i="14"/>
  <c r="Z340" i="14"/>
  <c r="Y340" i="14"/>
  <c r="X340" i="14"/>
  <c r="W340" i="14"/>
  <c r="V340" i="14"/>
  <c r="U340" i="14"/>
  <c r="T340" i="14"/>
  <c r="S340" i="14"/>
  <c r="R340" i="14"/>
  <c r="Q340" i="14"/>
  <c r="P340" i="14"/>
  <c r="O340" i="14"/>
  <c r="N340" i="14"/>
  <c r="M340" i="14"/>
  <c r="L340" i="14"/>
  <c r="K340" i="14"/>
  <c r="J340" i="14"/>
  <c r="I340" i="14"/>
  <c r="H340" i="14"/>
  <c r="AG339" i="14"/>
  <c r="AE338" i="14"/>
  <c r="AD338" i="14"/>
  <c r="AC338" i="14"/>
  <c r="AB338" i="14"/>
  <c r="AA338" i="14"/>
  <c r="Z338" i="14"/>
  <c r="Y338" i="14"/>
  <c r="X338" i="14"/>
  <c r="W338" i="14"/>
  <c r="V338" i="14"/>
  <c r="U338" i="14"/>
  <c r="T338" i="14"/>
  <c r="S338" i="14"/>
  <c r="R338" i="14"/>
  <c r="Q338" i="14"/>
  <c r="P338" i="14"/>
  <c r="O338" i="14"/>
  <c r="N338" i="14"/>
  <c r="M338" i="14"/>
  <c r="L338" i="14"/>
  <c r="K338" i="14"/>
  <c r="J338" i="14"/>
  <c r="I338" i="14"/>
  <c r="H338" i="14"/>
  <c r="E338" i="14"/>
  <c r="D338" i="14"/>
  <c r="C338" i="14"/>
  <c r="B338" i="14"/>
  <c r="AE337" i="14"/>
  <c r="AD337" i="14"/>
  <c r="AC337" i="14"/>
  <c r="AB337" i="14"/>
  <c r="AA337" i="14"/>
  <c r="Z337" i="14"/>
  <c r="Y337" i="14"/>
  <c r="X337" i="14"/>
  <c r="W337" i="14"/>
  <c r="V337" i="14"/>
  <c r="U337" i="14"/>
  <c r="T337" i="14"/>
  <c r="S337" i="14"/>
  <c r="R337" i="14"/>
  <c r="Q337" i="14"/>
  <c r="P337" i="14"/>
  <c r="O337" i="14"/>
  <c r="N337" i="14"/>
  <c r="M337" i="14"/>
  <c r="L337" i="14"/>
  <c r="K337" i="14"/>
  <c r="J337" i="14"/>
  <c r="I337" i="14"/>
  <c r="H337" i="14"/>
  <c r="AE336" i="14"/>
  <c r="AD336" i="14"/>
  <c r="AC336" i="14"/>
  <c r="AB336" i="14"/>
  <c r="AA336" i="14"/>
  <c r="Z336" i="14"/>
  <c r="Y336" i="14"/>
  <c r="X336" i="14"/>
  <c r="W336" i="14"/>
  <c r="V336" i="14"/>
  <c r="U336" i="14"/>
  <c r="T336" i="14"/>
  <c r="S336" i="14"/>
  <c r="R336" i="14"/>
  <c r="Q336" i="14"/>
  <c r="P336" i="14"/>
  <c r="O336" i="14"/>
  <c r="N336" i="14"/>
  <c r="M336" i="14"/>
  <c r="L336" i="14"/>
  <c r="K336" i="14"/>
  <c r="J336" i="14"/>
  <c r="I336" i="14"/>
  <c r="H336" i="14"/>
  <c r="AE335" i="14"/>
  <c r="AD335" i="14"/>
  <c r="AC335" i="14"/>
  <c r="AB335" i="14"/>
  <c r="AA335" i="14"/>
  <c r="Z335" i="14"/>
  <c r="Y335" i="14"/>
  <c r="X335" i="14"/>
  <c r="W335" i="14"/>
  <c r="V335" i="14"/>
  <c r="U335" i="14"/>
  <c r="T335" i="14"/>
  <c r="S335" i="14"/>
  <c r="R335" i="14"/>
  <c r="Q335" i="14"/>
  <c r="P335" i="14"/>
  <c r="O335" i="14"/>
  <c r="N335" i="14"/>
  <c r="M335" i="14"/>
  <c r="L335" i="14"/>
  <c r="K335" i="14"/>
  <c r="J335" i="14"/>
  <c r="I335" i="14"/>
  <c r="H335" i="14"/>
  <c r="AG333" i="14"/>
  <c r="AG332" i="14"/>
  <c r="E331" i="14"/>
  <c r="C331" i="14"/>
  <c r="B331" i="14"/>
  <c r="AG331" i="14" s="1"/>
  <c r="B330" i="14"/>
  <c r="AG330" i="14" s="1"/>
  <c r="E329" i="14"/>
  <c r="C329" i="14"/>
  <c r="B329" i="14"/>
  <c r="AG329" i="14" s="1"/>
  <c r="AE328" i="14"/>
  <c r="AD328" i="14"/>
  <c r="AC328" i="14"/>
  <c r="AB328" i="14"/>
  <c r="AA328" i="14"/>
  <c r="Z328" i="14"/>
  <c r="Y328" i="14"/>
  <c r="X328" i="14"/>
  <c r="W328" i="14"/>
  <c r="V328" i="14"/>
  <c r="U328" i="14"/>
  <c r="T328" i="14"/>
  <c r="S328" i="14"/>
  <c r="R328" i="14"/>
  <c r="Q328" i="14"/>
  <c r="P328" i="14"/>
  <c r="O328" i="14"/>
  <c r="N328" i="14"/>
  <c r="M328" i="14"/>
  <c r="L328" i="14"/>
  <c r="K328" i="14"/>
  <c r="J328" i="14"/>
  <c r="I328" i="14"/>
  <c r="H328" i="14"/>
  <c r="AG327" i="14"/>
  <c r="AG326" i="14"/>
  <c r="B325" i="14"/>
  <c r="AG325" i="14" s="1"/>
  <c r="E324" i="14"/>
  <c r="D324" i="14" s="1"/>
  <c r="C324" i="14"/>
  <c r="B324" i="14"/>
  <c r="AG324" i="14" s="1"/>
  <c r="E323" i="14"/>
  <c r="C323" i="14"/>
  <c r="B323" i="14"/>
  <c r="AG323" i="14" s="1"/>
  <c r="AE322" i="14"/>
  <c r="AD322" i="14"/>
  <c r="AC322" i="14"/>
  <c r="AB322" i="14"/>
  <c r="AA322" i="14"/>
  <c r="Z322" i="14"/>
  <c r="Y322" i="14"/>
  <c r="X322" i="14"/>
  <c r="W322" i="14"/>
  <c r="V322" i="14"/>
  <c r="U322" i="14"/>
  <c r="T322" i="14"/>
  <c r="S322" i="14"/>
  <c r="R322" i="14"/>
  <c r="Q322" i="14"/>
  <c r="P322" i="14"/>
  <c r="O322" i="14"/>
  <c r="N322" i="14"/>
  <c r="M322" i="14"/>
  <c r="L322" i="14"/>
  <c r="K322" i="14"/>
  <c r="J322" i="14"/>
  <c r="I322" i="14"/>
  <c r="H322" i="14"/>
  <c r="AG321" i="14"/>
  <c r="AG320" i="14"/>
  <c r="B319" i="14"/>
  <c r="AG319" i="14" s="1"/>
  <c r="D318" i="14"/>
  <c r="B318" i="14"/>
  <c r="AG318" i="14" s="1"/>
  <c r="E317" i="14"/>
  <c r="B317" i="14"/>
  <c r="AG317" i="14" s="1"/>
  <c r="AE316" i="14"/>
  <c r="AD316" i="14"/>
  <c r="AC316" i="14"/>
  <c r="AB316" i="14"/>
  <c r="AA316" i="14"/>
  <c r="Z316" i="14"/>
  <c r="Y316" i="14"/>
  <c r="X316" i="14"/>
  <c r="W316" i="14"/>
  <c r="V316" i="14"/>
  <c r="U316" i="14"/>
  <c r="T316" i="14"/>
  <c r="S316" i="14"/>
  <c r="R316" i="14"/>
  <c r="Q316" i="14"/>
  <c r="P316" i="14"/>
  <c r="O316" i="14"/>
  <c r="N316" i="14"/>
  <c r="M316" i="14"/>
  <c r="L316" i="14"/>
  <c r="K316" i="14"/>
  <c r="J316" i="14"/>
  <c r="I316" i="14"/>
  <c r="H316" i="14"/>
  <c r="AG315" i="14"/>
  <c r="AE314" i="14"/>
  <c r="AE302" i="14" s="1"/>
  <c r="AD314" i="14"/>
  <c r="AC314" i="14"/>
  <c r="AC302" i="14" s="1"/>
  <c r="AB314" i="14"/>
  <c r="AB302" i="14" s="1"/>
  <c r="AA314" i="14"/>
  <c r="AA302" i="14" s="1"/>
  <c r="Z314" i="14"/>
  <c r="Y314" i="14"/>
  <c r="Y302" i="14" s="1"/>
  <c r="X314" i="14"/>
  <c r="X302" i="14" s="1"/>
  <c r="W314" i="14"/>
  <c r="W302" i="14" s="1"/>
  <c r="V314" i="14"/>
  <c r="U314" i="14"/>
  <c r="U302" i="14" s="1"/>
  <c r="T314" i="14"/>
  <c r="T302" i="14" s="1"/>
  <c r="S314" i="14"/>
  <c r="S302" i="14" s="1"/>
  <c r="R314" i="14"/>
  <c r="Q314" i="14"/>
  <c r="Q302" i="14" s="1"/>
  <c r="P314" i="14"/>
  <c r="P302" i="14" s="1"/>
  <c r="O314" i="14"/>
  <c r="O302" i="14" s="1"/>
  <c r="N314" i="14"/>
  <c r="M314" i="14"/>
  <c r="M302" i="14" s="1"/>
  <c r="L314" i="14"/>
  <c r="L302" i="14" s="1"/>
  <c r="K314" i="14"/>
  <c r="K302" i="14" s="1"/>
  <c r="J314" i="14"/>
  <c r="I314" i="14"/>
  <c r="I302" i="14" s="1"/>
  <c r="H314" i="14"/>
  <c r="H302" i="14" s="1"/>
  <c r="C302" i="14" s="1"/>
  <c r="AE313" i="14"/>
  <c r="AE301" i="14" s="1"/>
  <c r="AD313" i="14"/>
  <c r="AD301" i="14" s="1"/>
  <c r="AC313" i="14"/>
  <c r="AC301" i="14" s="1"/>
  <c r="AB313" i="14"/>
  <c r="AB301" i="14" s="1"/>
  <c r="AA313" i="14"/>
  <c r="AA301" i="14" s="1"/>
  <c r="Z313" i="14"/>
  <c r="Z301" i="14" s="1"/>
  <c r="Y313" i="14"/>
  <c r="Y301" i="14" s="1"/>
  <c r="X313" i="14"/>
  <c r="X301" i="14" s="1"/>
  <c r="W313" i="14"/>
  <c r="W301" i="14" s="1"/>
  <c r="V313" i="14"/>
  <c r="V301" i="14" s="1"/>
  <c r="U313" i="14"/>
  <c r="U301" i="14" s="1"/>
  <c r="T313" i="14"/>
  <c r="T301" i="14" s="1"/>
  <c r="S313" i="14"/>
  <c r="S301" i="14" s="1"/>
  <c r="R313" i="14"/>
  <c r="R301" i="14" s="1"/>
  <c r="Q313" i="14"/>
  <c r="Q301" i="14" s="1"/>
  <c r="P313" i="14"/>
  <c r="P301" i="14" s="1"/>
  <c r="O313" i="14"/>
  <c r="O301" i="14" s="1"/>
  <c r="N313" i="14"/>
  <c r="M313" i="14"/>
  <c r="M301" i="14" s="1"/>
  <c r="L313" i="14"/>
  <c r="L301" i="14" s="1"/>
  <c r="K313" i="14"/>
  <c r="K301" i="14" s="1"/>
  <c r="J313" i="14"/>
  <c r="J301" i="14" s="1"/>
  <c r="I313" i="14"/>
  <c r="H313" i="14"/>
  <c r="AE312" i="14"/>
  <c r="AE300" i="14" s="1"/>
  <c r="AD312" i="14"/>
  <c r="AD300" i="14" s="1"/>
  <c r="AC312" i="14"/>
  <c r="AC300" i="14" s="1"/>
  <c r="AB312" i="14"/>
  <c r="AB300" i="14" s="1"/>
  <c r="AA312" i="14"/>
  <c r="AA300" i="14" s="1"/>
  <c r="Z312" i="14"/>
  <c r="Z300" i="14" s="1"/>
  <c r="Y312" i="14"/>
  <c r="Y300" i="14" s="1"/>
  <c r="X312" i="14"/>
  <c r="X300" i="14" s="1"/>
  <c r="W312" i="14"/>
  <c r="W300" i="14" s="1"/>
  <c r="V312" i="14"/>
  <c r="V300" i="14" s="1"/>
  <c r="U312" i="14"/>
  <c r="U300" i="14" s="1"/>
  <c r="T312" i="14"/>
  <c r="T300" i="14" s="1"/>
  <c r="S312" i="14"/>
  <c r="S300" i="14" s="1"/>
  <c r="R312" i="14"/>
  <c r="R300" i="14" s="1"/>
  <c r="Q312" i="14"/>
  <c r="Q300" i="14" s="1"/>
  <c r="P312" i="14"/>
  <c r="P300" i="14" s="1"/>
  <c r="O312" i="14"/>
  <c r="O300" i="14" s="1"/>
  <c r="N312" i="14"/>
  <c r="M312" i="14"/>
  <c r="M300" i="14" s="1"/>
  <c r="L312" i="14"/>
  <c r="L300" i="14" s="1"/>
  <c r="K312" i="14"/>
  <c r="K300" i="14" s="1"/>
  <c r="J312" i="14"/>
  <c r="J300" i="14" s="1"/>
  <c r="I312" i="14"/>
  <c r="H312" i="14"/>
  <c r="AE311" i="14"/>
  <c r="AE299" i="14" s="1"/>
  <c r="AD311" i="14"/>
  <c r="AD299" i="14" s="1"/>
  <c r="AC311" i="14"/>
  <c r="AC299" i="14" s="1"/>
  <c r="AB311" i="14"/>
  <c r="AB299" i="14" s="1"/>
  <c r="AA311" i="14"/>
  <c r="AA299" i="14" s="1"/>
  <c r="Z311" i="14"/>
  <c r="Z299" i="14" s="1"/>
  <c r="Y311" i="14"/>
  <c r="Y299" i="14" s="1"/>
  <c r="X311" i="14"/>
  <c r="X299" i="14" s="1"/>
  <c r="W311" i="14"/>
  <c r="W299" i="14" s="1"/>
  <c r="V311" i="14"/>
  <c r="V299" i="14" s="1"/>
  <c r="U311" i="14"/>
  <c r="U299" i="14" s="1"/>
  <c r="T311" i="14"/>
  <c r="T299" i="14" s="1"/>
  <c r="S311" i="14"/>
  <c r="S299" i="14" s="1"/>
  <c r="R311" i="14"/>
  <c r="R299" i="14" s="1"/>
  <c r="Q311" i="14"/>
  <c r="Q299" i="14" s="1"/>
  <c r="P311" i="14"/>
  <c r="P299" i="14" s="1"/>
  <c r="O311" i="14"/>
  <c r="O299" i="14" s="1"/>
  <c r="N311" i="14"/>
  <c r="M311" i="14"/>
  <c r="M299" i="14" s="1"/>
  <c r="L311" i="14"/>
  <c r="L299" i="14" s="1"/>
  <c r="K311" i="14"/>
  <c r="K299" i="14" s="1"/>
  <c r="J311" i="14"/>
  <c r="J299" i="14" s="1"/>
  <c r="I311" i="14"/>
  <c r="H311" i="14"/>
  <c r="AG309" i="14"/>
  <c r="AG308" i="14"/>
  <c r="E307" i="14"/>
  <c r="B307" i="14"/>
  <c r="AG307" i="14" s="1"/>
  <c r="E306" i="14"/>
  <c r="D306" i="14" s="1"/>
  <c r="C306" i="14"/>
  <c r="B306" i="14"/>
  <c r="E305" i="14"/>
  <c r="C305" i="14"/>
  <c r="B305" i="14"/>
  <c r="AG305" i="14" s="1"/>
  <c r="AE304" i="14"/>
  <c r="AD304" i="14"/>
  <c r="AC304" i="14"/>
  <c r="AB304" i="14"/>
  <c r="AA304" i="14"/>
  <c r="Z304" i="14"/>
  <c r="Y304" i="14"/>
  <c r="X304" i="14"/>
  <c r="W304" i="14"/>
  <c r="V304" i="14"/>
  <c r="U304" i="14"/>
  <c r="T304" i="14"/>
  <c r="S304" i="14"/>
  <c r="R304" i="14"/>
  <c r="Q304" i="14"/>
  <c r="P304" i="14"/>
  <c r="O304" i="14"/>
  <c r="N304" i="14"/>
  <c r="M304" i="14"/>
  <c r="L304" i="14"/>
  <c r="K304" i="14"/>
  <c r="J304" i="14"/>
  <c r="I304" i="14"/>
  <c r="H304" i="14"/>
  <c r="AG303" i="14"/>
  <c r="AG297" i="14"/>
  <c r="AG296" i="14"/>
  <c r="E295" i="14"/>
  <c r="B295" i="14"/>
  <c r="AG295" i="14" s="1"/>
  <c r="E294" i="14"/>
  <c r="D294" i="14" s="1"/>
  <c r="C294" i="14"/>
  <c r="B294" i="14"/>
  <c r="E293" i="14"/>
  <c r="C293" i="14"/>
  <c r="B293" i="14"/>
  <c r="AG293" i="14" s="1"/>
  <c r="AE292" i="14"/>
  <c r="AD292" i="14"/>
  <c r="AC292" i="14"/>
  <c r="AB292" i="14"/>
  <c r="AA292" i="14"/>
  <c r="Z292" i="14"/>
  <c r="Y292" i="14"/>
  <c r="X292" i="14"/>
  <c r="W292" i="14"/>
  <c r="V292" i="14"/>
  <c r="U292" i="14"/>
  <c r="T292" i="14"/>
  <c r="S292" i="14"/>
  <c r="R292" i="14"/>
  <c r="Q292" i="14"/>
  <c r="P292" i="14"/>
  <c r="O292" i="14"/>
  <c r="N292" i="14"/>
  <c r="M292" i="14"/>
  <c r="L292" i="14"/>
  <c r="K292" i="14"/>
  <c r="J292" i="14"/>
  <c r="I292" i="14"/>
  <c r="H292" i="14"/>
  <c r="AG291" i="14"/>
  <c r="AG290" i="14"/>
  <c r="E289" i="14"/>
  <c r="B289" i="14"/>
  <c r="AG289" i="14" s="1"/>
  <c r="E288" i="14"/>
  <c r="D288" i="14" s="1"/>
  <c r="C288" i="14"/>
  <c r="B288" i="14"/>
  <c r="E287" i="14"/>
  <c r="C287" i="14"/>
  <c r="B287" i="14"/>
  <c r="AG287" i="14" s="1"/>
  <c r="AE286" i="14"/>
  <c r="AD286" i="14"/>
  <c r="AC286" i="14"/>
  <c r="AB286" i="14"/>
  <c r="AA286" i="14"/>
  <c r="Z286" i="14"/>
  <c r="Y286" i="14"/>
  <c r="X286" i="14"/>
  <c r="W286" i="14"/>
  <c r="V286" i="14"/>
  <c r="U286" i="14"/>
  <c r="T286" i="14"/>
  <c r="S286" i="14"/>
  <c r="R286" i="14"/>
  <c r="Q286" i="14"/>
  <c r="P286" i="14"/>
  <c r="O286" i="14"/>
  <c r="N286" i="14"/>
  <c r="M286" i="14"/>
  <c r="L286" i="14"/>
  <c r="K286" i="14"/>
  <c r="J286" i="14"/>
  <c r="I286" i="14"/>
  <c r="H286" i="14"/>
  <c r="AG285" i="14"/>
  <c r="AG284" i="14"/>
  <c r="B283" i="14"/>
  <c r="AG283" i="14" s="1"/>
  <c r="E282" i="14"/>
  <c r="D282" i="14" s="1"/>
  <c r="C282" i="14"/>
  <c r="B282" i="14"/>
  <c r="E281" i="14"/>
  <c r="C281" i="14"/>
  <c r="B281" i="14"/>
  <c r="AG281" i="14" s="1"/>
  <c r="AE280" i="14"/>
  <c r="AD280" i="14"/>
  <c r="AC280" i="14"/>
  <c r="AB280" i="14"/>
  <c r="AA280" i="14"/>
  <c r="Z280" i="14"/>
  <c r="Y280" i="14"/>
  <c r="X280" i="14"/>
  <c r="W280" i="14"/>
  <c r="V280" i="14"/>
  <c r="U280" i="14"/>
  <c r="T280" i="14"/>
  <c r="S280" i="14"/>
  <c r="R280" i="14"/>
  <c r="Q280" i="14"/>
  <c r="P280" i="14"/>
  <c r="O280" i="14"/>
  <c r="N280" i="14"/>
  <c r="L280" i="14"/>
  <c r="K280" i="14"/>
  <c r="J280" i="14"/>
  <c r="I280" i="14"/>
  <c r="H280" i="14"/>
  <c r="AG279" i="14"/>
  <c r="AE278" i="14"/>
  <c r="AD278" i="14"/>
  <c r="AC278" i="14"/>
  <c r="AB278" i="14"/>
  <c r="AA278" i="14"/>
  <c r="Z278" i="14"/>
  <c r="Y278" i="14"/>
  <c r="X278" i="14"/>
  <c r="W278" i="14"/>
  <c r="V278" i="14"/>
  <c r="U278" i="14"/>
  <c r="T278" i="14"/>
  <c r="S278" i="14"/>
  <c r="R278" i="14"/>
  <c r="Q278" i="14"/>
  <c r="P278" i="14"/>
  <c r="O278" i="14"/>
  <c r="N278" i="14"/>
  <c r="M278" i="14"/>
  <c r="L278" i="14"/>
  <c r="K278" i="14"/>
  <c r="J278" i="14"/>
  <c r="I278" i="14"/>
  <c r="H278" i="14"/>
  <c r="C278" i="14" s="1"/>
  <c r="AE277" i="14"/>
  <c r="AD277" i="14"/>
  <c r="AC277" i="14"/>
  <c r="AB277" i="14"/>
  <c r="AA277" i="14"/>
  <c r="Z277" i="14"/>
  <c r="Y277" i="14"/>
  <c r="X277" i="14"/>
  <c r="W277" i="14"/>
  <c r="V277" i="14"/>
  <c r="U277" i="14"/>
  <c r="T277" i="14"/>
  <c r="S277" i="14"/>
  <c r="R277" i="14"/>
  <c r="Q277" i="14"/>
  <c r="P277" i="14"/>
  <c r="O277" i="14"/>
  <c r="N277" i="14"/>
  <c r="M277" i="14"/>
  <c r="L277" i="14"/>
  <c r="K277" i="14"/>
  <c r="I277" i="14"/>
  <c r="AE276" i="14"/>
  <c r="AD276" i="14"/>
  <c r="AC276" i="14"/>
  <c r="AB276" i="14"/>
  <c r="AA276" i="14"/>
  <c r="Z276" i="14"/>
  <c r="Y276" i="14"/>
  <c r="X276" i="14"/>
  <c r="W276" i="14"/>
  <c r="V276" i="14"/>
  <c r="U276" i="14"/>
  <c r="T276" i="14"/>
  <c r="S276" i="14"/>
  <c r="R276" i="14"/>
  <c r="Q276" i="14"/>
  <c r="P276" i="14"/>
  <c r="O276" i="14"/>
  <c r="N276" i="14"/>
  <c r="M276" i="14"/>
  <c r="L276" i="14"/>
  <c r="K276" i="14"/>
  <c r="J276" i="14"/>
  <c r="I276" i="14"/>
  <c r="H276" i="14"/>
  <c r="AE275" i="14"/>
  <c r="AD275" i="14"/>
  <c r="AC275" i="14"/>
  <c r="AB275" i="14"/>
  <c r="AA275" i="14"/>
  <c r="Z275" i="14"/>
  <c r="Y275" i="14"/>
  <c r="X275" i="14"/>
  <c r="W275" i="14"/>
  <c r="V275" i="14"/>
  <c r="U275" i="14"/>
  <c r="T275" i="14"/>
  <c r="S275" i="14"/>
  <c r="R275" i="14"/>
  <c r="Q275" i="14"/>
  <c r="P275" i="14"/>
  <c r="O275" i="14"/>
  <c r="N275" i="14"/>
  <c r="M275" i="14"/>
  <c r="L275" i="14"/>
  <c r="K275" i="14"/>
  <c r="J275" i="14"/>
  <c r="I275" i="14"/>
  <c r="H275" i="14"/>
  <c r="C275" i="14" s="1"/>
  <c r="AG273" i="14"/>
  <c r="AG272" i="14"/>
  <c r="E271" i="14"/>
  <c r="C271" i="14"/>
  <c r="B271" i="14"/>
  <c r="AG271" i="14" s="1"/>
  <c r="E270" i="14"/>
  <c r="D270" i="14" s="1"/>
  <c r="C270" i="14"/>
  <c r="B270" i="14"/>
  <c r="AG270" i="14" s="1"/>
  <c r="E269" i="14"/>
  <c r="C269" i="14"/>
  <c r="B269" i="14"/>
  <c r="AG269" i="14" s="1"/>
  <c r="E268" i="14"/>
  <c r="D268" i="14" s="1"/>
  <c r="C268" i="14"/>
  <c r="B268" i="14"/>
  <c r="AE267" i="14"/>
  <c r="AD267" i="14"/>
  <c r="AC267" i="14"/>
  <c r="AB267" i="14"/>
  <c r="AA267" i="14"/>
  <c r="Z267" i="14"/>
  <c r="Y267" i="14"/>
  <c r="X267" i="14"/>
  <c r="W267" i="14"/>
  <c r="V267" i="14"/>
  <c r="U267" i="14"/>
  <c r="T267" i="14"/>
  <c r="S267" i="14"/>
  <c r="R267" i="14"/>
  <c r="Q267" i="14"/>
  <c r="P267" i="14"/>
  <c r="O267" i="14"/>
  <c r="N267" i="14"/>
  <c r="M267" i="14"/>
  <c r="L267" i="14"/>
  <c r="K267" i="14"/>
  <c r="J267" i="14"/>
  <c r="I267" i="14"/>
  <c r="H267" i="14"/>
  <c r="AG266" i="14"/>
  <c r="AG265" i="14"/>
  <c r="E264" i="14"/>
  <c r="D264" i="14" s="1"/>
  <c r="D258" i="14" s="1"/>
  <c r="C264" i="14"/>
  <c r="C258" i="14" s="1"/>
  <c r="E263" i="14"/>
  <c r="D263" i="14" s="1"/>
  <c r="D257" i="14" s="1"/>
  <c r="C263" i="14"/>
  <c r="C257" i="14" s="1"/>
  <c r="E262" i="14"/>
  <c r="E256" i="14" s="1"/>
  <c r="C262" i="14"/>
  <c r="C256" i="14" s="1"/>
  <c r="B262" i="14"/>
  <c r="AG262" i="14" s="1"/>
  <c r="AE261" i="14"/>
  <c r="AD261" i="14"/>
  <c r="AC261" i="14"/>
  <c r="AA261" i="14"/>
  <c r="Z261" i="14"/>
  <c r="Y261" i="14"/>
  <c r="X261" i="14"/>
  <c r="W261" i="14"/>
  <c r="V261" i="14"/>
  <c r="U261" i="14"/>
  <c r="T261" i="14"/>
  <c r="S261" i="14"/>
  <c r="R261" i="14"/>
  <c r="Q261" i="14"/>
  <c r="P261" i="14"/>
  <c r="O261" i="14"/>
  <c r="N261" i="14"/>
  <c r="M261" i="14"/>
  <c r="L261" i="14"/>
  <c r="K261" i="14"/>
  <c r="J261" i="14"/>
  <c r="I261" i="14"/>
  <c r="H261" i="14"/>
  <c r="AG260" i="14"/>
  <c r="AE259" i="14"/>
  <c r="AD259" i="14"/>
  <c r="AC259" i="14"/>
  <c r="AB259" i="14"/>
  <c r="AA259" i="14"/>
  <c r="Z259" i="14"/>
  <c r="Y259" i="14"/>
  <c r="X259" i="14"/>
  <c r="W259" i="14"/>
  <c r="V259" i="14"/>
  <c r="U259" i="14"/>
  <c r="T259" i="14"/>
  <c r="S259" i="14"/>
  <c r="R259" i="14"/>
  <c r="Q259" i="14"/>
  <c r="P259" i="14"/>
  <c r="O259" i="14"/>
  <c r="N259" i="14"/>
  <c r="M259" i="14"/>
  <c r="L259" i="14"/>
  <c r="K259" i="14"/>
  <c r="J259" i="14"/>
  <c r="I259" i="14"/>
  <c r="H259" i="14"/>
  <c r="E259" i="14"/>
  <c r="D259" i="14"/>
  <c r="C259" i="14"/>
  <c r="B259" i="14"/>
  <c r="AE258" i="14"/>
  <c r="AC258" i="14"/>
  <c r="AB258" i="14"/>
  <c r="AA258" i="14"/>
  <c r="Z258" i="14"/>
  <c r="Y258" i="14"/>
  <c r="X258" i="14"/>
  <c r="W258" i="14"/>
  <c r="V258" i="14"/>
  <c r="U258" i="14"/>
  <c r="T258" i="14"/>
  <c r="S258" i="14"/>
  <c r="R258" i="14"/>
  <c r="Q258" i="14"/>
  <c r="P258" i="14"/>
  <c r="O258" i="14"/>
  <c r="N258" i="14"/>
  <c r="M258" i="14"/>
  <c r="L258" i="14"/>
  <c r="K258" i="14"/>
  <c r="J258" i="14"/>
  <c r="I258" i="14"/>
  <c r="H258" i="14"/>
  <c r="AE257" i="14"/>
  <c r="AD257" i="14"/>
  <c r="AC257" i="14"/>
  <c r="AA257" i="14"/>
  <c r="Z257" i="14"/>
  <c r="Y257" i="14"/>
  <c r="X257" i="14"/>
  <c r="W257" i="14"/>
  <c r="V257" i="14"/>
  <c r="U257" i="14"/>
  <c r="T257" i="14"/>
  <c r="S257" i="14"/>
  <c r="R257" i="14"/>
  <c r="Q257" i="14"/>
  <c r="P257" i="14"/>
  <c r="O257" i="14"/>
  <c r="N257" i="14"/>
  <c r="M257" i="14"/>
  <c r="L257" i="14"/>
  <c r="K257" i="14"/>
  <c r="J257" i="14"/>
  <c r="I257" i="14"/>
  <c r="H257" i="14"/>
  <c r="AE256" i="14"/>
  <c r="AD256" i="14"/>
  <c r="AC256" i="14"/>
  <c r="AB256" i="14"/>
  <c r="AA256" i="14"/>
  <c r="Z256" i="14"/>
  <c r="Y256" i="14"/>
  <c r="X256" i="14"/>
  <c r="W256" i="14"/>
  <c r="V256" i="14"/>
  <c r="U256" i="14"/>
  <c r="T256" i="14"/>
  <c r="S256" i="14"/>
  <c r="R256" i="14"/>
  <c r="Q256" i="14"/>
  <c r="P256" i="14"/>
  <c r="O256" i="14"/>
  <c r="N256" i="14"/>
  <c r="M256" i="14"/>
  <c r="L256" i="14"/>
  <c r="K256" i="14"/>
  <c r="J256" i="14"/>
  <c r="I256" i="14"/>
  <c r="H256" i="14"/>
  <c r="AG254" i="14"/>
  <c r="AG252" i="14"/>
  <c r="AG251" i="14"/>
  <c r="E250" i="14"/>
  <c r="D250" i="14" s="1"/>
  <c r="B250" i="14"/>
  <c r="E249" i="14"/>
  <c r="C249" i="14"/>
  <c r="B249" i="14"/>
  <c r="AG249" i="14" s="1"/>
  <c r="E248" i="14"/>
  <c r="D248" i="14" s="1"/>
  <c r="C248" i="14"/>
  <c r="B248" i="14"/>
  <c r="AG248" i="14" s="1"/>
  <c r="AE247" i="14"/>
  <c r="AD247" i="14"/>
  <c r="AC247" i="14"/>
  <c r="AB247" i="14"/>
  <c r="AA247" i="14"/>
  <c r="Z247" i="14"/>
  <c r="Y247" i="14"/>
  <c r="X247" i="14"/>
  <c r="W247" i="14"/>
  <c r="V247" i="14"/>
  <c r="U247" i="14"/>
  <c r="T247" i="14"/>
  <c r="S247" i="14"/>
  <c r="R247" i="14"/>
  <c r="Q247" i="14"/>
  <c r="P247" i="14"/>
  <c r="O247" i="14"/>
  <c r="N247" i="14"/>
  <c r="M247" i="14"/>
  <c r="L247" i="14"/>
  <c r="K247" i="14"/>
  <c r="J247" i="14"/>
  <c r="I247" i="14"/>
  <c r="H247" i="14"/>
  <c r="AG246" i="14"/>
  <c r="AG245" i="14"/>
  <c r="D244" i="14"/>
  <c r="B244" i="14"/>
  <c r="AG244" i="14" s="1"/>
  <c r="E243" i="14"/>
  <c r="C243" i="14"/>
  <c r="B243" i="14"/>
  <c r="AG243" i="14" s="1"/>
  <c r="E242" i="14"/>
  <c r="D242" i="14" s="1"/>
  <c r="C242" i="14"/>
  <c r="B242" i="14"/>
  <c r="AE241" i="14"/>
  <c r="AD241" i="14"/>
  <c r="AC241" i="14"/>
  <c r="AB241" i="14"/>
  <c r="AA241" i="14"/>
  <c r="Z241" i="14"/>
  <c r="Y241" i="14"/>
  <c r="X241" i="14"/>
  <c r="W241" i="14"/>
  <c r="V241" i="14"/>
  <c r="U241" i="14"/>
  <c r="T241" i="14"/>
  <c r="S241" i="14"/>
  <c r="R241" i="14"/>
  <c r="Q241" i="14"/>
  <c r="P241" i="14"/>
  <c r="O241" i="14"/>
  <c r="N241" i="14"/>
  <c r="M241" i="14"/>
  <c r="L241" i="14"/>
  <c r="K241" i="14"/>
  <c r="J241" i="14"/>
  <c r="I241" i="14"/>
  <c r="H241" i="14"/>
  <c r="AG240" i="14"/>
  <c r="AE239" i="14"/>
  <c r="AD239" i="14"/>
  <c r="AC239" i="14"/>
  <c r="AB239" i="14"/>
  <c r="AA239" i="14"/>
  <c r="Z239" i="14"/>
  <c r="Y239" i="14"/>
  <c r="X239" i="14"/>
  <c r="W239" i="14"/>
  <c r="V239" i="14"/>
  <c r="U239" i="14"/>
  <c r="T239" i="14"/>
  <c r="S239" i="14"/>
  <c r="R239" i="14"/>
  <c r="Q239" i="14"/>
  <c r="P239" i="14"/>
  <c r="O239" i="14"/>
  <c r="N239" i="14"/>
  <c r="M239" i="14"/>
  <c r="L239" i="14"/>
  <c r="K239" i="14"/>
  <c r="J239" i="14"/>
  <c r="I239" i="14"/>
  <c r="H239" i="14"/>
  <c r="E239" i="14"/>
  <c r="D239" i="14"/>
  <c r="C239" i="14"/>
  <c r="B239" i="14"/>
  <c r="AE238" i="14"/>
  <c r="AD238" i="14"/>
  <c r="AC238" i="14"/>
  <c r="AB238" i="14"/>
  <c r="AA238" i="14"/>
  <c r="Z238" i="14"/>
  <c r="Y238" i="14"/>
  <c r="X238" i="14"/>
  <c r="W238" i="14"/>
  <c r="V238" i="14"/>
  <c r="U238" i="14"/>
  <c r="T238" i="14"/>
  <c r="S238" i="14"/>
  <c r="R238" i="14"/>
  <c r="Q238" i="14"/>
  <c r="P238" i="14"/>
  <c r="O238" i="14"/>
  <c r="N238" i="14"/>
  <c r="M238" i="14"/>
  <c r="L238" i="14"/>
  <c r="K238" i="14"/>
  <c r="J238" i="14"/>
  <c r="I238" i="14"/>
  <c r="H238" i="14"/>
  <c r="AE237" i="14"/>
  <c r="AD237" i="14"/>
  <c r="AC237" i="14"/>
  <c r="AB237" i="14"/>
  <c r="AA237" i="14"/>
  <c r="Z237" i="14"/>
  <c r="Y237" i="14"/>
  <c r="X237" i="14"/>
  <c r="W237" i="14"/>
  <c r="V237" i="14"/>
  <c r="U237" i="14"/>
  <c r="T237" i="14"/>
  <c r="S237" i="14"/>
  <c r="R237" i="14"/>
  <c r="Q237" i="14"/>
  <c r="P237" i="14"/>
  <c r="O237" i="14"/>
  <c r="N237" i="14"/>
  <c r="M237" i="14"/>
  <c r="L237" i="14"/>
  <c r="K237" i="14"/>
  <c r="J237" i="14"/>
  <c r="I237" i="14"/>
  <c r="H237" i="14"/>
  <c r="AE236" i="14"/>
  <c r="AD236" i="14"/>
  <c r="AC236" i="14"/>
  <c r="AB236" i="14"/>
  <c r="AA236" i="14"/>
  <c r="Z236" i="14"/>
  <c r="Y236" i="14"/>
  <c r="X236" i="14"/>
  <c r="W236" i="14"/>
  <c r="V236" i="14"/>
  <c r="U236" i="14"/>
  <c r="T236" i="14"/>
  <c r="S236" i="14"/>
  <c r="R236" i="14"/>
  <c r="Q236" i="14"/>
  <c r="P236" i="14"/>
  <c r="O236" i="14"/>
  <c r="O235" i="14" s="1"/>
  <c r="N236" i="14"/>
  <c r="M236" i="14"/>
  <c r="L236" i="14"/>
  <c r="K236" i="14"/>
  <c r="J236" i="14"/>
  <c r="I236" i="14"/>
  <c r="H236" i="14"/>
  <c r="AG234" i="14"/>
  <c r="AG233" i="14"/>
  <c r="E232" i="14"/>
  <c r="D232" i="14" s="1"/>
  <c r="C232" i="14"/>
  <c r="B232" i="14"/>
  <c r="E231" i="14"/>
  <c r="C231" i="14"/>
  <c r="B231" i="14"/>
  <c r="AG231" i="14" s="1"/>
  <c r="E230" i="14"/>
  <c r="D230" i="14" s="1"/>
  <c r="C230" i="14"/>
  <c r="B230" i="14"/>
  <c r="AG230" i="14" s="1"/>
  <c r="AE229" i="14"/>
  <c r="AD229" i="14"/>
  <c r="AC229" i="14"/>
  <c r="AB229" i="14"/>
  <c r="AA229" i="14"/>
  <c r="Z229" i="14"/>
  <c r="Y229" i="14"/>
  <c r="X229" i="14"/>
  <c r="W229" i="14"/>
  <c r="V229" i="14"/>
  <c r="U229" i="14"/>
  <c r="T229" i="14"/>
  <c r="S229" i="14"/>
  <c r="R229" i="14"/>
  <c r="Q229" i="14"/>
  <c r="P229" i="14"/>
  <c r="O229" i="14"/>
  <c r="N229" i="14"/>
  <c r="M229" i="14"/>
  <c r="L229" i="14"/>
  <c r="K229" i="14"/>
  <c r="J229" i="14"/>
  <c r="I229" i="14"/>
  <c r="H229" i="14"/>
  <c r="AG228" i="14"/>
  <c r="AG227" i="14"/>
  <c r="E226" i="14"/>
  <c r="D226" i="14" s="1"/>
  <c r="C226" i="14"/>
  <c r="B226" i="14"/>
  <c r="AG226" i="14" s="1"/>
  <c r="E225" i="14"/>
  <c r="C225" i="14"/>
  <c r="B225" i="14"/>
  <c r="AG225" i="14" s="1"/>
  <c r="E224" i="14"/>
  <c r="D224" i="14" s="1"/>
  <c r="C224" i="14"/>
  <c r="B224" i="14"/>
  <c r="AE223" i="14"/>
  <c r="AD223" i="14"/>
  <c r="AC223" i="14"/>
  <c r="AB223" i="14"/>
  <c r="AA223" i="14"/>
  <c r="Z223" i="14"/>
  <c r="Y223" i="14"/>
  <c r="X223" i="14"/>
  <c r="W223" i="14"/>
  <c r="V223" i="14"/>
  <c r="U223" i="14"/>
  <c r="T223" i="14"/>
  <c r="S223" i="14"/>
  <c r="R223" i="14"/>
  <c r="Q223" i="14"/>
  <c r="P223" i="14"/>
  <c r="O223" i="14"/>
  <c r="N223" i="14"/>
  <c r="M223" i="14"/>
  <c r="L223" i="14"/>
  <c r="K223" i="14"/>
  <c r="J223" i="14"/>
  <c r="I223" i="14"/>
  <c r="H223" i="14"/>
  <c r="AG222" i="14"/>
  <c r="AG221" i="14"/>
  <c r="E220" i="14"/>
  <c r="D220" i="14" s="1"/>
  <c r="B220" i="14"/>
  <c r="E219" i="14"/>
  <c r="C219" i="14"/>
  <c r="B219" i="14"/>
  <c r="AG219" i="14" s="1"/>
  <c r="E218" i="14"/>
  <c r="D218" i="14" s="1"/>
  <c r="C218" i="14"/>
  <c r="B218" i="14"/>
  <c r="AG218" i="14" s="1"/>
  <c r="AE217" i="14"/>
  <c r="AD217" i="14"/>
  <c r="AC217" i="14"/>
  <c r="AB217" i="14"/>
  <c r="AA217" i="14"/>
  <c r="Z217" i="14"/>
  <c r="Y217" i="14"/>
  <c r="X217" i="14"/>
  <c r="W217" i="14"/>
  <c r="V217" i="14"/>
  <c r="U217" i="14"/>
  <c r="T217" i="14"/>
  <c r="S217" i="14"/>
  <c r="R217" i="14"/>
  <c r="Q217" i="14"/>
  <c r="P217" i="14"/>
  <c r="O217" i="14"/>
  <c r="N217" i="14"/>
  <c r="M217" i="14"/>
  <c r="L217" i="14"/>
  <c r="K217" i="14"/>
  <c r="J217" i="14"/>
  <c r="I217" i="14"/>
  <c r="H217" i="14"/>
  <c r="AG216" i="14"/>
  <c r="AG215" i="14"/>
  <c r="E214" i="14"/>
  <c r="D214" i="14" s="1"/>
  <c r="B214" i="14"/>
  <c r="E213" i="14"/>
  <c r="C213" i="14"/>
  <c r="B213" i="14"/>
  <c r="AG213" i="14" s="1"/>
  <c r="E212" i="14"/>
  <c r="D212" i="14" s="1"/>
  <c r="C212" i="14"/>
  <c r="B212" i="14"/>
  <c r="AE211" i="14"/>
  <c r="AD211" i="14"/>
  <c r="AC211" i="14"/>
  <c r="AB211" i="14"/>
  <c r="AA211" i="14"/>
  <c r="Z211" i="14"/>
  <c r="Y211" i="14"/>
  <c r="X211" i="14"/>
  <c r="W211" i="14"/>
  <c r="V211" i="14"/>
  <c r="U211" i="14"/>
  <c r="T211" i="14"/>
  <c r="S211" i="14"/>
  <c r="R211" i="14"/>
  <c r="Q211" i="14"/>
  <c r="P211" i="14"/>
  <c r="O211" i="14"/>
  <c r="N211" i="14"/>
  <c r="M211" i="14"/>
  <c r="L211" i="14"/>
  <c r="K211" i="14"/>
  <c r="J211" i="14"/>
  <c r="I211" i="14"/>
  <c r="H211" i="14"/>
  <c r="AG210" i="14"/>
  <c r="AE209" i="14"/>
  <c r="AD209" i="14"/>
  <c r="AC209" i="14"/>
  <c r="AB209" i="14"/>
  <c r="AA209" i="14"/>
  <c r="Z209" i="14"/>
  <c r="Y209" i="14"/>
  <c r="X209" i="14"/>
  <c r="W209" i="14"/>
  <c r="V209" i="14"/>
  <c r="U209" i="14"/>
  <c r="T209" i="14"/>
  <c r="S209" i="14"/>
  <c r="R209" i="14"/>
  <c r="Q209" i="14"/>
  <c r="P209" i="14"/>
  <c r="O209" i="14"/>
  <c r="N209" i="14"/>
  <c r="M209" i="14"/>
  <c r="L209" i="14"/>
  <c r="K209" i="14"/>
  <c r="J209" i="14"/>
  <c r="I209" i="14"/>
  <c r="H209" i="14"/>
  <c r="E209" i="14"/>
  <c r="D209" i="14"/>
  <c r="C209" i="14"/>
  <c r="B209" i="14"/>
  <c r="AE208" i="14"/>
  <c r="AD208" i="14"/>
  <c r="AC208" i="14"/>
  <c r="AB208" i="14"/>
  <c r="AA208" i="14"/>
  <c r="Z208" i="14"/>
  <c r="Y208" i="14"/>
  <c r="X208" i="14"/>
  <c r="W208" i="14"/>
  <c r="V208" i="14"/>
  <c r="U208" i="14"/>
  <c r="T208" i="14"/>
  <c r="S208" i="14"/>
  <c r="R208" i="14"/>
  <c r="Q208" i="14"/>
  <c r="P208" i="14"/>
  <c r="O208" i="14"/>
  <c r="N208" i="14"/>
  <c r="M208" i="14"/>
  <c r="L208" i="14"/>
  <c r="K208" i="14"/>
  <c r="J208" i="14"/>
  <c r="I208" i="14"/>
  <c r="H208" i="14"/>
  <c r="AE207" i="14"/>
  <c r="AD207" i="14"/>
  <c r="AC207" i="14"/>
  <c r="AB207" i="14"/>
  <c r="AA207" i="14"/>
  <c r="Z207" i="14"/>
  <c r="Y207" i="14"/>
  <c r="X207" i="14"/>
  <c r="W207" i="14"/>
  <c r="V207" i="14"/>
  <c r="U207" i="14"/>
  <c r="T207" i="14"/>
  <c r="S207" i="14"/>
  <c r="R207" i="14"/>
  <c r="Q207" i="14"/>
  <c r="P207" i="14"/>
  <c r="O207" i="14"/>
  <c r="N207" i="14"/>
  <c r="M207" i="14"/>
  <c r="L207" i="14"/>
  <c r="K207" i="14"/>
  <c r="J207" i="14"/>
  <c r="I207" i="14"/>
  <c r="H207" i="14"/>
  <c r="AE206" i="14"/>
  <c r="AD206" i="14"/>
  <c r="AC206" i="14"/>
  <c r="AB206" i="14"/>
  <c r="AA206" i="14"/>
  <c r="Z206" i="14"/>
  <c r="Y206" i="14"/>
  <c r="X206" i="14"/>
  <c r="W206" i="14"/>
  <c r="V206" i="14"/>
  <c r="U206" i="14"/>
  <c r="T206" i="14"/>
  <c r="S206" i="14"/>
  <c r="R206" i="14"/>
  <c r="Q206" i="14"/>
  <c r="P206" i="14"/>
  <c r="O206" i="14"/>
  <c r="O205" i="14" s="1"/>
  <c r="N206" i="14"/>
  <c r="M206" i="14"/>
  <c r="L206" i="14"/>
  <c r="K206" i="14"/>
  <c r="J206" i="14"/>
  <c r="I206" i="14"/>
  <c r="H206" i="14"/>
  <c r="AE205" i="14"/>
  <c r="AG204" i="14"/>
  <c r="AG203" i="14"/>
  <c r="E202" i="14"/>
  <c r="D202" i="14" s="1"/>
  <c r="C202" i="14"/>
  <c r="C190" i="14" s="1"/>
  <c r="B202" i="14"/>
  <c r="E201" i="14"/>
  <c r="C201" i="14"/>
  <c r="B201" i="14"/>
  <c r="AG201" i="14" s="1"/>
  <c r="E200" i="14"/>
  <c r="D200" i="14" s="1"/>
  <c r="C200" i="14"/>
  <c r="B200" i="14"/>
  <c r="AG200" i="14" s="1"/>
  <c r="AE199" i="14"/>
  <c r="AD199" i="14"/>
  <c r="AC199" i="14"/>
  <c r="AB199" i="14"/>
  <c r="AA199" i="14"/>
  <c r="Z199" i="14"/>
  <c r="Y199" i="14"/>
  <c r="X199" i="14"/>
  <c r="W199" i="14"/>
  <c r="V199" i="14"/>
  <c r="U199" i="14"/>
  <c r="T199" i="14"/>
  <c r="S199" i="14"/>
  <c r="R199" i="14"/>
  <c r="Q199" i="14"/>
  <c r="P199" i="14"/>
  <c r="O199" i="14"/>
  <c r="N199" i="14"/>
  <c r="M199" i="14"/>
  <c r="L199" i="14"/>
  <c r="K199" i="14"/>
  <c r="J199" i="14"/>
  <c r="I199" i="14"/>
  <c r="H199" i="14"/>
  <c r="AG198" i="14"/>
  <c r="AG197" i="14"/>
  <c r="E196" i="14"/>
  <c r="D196" i="14" s="1"/>
  <c r="AG196" i="14"/>
  <c r="E195" i="14"/>
  <c r="C195" i="14"/>
  <c r="B195" i="14"/>
  <c r="AG195" i="14" s="1"/>
  <c r="E194" i="14"/>
  <c r="D194" i="14" s="1"/>
  <c r="C194" i="14"/>
  <c r="B194" i="14"/>
  <c r="AE193" i="14"/>
  <c r="AD193" i="14"/>
  <c r="AC193" i="14"/>
  <c r="AB193" i="14"/>
  <c r="AA193" i="14"/>
  <c r="Z193" i="14"/>
  <c r="Y193" i="14"/>
  <c r="X193" i="14"/>
  <c r="W193" i="14"/>
  <c r="V193" i="14"/>
  <c r="U193" i="14"/>
  <c r="T193" i="14"/>
  <c r="S193" i="14"/>
  <c r="R193" i="14"/>
  <c r="Q193" i="14"/>
  <c r="P193" i="14"/>
  <c r="O193" i="14"/>
  <c r="N193" i="14"/>
  <c r="M193" i="14"/>
  <c r="L193" i="14"/>
  <c r="K193" i="14"/>
  <c r="J193" i="14"/>
  <c r="I193" i="14"/>
  <c r="H193" i="14"/>
  <c r="AG192" i="14"/>
  <c r="AE191" i="14"/>
  <c r="AD191" i="14"/>
  <c r="AC191" i="14"/>
  <c r="AB191" i="14"/>
  <c r="AA191" i="14"/>
  <c r="Z191" i="14"/>
  <c r="Y191" i="14"/>
  <c r="X191" i="14"/>
  <c r="W191" i="14"/>
  <c r="V191" i="14"/>
  <c r="U191" i="14"/>
  <c r="T191" i="14"/>
  <c r="S191" i="14"/>
  <c r="R191" i="14"/>
  <c r="Q191" i="14"/>
  <c r="P191" i="14"/>
  <c r="O191" i="14"/>
  <c r="N191" i="14"/>
  <c r="M191" i="14"/>
  <c r="L191" i="14"/>
  <c r="K191" i="14"/>
  <c r="J191" i="14"/>
  <c r="I191" i="14"/>
  <c r="H191" i="14"/>
  <c r="E191" i="14"/>
  <c r="D191" i="14"/>
  <c r="C191" i="14"/>
  <c r="B191" i="14"/>
  <c r="AE190" i="14"/>
  <c r="AD190" i="14"/>
  <c r="AC190" i="14"/>
  <c r="AB190" i="14"/>
  <c r="AA190" i="14"/>
  <c r="Z190" i="14"/>
  <c r="Y190" i="14"/>
  <c r="X190" i="14"/>
  <c r="W190" i="14"/>
  <c r="V190" i="14"/>
  <c r="U190" i="14"/>
  <c r="T190" i="14"/>
  <c r="S190" i="14"/>
  <c r="R190" i="14"/>
  <c r="Q190" i="14"/>
  <c r="P190" i="14"/>
  <c r="O190" i="14"/>
  <c r="N190" i="14"/>
  <c r="M190" i="14"/>
  <c r="L190" i="14"/>
  <c r="K190" i="14"/>
  <c r="J190" i="14"/>
  <c r="I190" i="14"/>
  <c r="H190" i="14"/>
  <c r="AE189" i="14"/>
  <c r="AD189" i="14"/>
  <c r="AC189" i="14"/>
  <c r="AB189" i="14"/>
  <c r="AA189" i="14"/>
  <c r="Z189" i="14"/>
  <c r="Y189" i="14"/>
  <c r="X189" i="14"/>
  <c r="W189" i="14"/>
  <c r="V189" i="14"/>
  <c r="U189" i="14"/>
  <c r="T189" i="14"/>
  <c r="S189" i="14"/>
  <c r="R189" i="14"/>
  <c r="Q189" i="14"/>
  <c r="P189" i="14"/>
  <c r="O189" i="14"/>
  <c r="N189" i="14"/>
  <c r="M189" i="14"/>
  <c r="L189" i="14"/>
  <c r="K189" i="14"/>
  <c r="J189" i="14"/>
  <c r="I189" i="14"/>
  <c r="H189" i="14"/>
  <c r="AE188" i="14"/>
  <c r="AD188" i="14"/>
  <c r="AC188" i="14"/>
  <c r="AB188" i="14"/>
  <c r="AA188" i="14"/>
  <c r="Z188" i="14"/>
  <c r="Y188" i="14"/>
  <c r="X188" i="14"/>
  <c r="W188" i="14"/>
  <c r="V188" i="14"/>
  <c r="U188" i="14"/>
  <c r="T188" i="14"/>
  <c r="S188" i="14"/>
  <c r="R188" i="14"/>
  <c r="Q188" i="14"/>
  <c r="P188" i="14"/>
  <c r="O188" i="14"/>
  <c r="N188" i="14"/>
  <c r="M188" i="14"/>
  <c r="L188" i="14"/>
  <c r="K188" i="14"/>
  <c r="J188" i="14"/>
  <c r="I188" i="14"/>
  <c r="H188" i="14"/>
  <c r="AG186" i="14"/>
  <c r="AG185" i="14"/>
  <c r="AG184" i="14"/>
  <c r="E183" i="14"/>
  <c r="B183" i="14"/>
  <c r="AG183" i="14" s="1"/>
  <c r="D176" i="14"/>
  <c r="B176" i="14"/>
  <c r="E175" i="14"/>
  <c r="C175" i="14"/>
  <c r="B181" i="14"/>
  <c r="AG181" i="14" s="1"/>
  <c r="AE180" i="14"/>
  <c r="AD180" i="14"/>
  <c r="AC180" i="14"/>
  <c r="AB180" i="14"/>
  <c r="AA180" i="14"/>
  <c r="Z180" i="14"/>
  <c r="Y180" i="14"/>
  <c r="X180" i="14"/>
  <c r="W180" i="14"/>
  <c r="V180" i="14"/>
  <c r="U180" i="14"/>
  <c r="T180" i="14"/>
  <c r="S180" i="14"/>
  <c r="R180" i="14"/>
  <c r="Q180" i="14"/>
  <c r="P180" i="14"/>
  <c r="O180" i="14"/>
  <c r="N180" i="14"/>
  <c r="M180" i="14"/>
  <c r="L180" i="14"/>
  <c r="K180" i="14"/>
  <c r="J180" i="14"/>
  <c r="I180" i="14"/>
  <c r="H180" i="14"/>
  <c r="AG179" i="14"/>
  <c r="AE178" i="14"/>
  <c r="AD178" i="14"/>
  <c r="AC178" i="14"/>
  <c r="AB178" i="14"/>
  <c r="AA178" i="14"/>
  <c r="Z178" i="14"/>
  <c r="Y178" i="14"/>
  <c r="X178" i="14"/>
  <c r="W178" i="14"/>
  <c r="V178" i="14"/>
  <c r="U178" i="14"/>
  <c r="T178" i="14"/>
  <c r="S178" i="14"/>
  <c r="R178" i="14"/>
  <c r="Q178" i="14"/>
  <c r="P178" i="14"/>
  <c r="O178" i="14"/>
  <c r="N178" i="14"/>
  <c r="M178" i="14"/>
  <c r="L178" i="14"/>
  <c r="K178" i="14"/>
  <c r="J178" i="14"/>
  <c r="I178" i="14"/>
  <c r="H178" i="14"/>
  <c r="E178" i="14"/>
  <c r="D178" i="14"/>
  <c r="C178" i="14"/>
  <c r="B178" i="14"/>
  <c r="AE177" i="14"/>
  <c r="AD177" i="14"/>
  <c r="AC177" i="14"/>
  <c r="AB177" i="14"/>
  <c r="AA177" i="14"/>
  <c r="Z177" i="14"/>
  <c r="Y177" i="14"/>
  <c r="X177" i="14"/>
  <c r="W177" i="14"/>
  <c r="V177" i="14"/>
  <c r="U177" i="14"/>
  <c r="T177" i="14"/>
  <c r="S177" i="14"/>
  <c r="R177" i="14"/>
  <c r="Q177" i="14"/>
  <c r="P177" i="14"/>
  <c r="O177" i="14"/>
  <c r="N177" i="14"/>
  <c r="M177" i="14"/>
  <c r="L177" i="14"/>
  <c r="K177" i="14"/>
  <c r="J177" i="14"/>
  <c r="I177" i="14"/>
  <c r="H177" i="14"/>
  <c r="AE176" i="14"/>
  <c r="AD176" i="14"/>
  <c r="AC176" i="14"/>
  <c r="AB176" i="14"/>
  <c r="AA176" i="14"/>
  <c r="Z176" i="14"/>
  <c r="Y176" i="14"/>
  <c r="X176" i="14"/>
  <c r="W176" i="14"/>
  <c r="V176" i="14"/>
  <c r="U176" i="14"/>
  <c r="T176" i="14"/>
  <c r="S176" i="14"/>
  <c r="R176" i="14"/>
  <c r="Q176" i="14"/>
  <c r="P176" i="14"/>
  <c r="O176" i="14"/>
  <c r="N176" i="14"/>
  <c r="M176" i="14"/>
  <c r="L176" i="14"/>
  <c r="K176" i="14"/>
  <c r="J176" i="14"/>
  <c r="I176" i="14"/>
  <c r="H176" i="14"/>
  <c r="C176" i="14"/>
  <c r="AE175" i="14"/>
  <c r="AD175" i="14"/>
  <c r="AC175" i="14"/>
  <c r="AB175" i="14"/>
  <c r="AA175" i="14"/>
  <c r="Z175" i="14"/>
  <c r="Y175" i="14"/>
  <c r="X175" i="14"/>
  <c r="W175" i="14"/>
  <c r="V175" i="14"/>
  <c r="U175" i="14"/>
  <c r="T175" i="14"/>
  <c r="S175" i="14"/>
  <c r="R175" i="14"/>
  <c r="Q175" i="14"/>
  <c r="P175" i="14"/>
  <c r="O175" i="14"/>
  <c r="N175" i="14"/>
  <c r="M175" i="14"/>
  <c r="L175" i="14"/>
  <c r="K175" i="14"/>
  <c r="J175" i="14"/>
  <c r="I175" i="14"/>
  <c r="H175" i="14"/>
  <c r="AG173" i="14"/>
  <c r="AG172" i="14"/>
  <c r="B171" i="14"/>
  <c r="AG171" i="14" s="1"/>
  <c r="E170" i="14"/>
  <c r="E164" i="14" s="1"/>
  <c r="C170" i="14"/>
  <c r="C164" i="14" s="1"/>
  <c r="B170" i="14"/>
  <c r="AG170" i="14" s="1"/>
  <c r="E169" i="14"/>
  <c r="C169" i="14"/>
  <c r="C163" i="14" s="1"/>
  <c r="B169" i="14"/>
  <c r="AG169" i="14" s="1"/>
  <c r="AE168" i="14"/>
  <c r="AD168" i="14"/>
  <c r="AC168" i="14"/>
  <c r="AB168" i="14"/>
  <c r="AA168" i="14"/>
  <c r="Z168" i="14"/>
  <c r="Y168" i="14"/>
  <c r="X168" i="14"/>
  <c r="W168" i="14"/>
  <c r="V168" i="14"/>
  <c r="U168" i="14"/>
  <c r="T168" i="14"/>
  <c r="S168" i="14"/>
  <c r="R168" i="14"/>
  <c r="Q168" i="14"/>
  <c r="P168" i="14"/>
  <c r="O168" i="14"/>
  <c r="N168" i="14"/>
  <c r="M168" i="14"/>
  <c r="L168" i="14"/>
  <c r="J168" i="14"/>
  <c r="I168" i="14"/>
  <c r="H168" i="14"/>
  <c r="AG167" i="14"/>
  <c r="AE166" i="14"/>
  <c r="AD166" i="14"/>
  <c r="AC166" i="14"/>
  <c r="AB166" i="14"/>
  <c r="AA166" i="14"/>
  <c r="Z166" i="14"/>
  <c r="Y166" i="14"/>
  <c r="X166" i="14"/>
  <c r="W166" i="14"/>
  <c r="V166" i="14"/>
  <c r="U166" i="14"/>
  <c r="T166" i="14"/>
  <c r="S166" i="14"/>
  <c r="R166" i="14"/>
  <c r="Q166" i="14"/>
  <c r="P166" i="14"/>
  <c r="O166" i="14"/>
  <c r="N166" i="14"/>
  <c r="M166" i="14"/>
  <c r="L166" i="14"/>
  <c r="K166" i="14"/>
  <c r="J166" i="14"/>
  <c r="I166" i="14"/>
  <c r="H166" i="14"/>
  <c r="E166" i="14"/>
  <c r="D166" i="14"/>
  <c r="C166" i="14"/>
  <c r="B166" i="14"/>
  <c r="AE165" i="14"/>
  <c r="AD165" i="14"/>
  <c r="AC165" i="14"/>
  <c r="AB165" i="14"/>
  <c r="AA165" i="14"/>
  <c r="Z165" i="14"/>
  <c r="Y165" i="14"/>
  <c r="X165" i="14"/>
  <c r="W165" i="14"/>
  <c r="V165" i="14"/>
  <c r="U165" i="14"/>
  <c r="T165" i="14"/>
  <c r="S165" i="14"/>
  <c r="R165" i="14"/>
  <c r="Q165" i="14"/>
  <c r="P165" i="14"/>
  <c r="O165" i="14"/>
  <c r="N165" i="14"/>
  <c r="M165" i="14"/>
  <c r="L165" i="14"/>
  <c r="K165" i="14"/>
  <c r="J165" i="14"/>
  <c r="I165" i="14"/>
  <c r="H165" i="14"/>
  <c r="C165" i="14"/>
  <c r="AE164" i="14"/>
  <c r="AD164" i="14"/>
  <c r="AC164" i="14"/>
  <c r="AB164" i="14"/>
  <c r="AA164" i="14"/>
  <c r="Z164" i="14"/>
  <c r="Y164" i="14"/>
  <c r="X164" i="14"/>
  <c r="W164" i="14"/>
  <c r="V164" i="14"/>
  <c r="U164" i="14"/>
  <c r="T164" i="14"/>
  <c r="S164" i="14"/>
  <c r="R164" i="14"/>
  <c r="Q164" i="14"/>
  <c r="P164" i="14"/>
  <c r="O164" i="14"/>
  <c r="N164" i="14"/>
  <c r="M164" i="14"/>
  <c r="L164" i="14"/>
  <c r="K164" i="14"/>
  <c r="J164" i="14"/>
  <c r="I164" i="14"/>
  <c r="H164" i="14"/>
  <c r="AE163" i="14"/>
  <c r="AD163" i="14"/>
  <c r="AC163" i="14"/>
  <c r="AB163" i="14"/>
  <c r="AA163" i="14"/>
  <c r="Z163" i="14"/>
  <c r="Y163" i="14"/>
  <c r="X163" i="14"/>
  <c r="W163" i="14"/>
  <c r="V163" i="14"/>
  <c r="U163" i="14"/>
  <c r="T163" i="14"/>
  <c r="S163" i="14"/>
  <c r="R163" i="14"/>
  <c r="Q163" i="14"/>
  <c r="P163" i="14"/>
  <c r="O163" i="14"/>
  <c r="N163" i="14"/>
  <c r="M163" i="14"/>
  <c r="L163" i="14"/>
  <c r="K163" i="14"/>
  <c r="J163" i="14"/>
  <c r="I163" i="14"/>
  <c r="H163" i="14"/>
  <c r="AG161" i="14"/>
  <c r="AG159" i="14"/>
  <c r="AG158" i="14"/>
  <c r="E157" i="14"/>
  <c r="E154" i="14" s="1"/>
  <c r="C157" i="14"/>
  <c r="C151" i="14" s="1"/>
  <c r="B157" i="14"/>
  <c r="B154" i="14" s="1"/>
  <c r="AG156" i="14"/>
  <c r="AG155" i="14"/>
  <c r="AE154" i="14"/>
  <c r="AD154" i="14"/>
  <c r="AC154" i="14"/>
  <c r="AB154" i="14"/>
  <c r="AA154" i="14"/>
  <c r="Z154" i="14"/>
  <c r="Y154" i="14"/>
  <c r="X154" i="14"/>
  <c r="W154" i="14"/>
  <c r="V154" i="14"/>
  <c r="U154" i="14"/>
  <c r="T154" i="14"/>
  <c r="S154" i="14"/>
  <c r="R154" i="14"/>
  <c r="Q154" i="14"/>
  <c r="P154" i="14"/>
  <c r="O154" i="14"/>
  <c r="N154" i="14"/>
  <c r="M154" i="14"/>
  <c r="L154" i="14"/>
  <c r="K154" i="14"/>
  <c r="J154" i="14"/>
  <c r="I154" i="14"/>
  <c r="H154" i="14"/>
  <c r="C154" i="14"/>
  <c r="AG153" i="14"/>
  <c r="AE152" i="14"/>
  <c r="AD152" i="14"/>
  <c r="AC152" i="14"/>
  <c r="AB152" i="14"/>
  <c r="AA152" i="14"/>
  <c r="Z152" i="14"/>
  <c r="Y152" i="14"/>
  <c r="X152" i="14"/>
  <c r="W152" i="14"/>
  <c r="V152" i="14"/>
  <c r="U152" i="14"/>
  <c r="T152" i="14"/>
  <c r="S152" i="14"/>
  <c r="R152" i="14"/>
  <c r="Q152" i="14"/>
  <c r="P152" i="14"/>
  <c r="O152" i="14"/>
  <c r="N152" i="14"/>
  <c r="M152" i="14"/>
  <c r="L152" i="14"/>
  <c r="K152" i="14"/>
  <c r="J152" i="14"/>
  <c r="I152" i="14"/>
  <c r="H152" i="14"/>
  <c r="E152" i="14"/>
  <c r="D152" i="14"/>
  <c r="C152" i="14"/>
  <c r="B152" i="14"/>
  <c r="AE151" i="14"/>
  <c r="AD151" i="14"/>
  <c r="AC151" i="14"/>
  <c r="AB151" i="14"/>
  <c r="AA151" i="14"/>
  <c r="Z151" i="14"/>
  <c r="Y151" i="14"/>
  <c r="X151" i="14"/>
  <c r="W151" i="14"/>
  <c r="V151" i="14"/>
  <c r="U151" i="14"/>
  <c r="T151" i="14"/>
  <c r="S151" i="14"/>
  <c r="R151" i="14"/>
  <c r="Q151" i="14"/>
  <c r="P151" i="14"/>
  <c r="O151" i="14"/>
  <c r="N151" i="14"/>
  <c r="M151" i="14"/>
  <c r="L151" i="14"/>
  <c r="K151" i="14"/>
  <c r="J151" i="14"/>
  <c r="I151" i="14"/>
  <c r="H151" i="14"/>
  <c r="AE150" i="14"/>
  <c r="AD150" i="14"/>
  <c r="AC150" i="14"/>
  <c r="AB150" i="14"/>
  <c r="AA150" i="14"/>
  <c r="Z150" i="14"/>
  <c r="Y150" i="14"/>
  <c r="X150" i="14"/>
  <c r="W150" i="14"/>
  <c r="V150" i="14"/>
  <c r="U150" i="14"/>
  <c r="T150" i="14"/>
  <c r="S150" i="14"/>
  <c r="R150" i="14"/>
  <c r="Q150" i="14"/>
  <c r="P150" i="14"/>
  <c r="O150" i="14"/>
  <c r="N150" i="14"/>
  <c r="M150" i="14"/>
  <c r="L150" i="14"/>
  <c r="K150" i="14"/>
  <c r="J150" i="14"/>
  <c r="I150" i="14"/>
  <c r="H150" i="14"/>
  <c r="E150" i="14"/>
  <c r="D150" i="14"/>
  <c r="C150" i="14"/>
  <c r="B150" i="14"/>
  <c r="AE149" i="14"/>
  <c r="AD149" i="14"/>
  <c r="AC149" i="14"/>
  <c r="AB149" i="14"/>
  <c r="AA149" i="14"/>
  <c r="Z149" i="14"/>
  <c r="Y149" i="14"/>
  <c r="X149" i="14"/>
  <c r="W149" i="14"/>
  <c r="V149" i="14"/>
  <c r="U149" i="14"/>
  <c r="T149" i="14"/>
  <c r="S149" i="14"/>
  <c r="R149" i="14"/>
  <c r="Q149" i="14"/>
  <c r="P149" i="14"/>
  <c r="O149" i="14"/>
  <c r="N149" i="14"/>
  <c r="M149" i="14"/>
  <c r="L149" i="14"/>
  <c r="K149" i="14"/>
  <c r="J149" i="14"/>
  <c r="I149" i="14"/>
  <c r="H149" i="14"/>
  <c r="E149" i="14"/>
  <c r="D149" i="14"/>
  <c r="C149" i="14"/>
  <c r="B149" i="14"/>
  <c r="AG147" i="14"/>
  <c r="AG146" i="14"/>
  <c r="AG145" i="14"/>
  <c r="AG144" i="14"/>
  <c r="B143" i="14"/>
  <c r="B140" i="14" s="1"/>
  <c r="AG140" i="14" s="1"/>
  <c r="AG142" i="14"/>
  <c r="AG141" i="14"/>
  <c r="B129" i="14"/>
  <c r="AG132" i="14"/>
  <c r="AE131" i="14"/>
  <c r="AD131" i="14"/>
  <c r="AC131" i="14"/>
  <c r="AB131" i="14"/>
  <c r="AA131" i="14"/>
  <c r="Z131" i="14"/>
  <c r="Y131" i="14"/>
  <c r="X131" i="14"/>
  <c r="W131" i="14"/>
  <c r="V131" i="14"/>
  <c r="U131" i="14"/>
  <c r="T131" i="14"/>
  <c r="S131" i="14"/>
  <c r="R131" i="14"/>
  <c r="Q131" i="14"/>
  <c r="P131" i="14"/>
  <c r="O131" i="14"/>
  <c r="N131" i="14"/>
  <c r="M131" i="14"/>
  <c r="L131" i="14"/>
  <c r="K131" i="14"/>
  <c r="J131" i="14"/>
  <c r="I131" i="14"/>
  <c r="H131" i="14"/>
  <c r="E131" i="14"/>
  <c r="D131" i="14"/>
  <c r="C131" i="14"/>
  <c r="B131" i="14"/>
  <c r="AE130" i="14"/>
  <c r="AD130" i="14"/>
  <c r="AC130" i="14"/>
  <c r="AB130" i="14"/>
  <c r="AA130" i="14"/>
  <c r="Z130" i="14"/>
  <c r="Y130" i="14"/>
  <c r="X130" i="14"/>
  <c r="W130" i="14"/>
  <c r="V130" i="14"/>
  <c r="U130" i="14"/>
  <c r="T130" i="14"/>
  <c r="S130" i="14"/>
  <c r="R130" i="14"/>
  <c r="Q130" i="14"/>
  <c r="P130" i="14"/>
  <c r="O130" i="14"/>
  <c r="N130" i="14"/>
  <c r="M130" i="14"/>
  <c r="L130" i="14"/>
  <c r="K130" i="14"/>
  <c r="J130" i="14"/>
  <c r="I130" i="14"/>
  <c r="H130" i="14"/>
  <c r="AE129" i="14"/>
  <c r="AD129" i="14"/>
  <c r="AC129" i="14"/>
  <c r="AB129" i="14"/>
  <c r="AA129" i="14"/>
  <c r="Z129" i="14"/>
  <c r="Y129" i="14"/>
  <c r="X129" i="14"/>
  <c r="W129" i="14"/>
  <c r="V129" i="14"/>
  <c r="U129" i="14"/>
  <c r="T129" i="14"/>
  <c r="S129" i="14"/>
  <c r="R129" i="14"/>
  <c r="Q129" i="14"/>
  <c r="P129" i="14"/>
  <c r="O129" i="14"/>
  <c r="N129" i="14"/>
  <c r="M129" i="14"/>
  <c r="L129" i="14"/>
  <c r="K129" i="14"/>
  <c r="J129" i="14"/>
  <c r="I129" i="14"/>
  <c r="H129" i="14"/>
  <c r="E129" i="14"/>
  <c r="D129" i="14"/>
  <c r="AE128" i="14"/>
  <c r="AD128" i="14"/>
  <c r="AC128" i="14"/>
  <c r="AB128" i="14"/>
  <c r="AA128" i="14"/>
  <c r="Z128" i="14"/>
  <c r="Y128" i="14"/>
  <c r="X128" i="14"/>
  <c r="W128" i="14"/>
  <c r="V128" i="14"/>
  <c r="U128" i="14"/>
  <c r="T128" i="14"/>
  <c r="S128" i="14"/>
  <c r="R128" i="14"/>
  <c r="Q128" i="14"/>
  <c r="P128" i="14"/>
  <c r="O128" i="14"/>
  <c r="N128" i="14"/>
  <c r="M128" i="14"/>
  <c r="L128" i="14"/>
  <c r="K128" i="14"/>
  <c r="J128" i="14"/>
  <c r="I128" i="14"/>
  <c r="H128" i="14"/>
  <c r="E128" i="14"/>
  <c r="D128" i="14"/>
  <c r="C128" i="14"/>
  <c r="B128" i="14"/>
  <c r="AG126" i="14"/>
  <c r="AG125" i="14"/>
  <c r="E124" i="14"/>
  <c r="C124" i="14"/>
  <c r="B124" i="14"/>
  <c r="AG123" i="14"/>
  <c r="AG122" i="14"/>
  <c r="AE121" i="14"/>
  <c r="AD121" i="14"/>
  <c r="AC121" i="14"/>
  <c r="AB121" i="14"/>
  <c r="AA121" i="14"/>
  <c r="Z121" i="14"/>
  <c r="Y121" i="14"/>
  <c r="X121" i="14"/>
  <c r="W121" i="14"/>
  <c r="V121" i="14"/>
  <c r="U121" i="14"/>
  <c r="T121" i="14"/>
  <c r="S121" i="14"/>
  <c r="R121" i="14"/>
  <c r="Q121" i="14"/>
  <c r="P121" i="14"/>
  <c r="O121" i="14"/>
  <c r="N121" i="14"/>
  <c r="M121" i="14"/>
  <c r="L121" i="14"/>
  <c r="K121" i="14"/>
  <c r="J121" i="14"/>
  <c r="I121" i="14"/>
  <c r="H121" i="14"/>
  <c r="AG120" i="14"/>
  <c r="AG119" i="14"/>
  <c r="E118" i="14"/>
  <c r="D118" i="14" s="1"/>
  <c r="C118" i="14"/>
  <c r="B118" i="14"/>
  <c r="B117" i="14"/>
  <c r="AG117" i="14" s="1"/>
  <c r="AG116" i="14"/>
  <c r="AE115" i="14"/>
  <c r="AD115" i="14"/>
  <c r="AC115" i="14"/>
  <c r="AB115" i="14"/>
  <c r="AA115" i="14"/>
  <c r="Z115" i="14"/>
  <c r="Y115" i="14"/>
  <c r="X115" i="14"/>
  <c r="W115" i="14"/>
  <c r="V115" i="14"/>
  <c r="U115" i="14"/>
  <c r="T115" i="14"/>
  <c r="S115" i="14"/>
  <c r="R115" i="14"/>
  <c r="Q115" i="14"/>
  <c r="P115" i="14"/>
  <c r="O115" i="14"/>
  <c r="N115" i="14"/>
  <c r="M115" i="14"/>
  <c r="L115" i="14"/>
  <c r="K115" i="14"/>
  <c r="J115" i="14"/>
  <c r="I115" i="14"/>
  <c r="H115" i="14"/>
  <c r="AG114" i="14"/>
  <c r="AG113" i="14"/>
  <c r="E112" i="14"/>
  <c r="D112" i="14" s="1"/>
  <c r="C112" i="14"/>
  <c r="B112" i="14"/>
  <c r="B111" i="14"/>
  <c r="AG111" i="14" s="1"/>
  <c r="AG110" i="14"/>
  <c r="AE109" i="14"/>
  <c r="AD109" i="14"/>
  <c r="AC109" i="14"/>
  <c r="AB109" i="14"/>
  <c r="AA109" i="14"/>
  <c r="Z109" i="14"/>
  <c r="Y109" i="14"/>
  <c r="X109" i="14"/>
  <c r="W109" i="14"/>
  <c r="V109" i="14"/>
  <c r="U109" i="14"/>
  <c r="T109" i="14"/>
  <c r="S109" i="14"/>
  <c r="R109" i="14"/>
  <c r="Q109" i="14"/>
  <c r="P109" i="14"/>
  <c r="O109" i="14"/>
  <c r="N109" i="14"/>
  <c r="M109" i="14"/>
  <c r="L109" i="14"/>
  <c r="K109" i="14"/>
  <c r="J109" i="14"/>
  <c r="I109" i="14"/>
  <c r="H109" i="14"/>
  <c r="AG108" i="14"/>
  <c r="AG107" i="14"/>
  <c r="E106" i="14"/>
  <c r="D106" i="14" s="1"/>
  <c r="C106" i="14"/>
  <c r="C103" i="14" s="1"/>
  <c r="B106" i="14"/>
  <c r="E105" i="14"/>
  <c r="B105" i="14"/>
  <c r="AG104" i="14"/>
  <c r="AE103" i="14"/>
  <c r="AD103" i="14"/>
  <c r="AC103" i="14"/>
  <c r="AB103" i="14"/>
  <c r="AA103" i="14"/>
  <c r="Z103" i="14"/>
  <c r="Y103" i="14"/>
  <c r="X103" i="14"/>
  <c r="W103" i="14"/>
  <c r="V103" i="14"/>
  <c r="U103" i="14"/>
  <c r="T103" i="14"/>
  <c r="S103" i="14"/>
  <c r="R103" i="14"/>
  <c r="Q103" i="14"/>
  <c r="P103" i="14"/>
  <c r="O103" i="14"/>
  <c r="N103" i="14"/>
  <c r="M103" i="14"/>
  <c r="L103" i="14"/>
  <c r="K103" i="14"/>
  <c r="J103" i="14"/>
  <c r="I103" i="14"/>
  <c r="H103" i="14"/>
  <c r="AG102" i="14"/>
  <c r="AG101" i="14"/>
  <c r="C97" i="14"/>
  <c r="B100" i="14"/>
  <c r="AG99" i="14"/>
  <c r="AG98" i="14"/>
  <c r="AE97" i="14"/>
  <c r="AD97" i="14"/>
  <c r="AC97" i="14"/>
  <c r="AB97" i="14"/>
  <c r="AA97" i="14"/>
  <c r="Z97" i="14"/>
  <c r="Y97" i="14"/>
  <c r="X97" i="14"/>
  <c r="W97" i="14"/>
  <c r="V97" i="14"/>
  <c r="U97" i="14"/>
  <c r="T97" i="14"/>
  <c r="S97" i="14"/>
  <c r="R97" i="14"/>
  <c r="Q97" i="14"/>
  <c r="P97" i="14"/>
  <c r="O97" i="14"/>
  <c r="N97" i="14"/>
  <c r="M97" i="14"/>
  <c r="L97" i="14"/>
  <c r="K97" i="14"/>
  <c r="J97" i="14"/>
  <c r="I97" i="14"/>
  <c r="H97" i="14"/>
  <c r="AG96" i="14"/>
  <c r="AG95" i="14"/>
  <c r="E94" i="14"/>
  <c r="D94" i="14" s="1"/>
  <c r="C94" i="14"/>
  <c r="B94" i="14"/>
  <c r="AG93" i="14"/>
  <c r="E92" i="14"/>
  <c r="D92" i="14" s="1"/>
  <c r="D86" i="14" s="1"/>
  <c r="B92" i="14"/>
  <c r="B86" i="14" s="1"/>
  <c r="AE91" i="14"/>
  <c r="AD91" i="14"/>
  <c r="AC91" i="14"/>
  <c r="AB91" i="14"/>
  <c r="AA91" i="14"/>
  <c r="Z91" i="14"/>
  <c r="Y91" i="14"/>
  <c r="X91" i="14"/>
  <c r="W91" i="14"/>
  <c r="V91" i="14"/>
  <c r="U91" i="14"/>
  <c r="T91" i="14"/>
  <c r="S91" i="14"/>
  <c r="R91" i="14"/>
  <c r="Q91" i="14"/>
  <c r="P91" i="14"/>
  <c r="O91" i="14"/>
  <c r="N91" i="14"/>
  <c r="M91" i="14"/>
  <c r="L91" i="14"/>
  <c r="K91" i="14"/>
  <c r="J91" i="14"/>
  <c r="I91" i="14"/>
  <c r="H91" i="14"/>
  <c r="AG90" i="14"/>
  <c r="AE89" i="14"/>
  <c r="AD83" i="14"/>
  <c r="AC89" i="14"/>
  <c r="AC83" i="14" s="1"/>
  <c r="AB89" i="14"/>
  <c r="AB83" i="14" s="1"/>
  <c r="AA89" i="14"/>
  <c r="Z89" i="14"/>
  <c r="Z83" i="14" s="1"/>
  <c r="Y89" i="14"/>
  <c r="Y83" i="14" s="1"/>
  <c r="X89" i="14"/>
  <c r="X83" i="14" s="1"/>
  <c r="W89" i="14"/>
  <c r="V89" i="14"/>
  <c r="V83" i="14" s="1"/>
  <c r="U89" i="14"/>
  <c r="U83" i="14" s="1"/>
  <c r="T89" i="14"/>
  <c r="T83" i="14" s="1"/>
  <c r="S89" i="14"/>
  <c r="R89" i="14"/>
  <c r="R83" i="14" s="1"/>
  <c r="Q89" i="14"/>
  <c r="Q83" i="14" s="1"/>
  <c r="P89" i="14"/>
  <c r="P83" i="14" s="1"/>
  <c r="O89" i="14"/>
  <c r="N89" i="14"/>
  <c r="N83" i="14" s="1"/>
  <c r="M89" i="14"/>
  <c r="M83" i="14" s="1"/>
  <c r="L89" i="14"/>
  <c r="L83" i="14" s="1"/>
  <c r="K89" i="14"/>
  <c r="J89" i="14"/>
  <c r="J83" i="14" s="1"/>
  <c r="I89" i="14"/>
  <c r="I83" i="14" s="1"/>
  <c r="H89" i="14"/>
  <c r="H83" i="14" s="1"/>
  <c r="E89" i="14"/>
  <c r="D89" i="14"/>
  <c r="B89" i="14"/>
  <c r="AE88" i="14"/>
  <c r="AE82" i="14" s="1"/>
  <c r="AD88" i="14"/>
  <c r="AD82" i="14" s="1"/>
  <c r="AC88" i="14"/>
  <c r="AC82" i="14" s="1"/>
  <c r="AB88" i="14"/>
  <c r="AB82" i="14" s="1"/>
  <c r="AA88" i="14"/>
  <c r="AA82" i="14" s="1"/>
  <c r="Z88" i="14"/>
  <c r="Z82" i="14" s="1"/>
  <c r="Y88" i="14"/>
  <c r="Y82" i="14" s="1"/>
  <c r="X88" i="14"/>
  <c r="X82" i="14" s="1"/>
  <c r="W88" i="14"/>
  <c r="W82" i="14" s="1"/>
  <c r="V88" i="14"/>
  <c r="V82" i="14" s="1"/>
  <c r="U88" i="14"/>
  <c r="T88" i="14"/>
  <c r="T82" i="14" s="1"/>
  <c r="S88" i="14"/>
  <c r="S82" i="14" s="1"/>
  <c r="R88" i="14"/>
  <c r="R82" i="14" s="1"/>
  <c r="Q88" i="14"/>
  <c r="Q82" i="14" s="1"/>
  <c r="P88" i="14"/>
  <c r="P82" i="14" s="1"/>
  <c r="O88" i="14"/>
  <c r="O82" i="14" s="1"/>
  <c r="N88" i="14"/>
  <c r="N82" i="14" s="1"/>
  <c r="M88" i="14"/>
  <c r="M82" i="14" s="1"/>
  <c r="L88" i="14"/>
  <c r="L82" i="14" s="1"/>
  <c r="K88" i="14"/>
  <c r="K82" i="14" s="1"/>
  <c r="J88" i="14"/>
  <c r="J82" i="14" s="1"/>
  <c r="I88" i="14"/>
  <c r="I82" i="14" s="1"/>
  <c r="H88" i="14"/>
  <c r="H82" i="14" s="1"/>
  <c r="AE87" i="14"/>
  <c r="AE81" i="14" s="1"/>
  <c r="AD87" i="14"/>
  <c r="AD81" i="14" s="1"/>
  <c r="AC87" i="14"/>
  <c r="AC81" i="14" s="1"/>
  <c r="AB87" i="14"/>
  <c r="AB81" i="14" s="1"/>
  <c r="AA87" i="14"/>
  <c r="AA81" i="14" s="1"/>
  <c r="Z87" i="14"/>
  <c r="Z81" i="14" s="1"/>
  <c r="Y87" i="14"/>
  <c r="Y81" i="14" s="1"/>
  <c r="X87" i="14"/>
  <c r="X81" i="14" s="1"/>
  <c r="W87" i="14"/>
  <c r="W81" i="14" s="1"/>
  <c r="V87" i="14"/>
  <c r="V81" i="14" s="1"/>
  <c r="U87" i="14"/>
  <c r="U81" i="14" s="1"/>
  <c r="T87" i="14"/>
  <c r="T81" i="14" s="1"/>
  <c r="S87" i="14"/>
  <c r="S81" i="14" s="1"/>
  <c r="R87" i="14"/>
  <c r="R81" i="14" s="1"/>
  <c r="Q87" i="14"/>
  <c r="Q81" i="14" s="1"/>
  <c r="P87" i="14"/>
  <c r="P81" i="14" s="1"/>
  <c r="O87" i="14"/>
  <c r="O81" i="14" s="1"/>
  <c r="N87" i="14"/>
  <c r="N81" i="14" s="1"/>
  <c r="M87" i="14"/>
  <c r="M81" i="14" s="1"/>
  <c r="L87" i="14"/>
  <c r="L81" i="14" s="1"/>
  <c r="K87" i="14"/>
  <c r="K81" i="14" s="1"/>
  <c r="J87" i="14"/>
  <c r="J81" i="14" s="1"/>
  <c r="I87" i="14"/>
  <c r="I81" i="14" s="1"/>
  <c r="AE86" i="14"/>
  <c r="AE80" i="14" s="1"/>
  <c r="AD86" i="14"/>
  <c r="AD80" i="14" s="1"/>
  <c r="AC86" i="14"/>
  <c r="AC80" i="14" s="1"/>
  <c r="AB86" i="14"/>
  <c r="AB80" i="14" s="1"/>
  <c r="AA86" i="14"/>
  <c r="AA80" i="14" s="1"/>
  <c r="Z86" i="14"/>
  <c r="Z80" i="14" s="1"/>
  <c r="Y86" i="14"/>
  <c r="Y80" i="14" s="1"/>
  <c r="X86" i="14"/>
  <c r="X80" i="14" s="1"/>
  <c r="W86" i="14"/>
  <c r="W80" i="14" s="1"/>
  <c r="V86" i="14"/>
  <c r="V80" i="14" s="1"/>
  <c r="U86" i="14"/>
  <c r="U80" i="14" s="1"/>
  <c r="T86" i="14"/>
  <c r="T80" i="14" s="1"/>
  <c r="S86" i="14"/>
  <c r="S80" i="14" s="1"/>
  <c r="R86" i="14"/>
  <c r="R80" i="14" s="1"/>
  <c r="Q86" i="14"/>
  <c r="Q80" i="14" s="1"/>
  <c r="P86" i="14"/>
  <c r="P80" i="14" s="1"/>
  <c r="O86" i="14"/>
  <c r="O80" i="14" s="1"/>
  <c r="N86" i="14"/>
  <c r="N80" i="14" s="1"/>
  <c r="M86" i="14"/>
  <c r="M80" i="14" s="1"/>
  <c r="L86" i="14"/>
  <c r="L80" i="14" s="1"/>
  <c r="K86" i="14"/>
  <c r="K80" i="14" s="1"/>
  <c r="J86" i="14"/>
  <c r="J80" i="14" s="1"/>
  <c r="I86" i="14"/>
  <c r="I80" i="14" s="1"/>
  <c r="H86" i="14"/>
  <c r="H80" i="14" s="1"/>
  <c r="AG84" i="14"/>
  <c r="AG78" i="14"/>
  <c r="AG77" i="14"/>
  <c r="D76" i="14"/>
  <c r="D73" i="14" s="1"/>
  <c r="C73" i="14"/>
  <c r="B76" i="14"/>
  <c r="AG75" i="14"/>
  <c r="AG74" i="14"/>
  <c r="AE73" i="14"/>
  <c r="AD73" i="14"/>
  <c r="AC73" i="14"/>
  <c r="AB73" i="14"/>
  <c r="AA73" i="14"/>
  <c r="Z73" i="14"/>
  <c r="Y73" i="14"/>
  <c r="X73" i="14"/>
  <c r="W73" i="14"/>
  <c r="V73" i="14"/>
  <c r="U73" i="14"/>
  <c r="T73" i="14"/>
  <c r="S73" i="14"/>
  <c r="R73" i="14"/>
  <c r="Q73" i="14"/>
  <c r="P73" i="14"/>
  <c r="O73" i="14"/>
  <c r="N73" i="14"/>
  <c r="L73" i="14"/>
  <c r="K73" i="14"/>
  <c r="J73" i="14"/>
  <c r="I73" i="14"/>
  <c r="H73" i="14"/>
  <c r="AG72" i="14"/>
  <c r="AG71" i="14"/>
  <c r="D67" i="14"/>
  <c r="B70" i="14"/>
  <c r="B67" i="14" s="1"/>
  <c r="AG69" i="14"/>
  <c r="AG68" i="14"/>
  <c r="AE67" i="14"/>
  <c r="AD67" i="14"/>
  <c r="AC67" i="14"/>
  <c r="AB67" i="14"/>
  <c r="AA67" i="14"/>
  <c r="Z67" i="14"/>
  <c r="Y67" i="14"/>
  <c r="X67" i="14"/>
  <c r="W67" i="14"/>
  <c r="V67" i="14"/>
  <c r="U67" i="14"/>
  <c r="T67" i="14"/>
  <c r="S67" i="14"/>
  <c r="R67" i="14"/>
  <c r="Q67" i="14"/>
  <c r="P67" i="14"/>
  <c r="N67" i="14"/>
  <c r="M67" i="14"/>
  <c r="L67" i="14"/>
  <c r="K67" i="14"/>
  <c r="J67" i="14"/>
  <c r="I67" i="14"/>
  <c r="H67" i="14"/>
  <c r="AG66" i="14"/>
  <c r="AE65" i="14"/>
  <c r="AD65" i="14"/>
  <c r="AC65" i="14"/>
  <c r="AB65" i="14"/>
  <c r="AA65" i="14"/>
  <c r="Z65" i="14"/>
  <c r="Y65" i="14"/>
  <c r="X65" i="14"/>
  <c r="W65" i="14"/>
  <c r="V65" i="14"/>
  <c r="U65" i="14"/>
  <c r="T65" i="14"/>
  <c r="S65" i="14"/>
  <c r="R65" i="14"/>
  <c r="Q65" i="14"/>
  <c r="P65" i="14"/>
  <c r="O65" i="14"/>
  <c r="N65" i="14"/>
  <c r="M65" i="14"/>
  <c r="L65" i="14"/>
  <c r="K65" i="14"/>
  <c r="J65" i="14"/>
  <c r="I65" i="14"/>
  <c r="H65" i="14"/>
  <c r="E65" i="14"/>
  <c r="D65" i="14"/>
  <c r="C65" i="14"/>
  <c r="B65" i="14"/>
  <c r="AE64" i="14"/>
  <c r="AD64" i="14"/>
  <c r="AC64" i="14"/>
  <c r="AB64" i="14"/>
  <c r="AA64" i="14"/>
  <c r="Z64" i="14"/>
  <c r="Y64" i="14"/>
  <c r="X64" i="14"/>
  <c r="W64" i="14"/>
  <c r="V64" i="14"/>
  <c r="U64" i="14"/>
  <c r="T64" i="14"/>
  <c r="S64" i="14"/>
  <c r="R64" i="14"/>
  <c r="Q64" i="14"/>
  <c r="P64" i="14"/>
  <c r="O64" i="14"/>
  <c r="N64" i="14"/>
  <c r="M64" i="14"/>
  <c r="L64" i="14"/>
  <c r="K64" i="14"/>
  <c r="J64" i="14"/>
  <c r="I64" i="14"/>
  <c r="H64" i="14"/>
  <c r="AE63" i="14"/>
  <c r="AD63" i="14"/>
  <c r="AC63" i="14"/>
  <c r="AB63" i="14"/>
  <c r="AA63" i="14"/>
  <c r="Z63" i="14"/>
  <c r="Y63" i="14"/>
  <c r="X63" i="14"/>
  <c r="W63" i="14"/>
  <c r="V63" i="14"/>
  <c r="U63" i="14"/>
  <c r="T63" i="14"/>
  <c r="S63" i="14"/>
  <c r="R63" i="14"/>
  <c r="Q63" i="14"/>
  <c r="P63" i="14"/>
  <c r="O63" i="14"/>
  <c r="N63" i="14"/>
  <c r="M63" i="14"/>
  <c r="L63" i="14"/>
  <c r="K63" i="14"/>
  <c r="J63" i="14"/>
  <c r="I63" i="14"/>
  <c r="H63" i="14"/>
  <c r="E63" i="14"/>
  <c r="D63" i="14"/>
  <c r="C63" i="14"/>
  <c r="B63" i="14"/>
  <c r="AE62" i="14"/>
  <c r="AD62" i="14"/>
  <c r="AC62" i="14"/>
  <c r="AC61" i="14" s="1"/>
  <c r="AB62" i="14"/>
  <c r="AA62" i="14"/>
  <c r="Z62" i="14"/>
  <c r="Y62" i="14"/>
  <c r="Y61" i="14" s="1"/>
  <c r="X62" i="14"/>
  <c r="W62" i="14"/>
  <c r="V62" i="14"/>
  <c r="U62" i="14"/>
  <c r="T62" i="14"/>
  <c r="S62" i="14"/>
  <c r="R62" i="14"/>
  <c r="Q62" i="14"/>
  <c r="Q61" i="14" s="1"/>
  <c r="P62" i="14"/>
  <c r="O62" i="14"/>
  <c r="N62" i="14"/>
  <c r="M62" i="14"/>
  <c r="M61" i="14" s="1"/>
  <c r="L62" i="14"/>
  <c r="K62" i="14"/>
  <c r="J62" i="14"/>
  <c r="I62" i="14"/>
  <c r="H62" i="14"/>
  <c r="E62" i="14"/>
  <c r="D62" i="14"/>
  <c r="C62" i="14"/>
  <c r="B62" i="14"/>
  <c r="AG60" i="14"/>
  <c r="AG53" i="14"/>
  <c r="E52" i="14"/>
  <c r="D52" i="14" s="1"/>
  <c r="D49" i="14" s="1"/>
  <c r="C52" i="14"/>
  <c r="C49" i="14" s="1"/>
  <c r="B52" i="14"/>
  <c r="AG51" i="14"/>
  <c r="AG50" i="14"/>
  <c r="AE49" i="14"/>
  <c r="AD49" i="14"/>
  <c r="AC49" i="14"/>
  <c r="AB49" i="14"/>
  <c r="AA49" i="14"/>
  <c r="Z49" i="14"/>
  <c r="Y49" i="14"/>
  <c r="X49" i="14"/>
  <c r="W49" i="14"/>
  <c r="V49" i="14"/>
  <c r="U49" i="14"/>
  <c r="T49" i="14"/>
  <c r="S49" i="14"/>
  <c r="R49" i="14"/>
  <c r="Q49" i="14"/>
  <c r="P49" i="14"/>
  <c r="O49" i="14"/>
  <c r="N49" i="14"/>
  <c r="M49" i="14"/>
  <c r="L49" i="14"/>
  <c r="K49" i="14"/>
  <c r="J49" i="14"/>
  <c r="I49" i="14"/>
  <c r="H49" i="14"/>
  <c r="AG48" i="14"/>
  <c r="AG47" i="14"/>
  <c r="E43" i="14"/>
  <c r="B46" i="14"/>
  <c r="B43" i="14" s="1"/>
  <c r="AG45" i="14"/>
  <c r="AG44" i="14"/>
  <c r="AE43" i="14"/>
  <c r="AD43" i="14"/>
  <c r="AC43" i="14"/>
  <c r="AB43" i="14"/>
  <c r="AA43" i="14"/>
  <c r="Z43" i="14"/>
  <c r="Y43" i="14"/>
  <c r="X43" i="14"/>
  <c r="W43" i="14"/>
  <c r="V43" i="14"/>
  <c r="U43" i="14"/>
  <c r="T43" i="14"/>
  <c r="S43" i="14"/>
  <c r="R43" i="14"/>
  <c r="Q43" i="14"/>
  <c r="P43" i="14"/>
  <c r="O43" i="14"/>
  <c r="M43" i="14"/>
  <c r="L43" i="14"/>
  <c r="K43" i="14"/>
  <c r="J43" i="14"/>
  <c r="I43" i="14"/>
  <c r="H43" i="14"/>
  <c r="C43" i="14"/>
  <c r="AG42" i="14"/>
  <c r="AG41" i="14"/>
  <c r="AG40" i="14"/>
  <c r="E39" i="14"/>
  <c r="C39" i="14"/>
  <c r="B39" i="14"/>
  <c r="AG39" i="14" s="1"/>
  <c r="E38" i="14"/>
  <c r="D38" i="14" s="1"/>
  <c r="C38" i="14"/>
  <c r="B38" i="14"/>
  <c r="AE37" i="14"/>
  <c r="AD37" i="14"/>
  <c r="AC37" i="14"/>
  <c r="AB37" i="14"/>
  <c r="AA37" i="14"/>
  <c r="Z37" i="14"/>
  <c r="Y37" i="14"/>
  <c r="X37" i="14"/>
  <c r="W37" i="14"/>
  <c r="V37" i="14"/>
  <c r="U37" i="14"/>
  <c r="T37" i="14"/>
  <c r="S37" i="14"/>
  <c r="R37" i="14"/>
  <c r="Q37" i="14"/>
  <c r="P37" i="14"/>
  <c r="O37" i="14"/>
  <c r="N37" i="14"/>
  <c r="M37" i="14"/>
  <c r="L37" i="14"/>
  <c r="K37" i="14"/>
  <c r="J37" i="14"/>
  <c r="I37" i="14"/>
  <c r="H37" i="14"/>
  <c r="AG36" i="14"/>
  <c r="AE35" i="14"/>
  <c r="AD35" i="14"/>
  <c r="AC35" i="14"/>
  <c r="AB35" i="14"/>
  <c r="AA35" i="14"/>
  <c r="Z35" i="14"/>
  <c r="Y35" i="14"/>
  <c r="X35" i="14"/>
  <c r="W35" i="14"/>
  <c r="V35" i="14"/>
  <c r="U35" i="14"/>
  <c r="T35" i="14"/>
  <c r="S35" i="14"/>
  <c r="R35" i="14"/>
  <c r="Q35" i="14"/>
  <c r="P35" i="14"/>
  <c r="O35" i="14"/>
  <c r="N35" i="14"/>
  <c r="M35" i="14"/>
  <c r="L35" i="14"/>
  <c r="K35" i="14"/>
  <c r="J35" i="14"/>
  <c r="I35" i="14"/>
  <c r="H35" i="14"/>
  <c r="C35" i="14" s="1"/>
  <c r="AE33" i="14"/>
  <c r="AD33" i="14"/>
  <c r="AC33" i="14"/>
  <c r="AB33" i="14"/>
  <c r="AA33" i="14"/>
  <c r="Z33" i="14"/>
  <c r="Y33" i="14"/>
  <c r="X33" i="14"/>
  <c r="W33" i="14"/>
  <c r="V33" i="14"/>
  <c r="U33" i="14"/>
  <c r="T33" i="14"/>
  <c r="S33" i="14"/>
  <c r="R33" i="14"/>
  <c r="Q33" i="14"/>
  <c r="P33" i="14"/>
  <c r="O33" i="14"/>
  <c r="N33" i="14"/>
  <c r="M33" i="14"/>
  <c r="L33" i="14"/>
  <c r="K33" i="14"/>
  <c r="J33" i="14"/>
  <c r="I33" i="14"/>
  <c r="H33" i="14"/>
  <c r="C33" i="14" s="1"/>
  <c r="AE32" i="14"/>
  <c r="AD32" i="14"/>
  <c r="AC32" i="14"/>
  <c r="AB32" i="14"/>
  <c r="AA32" i="14"/>
  <c r="Z32" i="14"/>
  <c r="Y32" i="14"/>
  <c r="X32" i="14"/>
  <c r="W32" i="14"/>
  <c r="V32" i="14"/>
  <c r="U32" i="14"/>
  <c r="T32" i="14"/>
  <c r="S32" i="14"/>
  <c r="R32" i="14"/>
  <c r="Q32" i="14"/>
  <c r="P32" i="14"/>
  <c r="O32" i="14"/>
  <c r="N32" i="14"/>
  <c r="M32" i="14"/>
  <c r="L32" i="14"/>
  <c r="K32" i="14"/>
  <c r="J32" i="14"/>
  <c r="I32" i="14"/>
  <c r="H32" i="14"/>
  <c r="AG30" i="14"/>
  <c r="AG29" i="14"/>
  <c r="E28" i="14"/>
  <c r="C28" i="14"/>
  <c r="B28" i="14"/>
  <c r="E27" i="14"/>
  <c r="C27" i="14"/>
  <c r="B27" i="14"/>
  <c r="AG27" i="14" s="1"/>
  <c r="E26" i="14"/>
  <c r="D26" i="14" s="1"/>
  <c r="C26" i="14"/>
  <c r="B26" i="14"/>
  <c r="AG26" i="14" s="1"/>
  <c r="E25" i="14"/>
  <c r="C25" i="14"/>
  <c r="B25" i="14"/>
  <c r="AG25" i="14" s="1"/>
  <c r="AE24" i="14"/>
  <c r="AD24" i="14"/>
  <c r="AC24" i="14"/>
  <c r="AB24" i="14"/>
  <c r="AA24" i="14"/>
  <c r="Z24" i="14"/>
  <c r="Y24" i="14"/>
  <c r="X24" i="14"/>
  <c r="W24" i="14"/>
  <c r="V24" i="14"/>
  <c r="U24" i="14"/>
  <c r="T24" i="14"/>
  <c r="S24" i="14"/>
  <c r="R24" i="14"/>
  <c r="Q24" i="14"/>
  <c r="P24" i="14"/>
  <c r="O24" i="14"/>
  <c r="N24" i="14"/>
  <c r="M24" i="14"/>
  <c r="L24" i="14"/>
  <c r="K24" i="14"/>
  <c r="J24" i="14"/>
  <c r="I24" i="14"/>
  <c r="H24" i="14"/>
  <c r="AG23" i="14"/>
  <c r="AG22" i="14"/>
  <c r="E21" i="14"/>
  <c r="B21" i="14"/>
  <c r="E20" i="14"/>
  <c r="C20" i="14"/>
  <c r="B20" i="14"/>
  <c r="E19" i="14"/>
  <c r="C19" i="14"/>
  <c r="B19" i="14"/>
  <c r="AE18" i="14"/>
  <c r="AD18" i="14"/>
  <c r="AC18" i="14"/>
  <c r="AB18" i="14"/>
  <c r="AA18" i="14"/>
  <c r="Z18" i="14"/>
  <c r="Y18" i="14"/>
  <c r="X18" i="14"/>
  <c r="W18" i="14"/>
  <c r="V18" i="14"/>
  <c r="U18" i="14"/>
  <c r="T18" i="14"/>
  <c r="S18" i="14"/>
  <c r="R18" i="14"/>
  <c r="Q18" i="14"/>
  <c r="P18" i="14"/>
  <c r="O18" i="14"/>
  <c r="N18" i="14"/>
  <c r="M18" i="14"/>
  <c r="L18" i="14"/>
  <c r="K18" i="14"/>
  <c r="J18" i="14"/>
  <c r="I18" i="14"/>
  <c r="H18" i="14"/>
  <c r="AG17" i="14"/>
  <c r="AE16" i="14"/>
  <c r="AD16" i="14"/>
  <c r="AC16" i="14"/>
  <c r="AB16" i="14"/>
  <c r="AA16" i="14"/>
  <c r="Z16" i="14"/>
  <c r="Y16" i="14"/>
  <c r="X16" i="14"/>
  <c r="W16" i="14"/>
  <c r="V16" i="14"/>
  <c r="U16" i="14"/>
  <c r="T16" i="14"/>
  <c r="S16" i="14"/>
  <c r="R16" i="14"/>
  <c r="Q16" i="14"/>
  <c r="P16" i="14"/>
  <c r="O16" i="14"/>
  <c r="N16" i="14"/>
  <c r="M16" i="14"/>
  <c r="L16" i="14"/>
  <c r="K16" i="14"/>
  <c r="J16" i="14"/>
  <c r="I16" i="14"/>
  <c r="H16" i="14"/>
  <c r="E16" i="14"/>
  <c r="D16" i="14"/>
  <c r="C16" i="14"/>
  <c r="B16" i="14"/>
  <c r="AE15" i="14"/>
  <c r="AD15" i="14"/>
  <c r="AC15" i="14"/>
  <c r="AB15" i="14"/>
  <c r="AA15" i="14"/>
  <c r="Z15" i="14"/>
  <c r="Y15" i="14"/>
  <c r="X15" i="14"/>
  <c r="W15" i="14"/>
  <c r="V15" i="14"/>
  <c r="U15" i="14"/>
  <c r="T15" i="14"/>
  <c r="S15" i="14"/>
  <c r="R15" i="14"/>
  <c r="Q15" i="14"/>
  <c r="P15" i="14"/>
  <c r="O15" i="14"/>
  <c r="N15" i="14"/>
  <c r="M15" i="14"/>
  <c r="L15" i="14"/>
  <c r="K15" i="14"/>
  <c r="J15" i="14"/>
  <c r="I15" i="14"/>
  <c r="H15" i="14"/>
  <c r="AE14" i="14"/>
  <c r="AD14" i="14"/>
  <c r="AC14" i="14"/>
  <c r="AB14" i="14"/>
  <c r="AA14" i="14"/>
  <c r="Z14" i="14"/>
  <c r="Y14" i="14"/>
  <c r="X14" i="14"/>
  <c r="W14" i="14"/>
  <c r="V14" i="14"/>
  <c r="U14" i="14"/>
  <c r="T14" i="14"/>
  <c r="S14" i="14"/>
  <c r="R14" i="14"/>
  <c r="Q14" i="14"/>
  <c r="P14" i="14"/>
  <c r="O14" i="14"/>
  <c r="N14" i="14"/>
  <c r="M14" i="14"/>
  <c r="L14" i="14"/>
  <c r="K14" i="14"/>
  <c r="J14" i="14"/>
  <c r="I14" i="14"/>
  <c r="H14" i="14"/>
  <c r="AE13" i="14"/>
  <c r="AD13" i="14"/>
  <c r="AC13" i="14"/>
  <c r="AB13" i="14"/>
  <c r="AA13" i="14"/>
  <c r="Z13" i="14"/>
  <c r="Y13" i="14"/>
  <c r="X13" i="14"/>
  <c r="W13" i="14"/>
  <c r="V13" i="14"/>
  <c r="U13" i="14"/>
  <c r="T13" i="14"/>
  <c r="S13" i="14"/>
  <c r="R13" i="14"/>
  <c r="Q13" i="14"/>
  <c r="P13" i="14"/>
  <c r="O13" i="14"/>
  <c r="N13" i="14"/>
  <c r="M13" i="14"/>
  <c r="L13" i="14"/>
  <c r="K13" i="14"/>
  <c r="J13" i="14"/>
  <c r="I13" i="14"/>
  <c r="H13" i="14"/>
  <c r="AG11" i="14"/>
  <c r="E137" i="12"/>
  <c r="D137" i="12" s="1"/>
  <c r="C137" i="12"/>
  <c r="B137" i="12"/>
  <c r="AG137" i="12" s="1"/>
  <c r="E136" i="12"/>
  <c r="C136" i="12"/>
  <c r="B136" i="12"/>
  <c r="AG136" i="12" s="1"/>
  <c r="E135" i="12"/>
  <c r="D135" i="12" s="1"/>
  <c r="C135" i="12"/>
  <c r="B135" i="12"/>
  <c r="AG135" i="12" s="1"/>
  <c r="E134" i="12"/>
  <c r="C134" i="12"/>
  <c r="B134" i="12"/>
  <c r="AE133" i="12"/>
  <c r="AD133" i="12"/>
  <c r="AC133" i="12"/>
  <c r="AB133" i="12"/>
  <c r="AA133" i="12"/>
  <c r="Z133" i="12"/>
  <c r="Y133" i="12"/>
  <c r="X133" i="12"/>
  <c r="W133" i="12"/>
  <c r="V133" i="12"/>
  <c r="U133" i="12"/>
  <c r="T133" i="12"/>
  <c r="S133" i="12"/>
  <c r="R133" i="12"/>
  <c r="Q133" i="12"/>
  <c r="P133" i="12"/>
  <c r="O133" i="12"/>
  <c r="N133" i="12"/>
  <c r="M133" i="12"/>
  <c r="L133" i="12"/>
  <c r="K133" i="12"/>
  <c r="J133" i="12"/>
  <c r="I133" i="12"/>
  <c r="H133" i="12"/>
  <c r="AG132" i="12"/>
  <c r="E131" i="12"/>
  <c r="D131" i="12" s="1"/>
  <c r="C131" i="12"/>
  <c r="B131" i="12"/>
  <c r="AG131" i="12" s="1"/>
  <c r="E130" i="12"/>
  <c r="C130" i="12"/>
  <c r="B130" i="12"/>
  <c r="AG130" i="12" s="1"/>
  <c r="E129" i="12"/>
  <c r="D129" i="12" s="1"/>
  <c r="C129" i="12"/>
  <c r="B129" i="12"/>
  <c r="AG129" i="12" s="1"/>
  <c r="E128" i="12"/>
  <c r="C128" i="12"/>
  <c r="B128" i="12"/>
  <c r="AG128" i="12" s="1"/>
  <c r="AE127" i="12"/>
  <c r="AD127" i="12"/>
  <c r="AC127" i="12"/>
  <c r="AB127" i="12"/>
  <c r="AA127" i="12"/>
  <c r="Z127" i="12"/>
  <c r="Y127" i="12"/>
  <c r="X127" i="12"/>
  <c r="W127" i="12"/>
  <c r="V127" i="12"/>
  <c r="U127" i="12"/>
  <c r="T127" i="12"/>
  <c r="S127" i="12"/>
  <c r="R127" i="12"/>
  <c r="Q127" i="12"/>
  <c r="P127" i="12"/>
  <c r="O127" i="12"/>
  <c r="N127" i="12"/>
  <c r="M127" i="12"/>
  <c r="L127" i="12"/>
  <c r="K127" i="12"/>
  <c r="J127" i="12"/>
  <c r="I127" i="12"/>
  <c r="H127" i="12"/>
  <c r="AG126" i="12"/>
  <c r="E125" i="12"/>
  <c r="D125" i="12" s="1"/>
  <c r="B125" i="12"/>
  <c r="AG125" i="12" s="1"/>
  <c r="E124" i="12"/>
  <c r="B124" i="12"/>
  <c r="AG124" i="12" s="1"/>
  <c r="E123" i="12"/>
  <c r="D123" i="12" s="1"/>
  <c r="B123" i="12"/>
  <c r="AG123" i="12" s="1"/>
  <c r="E122" i="12"/>
  <c r="AH122" i="12" s="1"/>
  <c r="B122" i="12"/>
  <c r="AE121" i="12"/>
  <c r="AD121" i="12"/>
  <c r="AC121" i="12"/>
  <c r="AB121" i="12"/>
  <c r="AA121" i="12"/>
  <c r="Z121" i="12"/>
  <c r="Y121" i="12"/>
  <c r="X121" i="12"/>
  <c r="W121" i="12"/>
  <c r="V121" i="12"/>
  <c r="U121" i="12"/>
  <c r="T121" i="12"/>
  <c r="S121" i="12"/>
  <c r="R121" i="12"/>
  <c r="Q121" i="12"/>
  <c r="P121" i="12"/>
  <c r="O121" i="12"/>
  <c r="N121" i="12"/>
  <c r="M121" i="12"/>
  <c r="L121" i="12"/>
  <c r="K121" i="12"/>
  <c r="J121" i="12"/>
  <c r="I121" i="12"/>
  <c r="H121" i="12"/>
  <c r="AG120" i="12"/>
  <c r="AG119" i="12"/>
  <c r="AG118" i="12"/>
  <c r="E117" i="12"/>
  <c r="D117" i="12" s="1"/>
  <c r="B117" i="12"/>
  <c r="AG117" i="12" s="1"/>
  <c r="E116" i="12"/>
  <c r="B116" i="12"/>
  <c r="AG116" i="12" s="1"/>
  <c r="E114" i="12"/>
  <c r="AH114" i="12" s="1"/>
  <c r="B114" i="12"/>
  <c r="AG114" i="12" s="1"/>
  <c r="AE113" i="12"/>
  <c r="AD113" i="12"/>
  <c r="AC113" i="12"/>
  <c r="AB113" i="12"/>
  <c r="AA113" i="12"/>
  <c r="Z113" i="12"/>
  <c r="Y113" i="12"/>
  <c r="X113" i="12"/>
  <c r="W113" i="12"/>
  <c r="V113" i="12"/>
  <c r="U113" i="12"/>
  <c r="T113" i="12"/>
  <c r="S113" i="12"/>
  <c r="R113" i="12"/>
  <c r="P113" i="12"/>
  <c r="AG112" i="12"/>
  <c r="AG111" i="12"/>
  <c r="AG110" i="12"/>
  <c r="E109" i="12"/>
  <c r="D109" i="12" s="1"/>
  <c r="B109" i="12"/>
  <c r="E108" i="12"/>
  <c r="AH108" i="12" s="1"/>
  <c r="B108" i="12"/>
  <c r="AG108" i="12" s="1"/>
  <c r="E107" i="12"/>
  <c r="D107" i="12" s="1"/>
  <c r="B107" i="12"/>
  <c r="AG107" i="12" s="1"/>
  <c r="AE105" i="12"/>
  <c r="AG104" i="12"/>
  <c r="E103" i="12"/>
  <c r="D103" i="12" s="1"/>
  <c r="C103" i="12"/>
  <c r="B103" i="12"/>
  <c r="AG103" i="12" s="1"/>
  <c r="E102" i="12"/>
  <c r="B102" i="12"/>
  <c r="AG102" i="12" s="1"/>
  <c r="E101" i="12"/>
  <c r="D101" i="12" s="1"/>
  <c r="C101" i="12"/>
  <c r="B101" i="12"/>
  <c r="AG101" i="12" s="1"/>
  <c r="E100" i="12"/>
  <c r="C100" i="12"/>
  <c r="B100" i="12"/>
  <c r="AE99" i="12"/>
  <c r="AD99" i="12"/>
  <c r="AC99" i="12"/>
  <c r="AB99" i="12"/>
  <c r="AA99" i="12"/>
  <c r="Z99" i="12"/>
  <c r="Y99" i="12"/>
  <c r="X99" i="12"/>
  <c r="W99" i="12"/>
  <c r="V99" i="12"/>
  <c r="U99" i="12"/>
  <c r="T99" i="12"/>
  <c r="S99" i="12"/>
  <c r="R99" i="12"/>
  <c r="Q99" i="12"/>
  <c r="P99" i="12"/>
  <c r="O99" i="12"/>
  <c r="N99" i="12"/>
  <c r="M99" i="12"/>
  <c r="L99" i="12"/>
  <c r="K99" i="12"/>
  <c r="J99" i="12"/>
  <c r="I99" i="12"/>
  <c r="H99" i="12"/>
  <c r="AG98" i="12"/>
  <c r="AG97" i="12"/>
  <c r="AG96" i="12"/>
  <c r="AG95" i="12"/>
  <c r="E94" i="12"/>
  <c r="AH94" i="12" s="1"/>
  <c r="C91" i="12"/>
  <c r="B94" i="12"/>
  <c r="AG94" i="12" s="1"/>
  <c r="AG93" i="12"/>
  <c r="AG92" i="12"/>
  <c r="AE91" i="12"/>
  <c r="AD91" i="12"/>
  <c r="AC91" i="12"/>
  <c r="AB91" i="12"/>
  <c r="AA91" i="12"/>
  <c r="Z91" i="12"/>
  <c r="Y91" i="12"/>
  <c r="X91" i="12"/>
  <c r="W91" i="12"/>
  <c r="V91" i="12"/>
  <c r="U91" i="12"/>
  <c r="T91" i="12"/>
  <c r="S91" i="12"/>
  <c r="R91" i="12"/>
  <c r="Q91" i="12"/>
  <c r="P91" i="12"/>
  <c r="O91" i="12"/>
  <c r="N91" i="12"/>
  <c r="M91" i="12"/>
  <c r="L91" i="12"/>
  <c r="K91" i="12"/>
  <c r="J91" i="12"/>
  <c r="I91" i="12"/>
  <c r="H91" i="12"/>
  <c r="AG89" i="12"/>
  <c r="E88" i="12"/>
  <c r="AH88" i="12" s="1"/>
  <c r="C85" i="12"/>
  <c r="B88" i="12"/>
  <c r="AG87" i="12"/>
  <c r="AG86" i="12"/>
  <c r="AE85" i="12"/>
  <c r="AD85" i="12"/>
  <c r="AC85" i="12"/>
  <c r="AB85" i="12"/>
  <c r="AA85" i="12"/>
  <c r="Z85" i="12"/>
  <c r="Y85" i="12"/>
  <c r="X85" i="12"/>
  <c r="W85" i="12"/>
  <c r="V85" i="12"/>
  <c r="U85" i="12"/>
  <c r="T85" i="12"/>
  <c r="S85" i="12"/>
  <c r="R85" i="12"/>
  <c r="Q85" i="12"/>
  <c r="P85" i="12"/>
  <c r="O85" i="12"/>
  <c r="N85" i="12"/>
  <c r="M85" i="12"/>
  <c r="L85" i="12"/>
  <c r="K85" i="12"/>
  <c r="J85" i="12"/>
  <c r="I85" i="12"/>
  <c r="H85" i="12"/>
  <c r="AG84" i="12"/>
  <c r="AE83" i="12"/>
  <c r="AD83" i="12"/>
  <c r="AC83" i="12"/>
  <c r="AB83" i="12"/>
  <c r="AA83" i="12"/>
  <c r="Z83" i="12"/>
  <c r="Y83" i="12"/>
  <c r="X83" i="12"/>
  <c r="W83" i="12"/>
  <c r="V83" i="12"/>
  <c r="U83" i="12"/>
  <c r="T83" i="12"/>
  <c r="S83" i="12"/>
  <c r="R83" i="12"/>
  <c r="Q83" i="12"/>
  <c r="P83" i="12"/>
  <c r="O83" i="12"/>
  <c r="N83" i="12"/>
  <c r="M83" i="12"/>
  <c r="L83" i="12"/>
  <c r="K83" i="12"/>
  <c r="J83" i="12"/>
  <c r="I83" i="12"/>
  <c r="H83" i="12"/>
  <c r="E83" i="12"/>
  <c r="D83" i="12"/>
  <c r="C83" i="12"/>
  <c r="B83" i="12"/>
  <c r="AE82" i="12"/>
  <c r="AD82" i="12"/>
  <c r="AC82" i="12"/>
  <c r="AB82" i="12"/>
  <c r="AA82" i="12"/>
  <c r="Z82" i="12"/>
  <c r="Y82" i="12"/>
  <c r="X82" i="12"/>
  <c r="W82" i="12"/>
  <c r="V82" i="12"/>
  <c r="U82" i="12"/>
  <c r="T82" i="12"/>
  <c r="S82" i="12"/>
  <c r="R82" i="12"/>
  <c r="Q82" i="12"/>
  <c r="P82" i="12"/>
  <c r="O82" i="12"/>
  <c r="N82" i="12"/>
  <c r="M82" i="12"/>
  <c r="L82" i="12"/>
  <c r="K82" i="12"/>
  <c r="J82" i="12"/>
  <c r="I82" i="12"/>
  <c r="H82" i="12"/>
  <c r="AE81" i="12"/>
  <c r="AD81" i="12"/>
  <c r="AC81" i="12"/>
  <c r="AB81" i="12"/>
  <c r="AA81" i="12"/>
  <c r="Z81" i="12"/>
  <c r="Y81" i="12"/>
  <c r="X81" i="12"/>
  <c r="W81" i="12"/>
  <c r="V81" i="12"/>
  <c r="U81" i="12"/>
  <c r="T81" i="12"/>
  <c r="S81" i="12"/>
  <c r="R81" i="12"/>
  <c r="Q81" i="12"/>
  <c r="P81" i="12"/>
  <c r="O81" i="12"/>
  <c r="N81" i="12"/>
  <c r="M81" i="12"/>
  <c r="L81" i="12"/>
  <c r="K81" i="12"/>
  <c r="J81" i="12"/>
  <c r="I81" i="12"/>
  <c r="H81" i="12"/>
  <c r="E81" i="12"/>
  <c r="D81" i="12"/>
  <c r="C81" i="12"/>
  <c r="B81" i="12"/>
  <c r="AE80" i="12"/>
  <c r="AD80" i="12"/>
  <c r="AC80" i="12"/>
  <c r="AB80" i="12"/>
  <c r="AA80" i="12"/>
  <c r="AA79" i="12" s="1"/>
  <c r="Z80" i="12"/>
  <c r="Y80" i="12"/>
  <c r="X80" i="12"/>
  <c r="W80" i="12"/>
  <c r="V80" i="12"/>
  <c r="U80" i="12"/>
  <c r="T80" i="12"/>
  <c r="S80" i="12"/>
  <c r="S79" i="12" s="1"/>
  <c r="R80" i="12"/>
  <c r="Q80" i="12"/>
  <c r="P80" i="12"/>
  <c r="O80" i="12"/>
  <c r="N80" i="12"/>
  <c r="M80" i="12"/>
  <c r="L80" i="12"/>
  <c r="K80" i="12"/>
  <c r="K79" i="12" s="1"/>
  <c r="J80" i="12"/>
  <c r="I80" i="12"/>
  <c r="H80" i="12"/>
  <c r="E80" i="12"/>
  <c r="D80" i="12"/>
  <c r="C80" i="12"/>
  <c r="B80" i="12"/>
  <c r="AG78" i="12"/>
  <c r="E77" i="12"/>
  <c r="D77" i="12" s="1"/>
  <c r="B77" i="12"/>
  <c r="AG77" i="12" s="1"/>
  <c r="J76" i="12"/>
  <c r="AG72" i="12"/>
  <c r="AG71" i="12"/>
  <c r="E70" i="12"/>
  <c r="B67" i="12"/>
  <c r="AG69" i="12"/>
  <c r="AG68" i="12"/>
  <c r="AE67" i="12"/>
  <c r="AD67" i="12"/>
  <c r="AC67" i="12"/>
  <c r="AB67" i="12"/>
  <c r="AA67" i="12"/>
  <c r="Z67" i="12"/>
  <c r="Y67" i="12"/>
  <c r="X67" i="12"/>
  <c r="W67" i="12"/>
  <c r="V67" i="12"/>
  <c r="U67" i="12"/>
  <c r="T67" i="12"/>
  <c r="S67" i="12"/>
  <c r="R67" i="12"/>
  <c r="Q67" i="12"/>
  <c r="P67" i="12"/>
  <c r="O67" i="12"/>
  <c r="N67" i="12"/>
  <c r="M67" i="12"/>
  <c r="L67" i="12"/>
  <c r="K67" i="12"/>
  <c r="J67" i="12"/>
  <c r="I67" i="12"/>
  <c r="H67" i="12"/>
  <c r="C67" i="12"/>
  <c r="AG66" i="12"/>
  <c r="AE65" i="12"/>
  <c r="AD65" i="12"/>
  <c r="AC65" i="12"/>
  <c r="AB65" i="12"/>
  <c r="AA65" i="12"/>
  <c r="Z65" i="12"/>
  <c r="Y65" i="12"/>
  <c r="X65" i="12"/>
  <c r="W65" i="12"/>
  <c r="V65" i="12"/>
  <c r="U65" i="12"/>
  <c r="T65" i="12"/>
  <c r="S65" i="12"/>
  <c r="R65" i="12"/>
  <c r="Q65" i="12"/>
  <c r="P65" i="12"/>
  <c r="O65" i="12"/>
  <c r="N65" i="12"/>
  <c r="M65" i="12"/>
  <c r="L65" i="12"/>
  <c r="K65" i="12"/>
  <c r="J65" i="12"/>
  <c r="I65" i="12"/>
  <c r="H65" i="12"/>
  <c r="E65" i="12"/>
  <c r="D65" i="12"/>
  <c r="B65" i="12"/>
  <c r="AE64" i="12"/>
  <c r="AD64" i="12"/>
  <c r="AC64" i="12"/>
  <c r="AB64" i="12"/>
  <c r="AA64" i="12"/>
  <c r="Z64" i="12"/>
  <c r="Y64" i="12"/>
  <c r="X64" i="12"/>
  <c r="W64" i="12"/>
  <c r="V64" i="12"/>
  <c r="U64" i="12"/>
  <c r="T64" i="12"/>
  <c r="S64" i="12"/>
  <c r="R64" i="12"/>
  <c r="Q64" i="12"/>
  <c r="P64" i="12"/>
  <c r="O64" i="12"/>
  <c r="N64" i="12"/>
  <c r="M64" i="12"/>
  <c r="L64" i="12"/>
  <c r="K64" i="12"/>
  <c r="J64" i="12"/>
  <c r="I64" i="12"/>
  <c r="H64" i="12"/>
  <c r="AE63" i="12"/>
  <c r="AD63" i="12"/>
  <c r="AC63" i="12"/>
  <c r="AB63" i="12"/>
  <c r="AA63" i="12"/>
  <c r="Z63" i="12"/>
  <c r="Y63" i="12"/>
  <c r="X63" i="12"/>
  <c r="W63" i="12"/>
  <c r="V63" i="12"/>
  <c r="U63" i="12"/>
  <c r="T63" i="12"/>
  <c r="S63" i="12"/>
  <c r="R63" i="12"/>
  <c r="Q63" i="12"/>
  <c r="P63" i="12"/>
  <c r="O63" i="12"/>
  <c r="N63" i="12"/>
  <c r="M63" i="12"/>
  <c r="L63" i="12"/>
  <c r="K63" i="12"/>
  <c r="J63" i="12"/>
  <c r="I63" i="12"/>
  <c r="H63" i="12"/>
  <c r="E63" i="12"/>
  <c r="D63" i="12"/>
  <c r="B63" i="12"/>
  <c r="AE62" i="12"/>
  <c r="AD62" i="12"/>
  <c r="AC62" i="12"/>
  <c r="AB62" i="12"/>
  <c r="AA62" i="12"/>
  <c r="Z62" i="12"/>
  <c r="Y62" i="12"/>
  <c r="X62" i="12"/>
  <c r="W62" i="12"/>
  <c r="V62" i="12"/>
  <c r="U62" i="12"/>
  <c r="T62" i="12"/>
  <c r="S62" i="12"/>
  <c r="R62" i="12"/>
  <c r="Q62" i="12"/>
  <c r="P62" i="12"/>
  <c r="O62" i="12"/>
  <c r="N62" i="12"/>
  <c r="M62" i="12"/>
  <c r="L62" i="12"/>
  <c r="K62" i="12"/>
  <c r="J62" i="12"/>
  <c r="I62" i="12"/>
  <c r="H62" i="12"/>
  <c r="E62" i="12"/>
  <c r="D62" i="12"/>
  <c r="B62" i="12"/>
  <c r="AG60" i="12"/>
  <c r="AG56" i="12"/>
  <c r="AE55" i="12"/>
  <c r="AD55" i="12"/>
  <c r="AC55" i="12"/>
  <c r="AB55" i="12"/>
  <c r="AA55" i="12"/>
  <c r="Z55" i="12"/>
  <c r="Y55" i="12"/>
  <c r="X55" i="12"/>
  <c r="W55" i="12"/>
  <c r="V55" i="12"/>
  <c r="U55" i="12"/>
  <c r="T55" i="12"/>
  <c r="S55" i="12"/>
  <c r="R55" i="12"/>
  <c r="Q55" i="12"/>
  <c r="P55" i="12"/>
  <c r="O55" i="12"/>
  <c r="N55" i="12"/>
  <c r="M55" i="12"/>
  <c r="AG54" i="12"/>
  <c r="AG53" i="12"/>
  <c r="E52" i="12"/>
  <c r="C52" i="12"/>
  <c r="B52" i="12"/>
  <c r="AG52" i="12" s="1"/>
  <c r="E51" i="12"/>
  <c r="D51" i="12" s="1"/>
  <c r="C51" i="12"/>
  <c r="B51" i="12"/>
  <c r="AG50" i="12"/>
  <c r="AE49" i="12"/>
  <c r="AD49" i="12"/>
  <c r="AC49" i="12"/>
  <c r="AB49" i="12"/>
  <c r="AA49" i="12"/>
  <c r="Z49" i="12"/>
  <c r="Y49" i="12"/>
  <c r="X49" i="12"/>
  <c r="W49" i="12"/>
  <c r="V49" i="12"/>
  <c r="U49" i="12"/>
  <c r="T49" i="12"/>
  <c r="S49" i="12"/>
  <c r="R49" i="12"/>
  <c r="Q49" i="12"/>
  <c r="P49" i="12"/>
  <c r="O49" i="12"/>
  <c r="N49" i="12"/>
  <c r="M49" i="12"/>
  <c r="L49" i="12"/>
  <c r="K49" i="12"/>
  <c r="J49" i="12"/>
  <c r="I49" i="12"/>
  <c r="H49" i="12"/>
  <c r="AG48" i="12"/>
  <c r="AG47" i="12"/>
  <c r="E46" i="12"/>
  <c r="AH46" i="12" s="1"/>
  <c r="C43" i="12"/>
  <c r="B46" i="12"/>
  <c r="AG45" i="12"/>
  <c r="AG44" i="12"/>
  <c r="AE43" i="12"/>
  <c r="AD43" i="12"/>
  <c r="AC43" i="12"/>
  <c r="AB43" i="12"/>
  <c r="AA43" i="12"/>
  <c r="Z43" i="12"/>
  <c r="Y43" i="12"/>
  <c r="X43" i="12"/>
  <c r="W43" i="12"/>
  <c r="V43" i="12"/>
  <c r="U43" i="12"/>
  <c r="T43" i="12"/>
  <c r="S43" i="12"/>
  <c r="R43" i="12"/>
  <c r="Q43" i="12"/>
  <c r="Q39" i="12" s="1"/>
  <c r="Q37" i="12" s="1"/>
  <c r="P43" i="12"/>
  <c r="O43" i="12"/>
  <c r="N43" i="12"/>
  <c r="M43" i="12"/>
  <c r="L43" i="12"/>
  <c r="K43" i="12"/>
  <c r="J43" i="12"/>
  <c r="I43" i="12"/>
  <c r="H43" i="12"/>
  <c r="AG42" i="12"/>
  <c r="AG41" i="12"/>
  <c r="E40" i="12"/>
  <c r="AH40" i="12" s="1"/>
  <c r="C37" i="12"/>
  <c r="B40" i="12"/>
  <c r="AG39" i="12"/>
  <c r="AG38" i="12"/>
  <c r="AE37" i="12"/>
  <c r="AD37" i="12"/>
  <c r="AC37" i="12"/>
  <c r="AB37" i="12"/>
  <c r="AA37" i="12"/>
  <c r="Z37" i="12"/>
  <c r="Y37" i="12"/>
  <c r="X37" i="12"/>
  <c r="W37" i="12"/>
  <c r="V37" i="12"/>
  <c r="U37" i="12"/>
  <c r="T37" i="12"/>
  <c r="S37" i="12"/>
  <c r="R37" i="12"/>
  <c r="P37" i="12"/>
  <c r="O37" i="12"/>
  <c r="N37" i="12"/>
  <c r="M37" i="12"/>
  <c r="L37" i="12"/>
  <c r="K37" i="12"/>
  <c r="J37" i="12"/>
  <c r="I37" i="12"/>
  <c r="H37" i="12"/>
  <c r="AG36" i="12"/>
  <c r="E34" i="12"/>
  <c r="E33" i="12"/>
  <c r="D33" i="12" s="1"/>
  <c r="E32" i="12"/>
  <c r="E26" i="12" s="1"/>
  <c r="AE31" i="12"/>
  <c r="AD31" i="12"/>
  <c r="AC31" i="12"/>
  <c r="AB31" i="12"/>
  <c r="AA31" i="12"/>
  <c r="Z31" i="12"/>
  <c r="Y31" i="12"/>
  <c r="X31" i="12"/>
  <c r="W31" i="12"/>
  <c r="V31" i="12"/>
  <c r="U31" i="12"/>
  <c r="T31" i="12"/>
  <c r="S31" i="12"/>
  <c r="R31" i="12"/>
  <c r="Q31" i="12"/>
  <c r="O31" i="12"/>
  <c r="N31" i="12"/>
  <c r="M31" i="12"/>
  <c r="L31" i="12"/>
  <c r="K31" i="12"/>
  <c r="J31" i="12"/>
  <c r="I31" i="12"/>
  <c r="AG30" i="12"/>
  <c r="AE29" i="12"/>
  <c r="AD29" i="12"/>
  <c r="AC29" i="12"/>
  <c r="AB29" i="12"/>
  <c r="AA29" i="12"/>
  <c r="Z29" i="12"/>
  <c r="Y29" i="12"/>
  <c r="X29" i="12"/>
  <c r="W29" i="12"/>
  <c r="V29" i="12"/>
  <c r="U29" i="12"/>
  <c r="T29" i="12"/>
  <c r="S29" i="12"/>
  <c r="R29" i="12"/>
  <c r="Q29" i="12"/>
  <c r="P29" i="12"/>
  <c r="O29" i="12"/>
  <c r="N29" i="12"/>
  <c r="M29" i="12"/>
  <c r="L29" i="12"/>
  <c r="E29" i="12"/>
  <c r="D29" i="12"/>
  <c r="B29" i="12"/>
  <c r="AE28" i="12"/>
  <c r="AD28" i="12"/>
  <c r="AC28" i="12"/>
  <c r="AB28" i="12"/>
  <c r="AA28" i="12"/>
  <c r="Z28" i="12"/>
  <c r="Y28" i="12"/>
  <c r="X28" i="12"/>
  <c r="W28" i="12"/>
  <c r="V28" i="12"/>
  <c r="U28" i="12"/>
  <c r="T28" i="12"/>
  <c r="S28" i="12"/>
  <c r="R28" i="12"/>
  <c r="Q28" i="12"/>
  <c r="P28" i="12"/>
  <c r="O28" i="12"/>
  <c r="N28" i="12"/>
  <c r="M28" i="12"/>
  <c r="AE27" i="12"/>
  <c r="AD27" i="12"/>
  <c r="AC27" i="12"/>
  <c r="AB27" i="12"/>
  <c r="AA27" i="12"/>
  <c r="Z27" i="12"/>
  <c r="Y27" i="12"/>
  <c r="X27" i="12"/>
  <c r="W27" i="12"/>
  <c r="V27" i="12"/>
  <c r="U27" i="12"/>
  <c r="T27" i="12"/>
  <c r="S27" i="12"/>
  <c r="R27" i="12"/>
  <c r="P27" i="12"/>
  <c r="O27" i="12"/>
  <c r="N27" i="12"/>
  <c r="M27" i="12"/>
  <c r="L27" i="12"/>
  <c r="AE26" i="12"/>
  <c r="AD26" i="12"/>
  <c r="AC26" i="12"/>
  <c r="AB26" i="12"/>
  <c r="AA26" i="12"/>
  <c r="Z26" i="12"/>
  <c r="Y26" i="12"/>
  <c r="X26" i="12"/>
  <c r="W26" i="12"/>
  <c r="V26" i="12"/>
  <c r="U26" i="12"/>
  <c r="T26" i="12"/>
  <c r="S26" i="12"/>
  <c r="R26" i="12"/>
  <c r="Q26" i="12"/>
  <c r="P26" i="12"/>
  <c r="O26" i="12"/>
  <c r="N26" i="12"/>
  <c r="M26" i="12"/>
  <c r="L26" i="12"/>
  <c r="K26" i="12"/>
  <c r="J26" i="12"/>
  <c r="I26" i="12"/>
  <c r="AG24" i="12"/>
  <c r="AG23" i="12"/>
  <c r="E16" i="12"/>
  <c r="C16" i="12"/>
  <c r="B16" i="12"/>
  <c r="E15" i="12"/>
  <c r="C15" i="12"/>
  <c r="B15" i="12"/>
  <c r="E14" i="12"/>
  <c r="C14" i="12"/>
  <c r="B14" i="12"/>
  <c r="E13" i="12"/>
  <c r="C13" i="12"/>
  <c r="B13" i="12"/>
  <c r="AE12" i="12"/>
  <c r="AD12" i="12"/>
  <c r="AC12" i="12"/>
  <c r="AB12" i="12"/>
  <c r="AA12" i="12"/>
  <c r="Z12" i="12"/>
  <c r="Y12" i="12"/>
  <c r="X12" i="12"/>
  <c r="W12" i="12"/>
  <c r="V12" i="12"/>
  <c r="U12" i="12"/>
  <c r="T12" i="12"/>
  <c r="S12" i="12"/>
  <c r="R12" i="12"/>
  <c r="Q12" i="12"/>
  <c r="P12" i="12"/>
  <c r="O12" i="12"/>
  <c r="N12" i="12"/>
  <c r="M12" i="12"/>
  <c r="L12" i="12"/>
  <c r="K12" i="12"/>
  <c r="J12" i="12"/>
  <c r="I12" i="12"/>
  <c r="H12" i="12"/>
  <c r="AG11" i="12"/>
  <c r="G159" i="11"/>
  <c r="E104" i="11"/>
  <c r="E101" i="11"/>
  <c r="E100" i="11"/>
  <c r="E98" i="11"/>
  <c r="E95" i="11"/>
  <c r="D92" i="11"/>
  <c r="C92" i="11"/>
  <c r="B92" i="11"/>
  <c r="D89" i="11"/>
  <c r="C89" i="11"/>
  <c r="B89" i="11"/>
  <c r="D88" i="11"/>
  <c r="C88" i="11"/>
  <c r="B88" i="11"/>
  <c r="AD87" i="11"/>
  <c r="AB87" i="11"/>
  <c r="Z87" i="11"/>
  <c r="X87" i="11"/>
  <c r="V87" i="11"/>
  <c r="T87" i="11"/>
  <c r="R87" i="11"/>
  <c r="N87" i="11"/>
  <c r="L87" i="11"/>
  <c r="J87" i="11"/>
  <c r="I87" i="11"/>
  <c r="H87" i="11"/>
  <c r="C85" i="11"/>
  <c r="B85" i="11"/>
  <c r="E80" i="11"/>
  <c r="D82" i="11"/>
  <c r="C82" i="11"/>
  <c r="B82" i="11"/>
  <c r="D81" i="11"/>
  <c r="C81" i="11"/>
  <c r="B81" i="11"/>
  <c r="AD80" i="11"/>
  <c r="AB80" i="11"/>
  <c r="Z80" i="11"/>
  <c r="X80" i="11"/>
  <c r="V80" i="11"/>
  <c r="T80" i="11"/>
  <c r="R80" i="11"/>
  <c r="N80" i="11"/>
  <c r="L80" i="11"/>
  <c r="J80" i="11"/>
  <c r="I80" i="11"/>
  <c r="H80" i="11"/>
  <c r="D78" i="11"/>
  <c r="C78" i="11"/>
  <c r="B78" i="11"/>
  <c r="D75" i="11"/>
  <c r="C75" i="11"/>
  <c r="B75" i="11"/>
  <c r="D74" i="11"/>
  <c r="C74" i="11"/>
  <c r="B74" i="11"/>
  <c r="AE73" i="11"/>
  <c r="AD73" i="11"/>
  <c r="AD72" i="11" s="1"/>
  <c r="AC73" i="11"/>
  <c r="AB73" i="11"/>
  <c r="AB72" i="11" s="1"/>
  <c r="AA73" i="11"/>
  <c r="Z73" i="11"/>
  <c r="Z72" i="11" s="1"/>
  <c r="Y73" i="11"/>
  <c r="X73" i="11"/>
  <c r="X72" i="11" s="1"/>
  <c r="W73" i="11"/>
  <c r="V73" i="11"/>
  <c r="V72" i="11" s="1"/>
  <c r="U73" i="11"/>
  <c r="T73" i="11"/>
  <c r="T72" i="11" s="1"/>
  <c r="S73" i="11"/>
  <c r="S72" i="11" s="1"/>
  <c r="R73" i="11"/>
  <c r="R72" i="11" s="1"/>
  <c r="Q72" i="11"/>
  <c r="P72" i="11"/>
  <c r="O73" i="11"/>
  <c r="O72" i="11" s="1"/>
  <c r="N73" i="11"/>
  <c r="N72" i="11" s="1"/>
  <c r="L73" i="11"/>
  <c r="L72" i="11" s="1"/>
  <c r="J73" i="11"/>
  <c r="J72" i="11" s="1"/>
  <c r="I73" i="11"/>
  <c r="I72" i="11" s="1"/>
  <c r="H73" i="11"/>
  <c r="H72" i="11" s="1"/>
  <c r="AE71" i="11"/>
  <c r="AD71" i="11"/>
  <c r="AC71" i="11"/>
  <c r="AB71" i="11"/>
  <c r="AA71" i="11"/>
  <c r="Z71" i="11"/>
  <c r="Y71" i="11"/>
  <c r="X71" i="11"/>
  <c r="W71" i="11"/>
  <c r="V71" i="11"/>
  <c r="U71" i="11"/>
  <c r="T71" i="11"/>
  <c r="R71" i="11"/>
  <c r="Q71" i="11"/>
  <c r="P71" i="11"/>
  <c r="O71" i="11"/>
  <c r="N71" i="11"/>
  <c r="M71" i="11"/>
  <c r="L71" i="11"/>
  <c r="K71" i="11"/>
  <c r="J71" i="11"/>
  <c r="I71" i="11"/>
  <c r="H71" i="11"/>
  <c r="D71" i="11"/>
  <c r="AE69" i="11"/>
  <c r="AD69" i="11"/>
  <c r="AC69" i="11"/>
  <c r="AB69" i="11"/>
  <c r="AA69" i="11"/>
  <c r="Z69" i="11"/>
  <c r="Y69" i="11"/>
  <c r="X69" i="11"/>
  <c r="W69" i="11"/>
  <c r="V69" i="11"/>
  <c r="U69" i="11"/>
  <c r="T69" i="11"/>
  <c r="S69" i="11"/>
  <c r="R69" i="11"/>
  <c r="Q69" i="11"/>
  <c r="P69" i="11"/>
  <c r="N69" i="11"/>
  <c r="M69" i="11"/>
  <c r="L69" i="11"/>
  <c r="K69" i="11"/>
  <c r="J69" i="11"/>
  <c r="AE68" i="11"/>
  <c r="AD68" i="11"/>
  <c r="AC68" i="11"/>
  <c r="AB68" i="11"/>
  <c r="AA68" i="11"/>
  <c r="Z68" i="11"/>
  <c r="Y68" i="11"/>
  <c r="X68" i="11"/>
  <c r="W68" i="11"/>
  <c r="V68" i="11"/>
  <c r="U68" i="11"/>
  <c r="T68" i="11"/>
  <c r="S68" i="11"/>
  <c r="R68" i="11"/>
  <c r="Q68" i="11"/>
  <c r="P68" i="11"/>
  <c r="O68" i="11"/>
  <c r="N68" i="11"/>
  <c r="M68" i="11"/>
  <c r="L68" i="11"/>
  <c r="K68" i="11"/>
  <c r="J68" i="11"/>
  <c r="I68" i="11"/>
  <c r="H68" i="11"/>
  <c r="D68" i="11"/>
  <c r="AE67" i="11"/>
  <c r="AD67" i="11"/>
  <c r="AC67" i="11"/>
  <c r="AB67" i="11"/>
  <c r="AA67" i="11"/>
  <c r="Z67" i="11"/>
  <c r="Y67" i="11"/>
  <c r="X67" i="11"/>
  <c r="W67" i="11"/>
  <c r="V67" i="11"/>
  <c r="U67" i="11"/>
  <c r="T67" i="11"/>
  <c r="S67" i="11"/>
  <c r="R67" i="11"/>
  <c r="Q67" i="11"/>
  <c r="P67" i="11"/>
  <c r="O67" i="11"/>
  <c r="N67" i="11"/>
  <c r="M67" i="11"/>
  <c r="L67" i="11"/>
  <c r="K67" i="11"/>
  <c r="J67" i="11"/>
  <c r="I67" i="11"/>
  <c r="H67" i="11"/>
  <c r="D67" i="11"/>
  <c r="D62" i="11"/>
  <c r="C62" i="11"/>
  <c r="B62" i="11"/>
  <c r="B61" i="11"/>
  <c r="D60" i="11"/>
  <c r="C60" i="11"/>
  <c r="B60" i="11"/>
  <c r="D59" i="11"/>
  <c r="C59" i="11"/>
  <c r="B59" i="11"/>
  <c r="AD58" i="11"/>
  <c r="AB58" i="11"/>
  <c r="Z58" i="11"/>
  <c r="X58" i="11"/>
  <c r="V58" i="11"/>
  <c r="T58" i="11"/>
  <c r="R58" i="11"/>
  <c r="R57" i="11" s="1"/>
  <c r="P58" i="11"/>
  <c r="P57" i="11" s="1"/>
  <c r="L58" i="11"/>
  <c r="L57" i="11" s="1"/>
  <c r="J58" i="11"/>
  <c r="J57" i="11" s="1"/>
  <c r="I58" i="11"/>
  <c r="I57" i="11" s="1"/>
  <c r="H58" i="11"/>
  <c r="H57" i="11" s="1"/>
  <c r="D56" i="11"/>
  <c r="C56" i="11"/>
  <c r="B56" i="11"/>
  <c r="D55" i="11"/>
  <c r="B55" i="11"/>
  <c r="D54" i="11"/>
  <c r="C54" i="11"/>
  <c r="B54" i="11"/>
  <c r="D53" i="11"/>
  <c r="C53" i="11"/>
  <c r="B53" i="11"/>
  <c r="AD52" i="11"/>
  <c r="AD51" i="11" s="1"/>
  <c r="AB52" i="11"/>
  <c r="AB51" i="11" s="1"/>
  <c r="Z52" i="11"/>
  <c r="Z51" i="11" s="1"/>
  <c r="X52" i="11"/>
  <c r="X51" i="11" s="1"/>
  <c r="V52" i="11"/>
  <c r="V51" i="11" s="1"/>
  <c r="T52" i="11"/>
  <c r="T51" i="11" s="1"/>
  <c r="R52" i="11"/>
  <c r="R51" i="11" s="1"/>
  <c r="P52" i="11"/>
  <c r="P51" i="11" s="1"/>
  <c r="N52" i="11"/>
  <c r="N51" i="11" s="1"/>
  <c r="L52" i="11"/>
  <c r="L51" i="11" s="1"/>
  <c r="J52" i="11"/>
  <c r="J51" i="11" s="1"/>
  <c r="H52" i="11"/>
  <c r="H51" i="11" s="1"/>
  <c r="I51" i="11"/>
  <c r="AE50" i="11"/>
  <c r="AD50" i="11"/>
  <c r="AC50" i="11"/>
  <c r="AB50" i="11"/>
  <c r="AA50" i="11"/>
  <c r="Z50" i="11"/>
  <c r="Y50" i="11"/>
  <c r="X50" i="11"/>
  <c r="W50" i="11"/>
  <c r="V50" i="11"/>
  <c r="U50" i="11"/>
  <c r="T50" i="11"/>
  <c r="S50" i="11"/>
  <c r="R50" i="11"/>
  <c r="Q50" i="11"/>
  <c r="P50" i="11"/>
  <c r="O50" i="11"/>
  <c r="N50" i="11"/>
  <c r="M50" i="11"/>
  <c r="L50" i="11"/>
  <c r="K50" i="11"/>
  <c r="J50" i="11"/>
  <c r="I50" i="11"/>
  <c r="H50" i="11"/>
  <c r="D50" i="11"/>
  <c r="AE49" i="11"/>
  <c r="AD49" i="11"/>
  <c r="AC49" i="11"/>
  <c r="AB49" i="11"/>
  <c r="AA49" i="11"/>
  <c r="Z49" i="11"/>
  <c r="Y49" i="11"/>
  <c r="X49" i="11"/>
  <c r="W49" i="11"/>
  <c r="V49" i="11"/>
  <c r="U49" i="11"/>
  <c r="T49" i="11"/>
  <c r="S49" i="11"/>
  <c r="S46" i="11" s="1"/>
  <c r="S45" i="11" s="1"/>
  <c r="R49" i="11"/>
  <c r="Q46" i="11"/>
  <c r="Q45" i="11" s="1"/>
  <c r="P49" i="11"/>
  <c r="O49" i="11"/>
  <c r="O46" i="11" s="1"/>
  <c r="O45" i="11" s="1"/>
  <c r="N49" i="11"/>
  <c r="M49" i="11"/>
  <c r="M46" i="11" s="1"/>
  <c r="M45" i="11" s="1"/>
  <c r="L49" i="11"/>
  <c r="J49" i="11"/>
  <c r="I49" i="11"/>
  <c r="H49" i="11"/>
  <c r="AE48" i="11"/>
  <c r="AD48" i="11"/>
  <c r="AC48" i="11"/>
  <c r="AB48" i="11"/>
  <c r="AA48" i="11"/>
  <c r="Z48" i="11"/>
  <c r="Y48" i="11"/>
  <c r="X48" i="11"/>
  <c r="W48" i="11"/>
  <c r="V48" i="11"/>
  <c r="U48" i="11"/>
  <c r="T48" i="11"/>
  <c r="S48" i="11"/>
  <c r="R48" i="11"/>
  <c r="Q48" i="11"/>
  <c r="P48" i="11"/>
  <c r="N48" i="11"/>
  <c r="M48" i="11"/>
  <c r="L48" i="11"/>
  <c r="K48" i="11"/>
  <c r="J48" i="11"/>
  <c r="I48" i="11"/>
  <c r="H48" i="11"/>
  <c r="D48" i="11"/>
  <c r="AE47" i="11"/>
  <c r="AD47" i="11"/>
  <c r="AC47" i="11"/>
  <c r="AB47" i="11"/>
  <c r="AA47" i="11"/>
  <c r="Z47" i="11"/>
  <c r="Y47" i="11"/>
  <c r="X47" i="11"/>
  <c r="W47" i="11"/>
  <c r="V47" i="11"/>
  <c r="U47" i="11"/>
  <c r="T47" i="11"/>
  <c r="S47" i="11"/>
  <c r="R47" i="11"/>
  <c r="Q47" i="11"/>
  <c r="P47" i="11"/>
  <c r="N47" i="11"/>
  <c r="M47" i="11"/>
  <c r="L47" i="11"/>
  <c r="K47" i="11"/>
  <c r="J47" i="11"/>
  <c r="I47" i="11"/>
  <c r="H47" i="11"/>
  <c r="D42" i="11"/>
  <c r="C42" i="11"/>
  <c r="B42" i="11"/>
  <c r="E41" i="11"/>
  <c r="E38" i="11" s="1"/>
  <c r="E37" i="11" s="1"/>
  <c r="D41" i="11"/>
  <c r="C41" i="11"/>
  <c r="B41" i="11"/>
  <c r="D40" i="11"/>
  <c r="C40" i="11"/>
  <c r="B40" i="11"/>
  <c r="D39" i="11"/>
  <c r="C39" i="11"/>
  <c r="B39" i="11"/>
  <c r="AD38" i="11"/>
  <c r="AD37" i="11" s="1"/>
  <c r="AB38" i="11"/>
  <c r="AB37" i="11" s="1"/>
  <c r="Z38" i="11"/>
  <c r="Z37" i="11" s="1"/>
  <c r="X38" i="11"/>
  <c r="X37" i="11" s="1"/>
  <c r="V38" i="11"/>
  <c r="V37" i="11" s="1"/>
  <c r="T38" i="11"/>
  <c r="T37" i="11" s="1"/>
  <c r="R38" i="11"/>
  <c r="R37" i="11" s="1"/>
  <c r="P38" i="11"/>
  <c r="P37" i="11" s="1"/>
  <c r="N38" i="11"/>
  <c r="N37" i="11" s="1"/>
  <c r="L38" i="11"/>
  <c r="L37" i="11" s="1"/>
  <c r="J38" i="11"/>
  <c r="J37" i="11" s="1"/>
  <c r="I38" i="11"/>
  <c r="I37" i="11" s="1"/>
  <c r="H38" i="11"/>
  <c r="H37" i="11" s="1"/>
  <c r="G38" i="11"/>
  <c r="F38" i="11"/>
  <c r="F37" i="11" s="1"/>
  <c r="D36" i="11"/>
  <c r="C36" i="11"/>
  <c r="B36" i="11"/>
  <c r="E35" i="11"/>
  <c r="E32" i="11" s="1"/>
  <c r="E31" i="11" s="1"/>
  <c r="D35" i="11"/>
  <c r="B35" i="11"/>
  <c r="D34" i="11"/>
  <c r="C34" i="11"/>
  <c r="B34" i="11"/>
  <c r="D33" i="11"/>
  <c r="C33" i="11"/>
  <c r="B33" i="11"/>
  <c r="AD32" i="11"/>
  <c r="AD31" i="11" s="1"/>
  <c r="AB32" i="11"/>
  <c r="AB31" i="11" s="1"/>
  <c r="Z32" i="11"/>
  <c r="Z31" i="11" s="1"/>
  <c r="X32" i="11"/>
  <c r="X31" i="11" s="1"/>
  <c r="V32" i="11"/>
  <c r="V31" i="11" s="1"/>
  <c r="L32" i="11"/>
  <c r="L31" i="11" s="1"/>
  <c r="J32" i="11"/>
  <c r="J31" i="11" s="1"/>
  <c r="I32" i="11"/>
  <c r="I31" i="11" s="1"/>
  <c r="H32" i="11"/>
  <c r="H31" i="11" s="1"/>
  <c r="F32" i="11"/>
  <c r="F31" i="11" s="1"/>
  <c r="D28" i="11"/>
  <c r="C28" i="11"/>
  <c r="B28" i="11"/>
  <c r="B27" i="11"/>
  <c r="D26" i="11"/>
  <c r="C26" i="11"/>
  <c r="B26" i="11"/>
  <c r="D25" i="11"/>
  <c r="C25" i="11"/>
  <c r="B25" i="11"/>
  <c r="AD24" i="11"/>
  <c r="AB24" i="11"/>
  <c r="Z24" i="11"/>
  <c r="X24" i="11"/>
  <c r="V24" i="11"/>
  <c r="T24" i="11"/>
  <c r="R24" i="11"/>
  <c r="P24" i="11"/>
  <c r="L24" i="11"/>
  <c r="J24" i="11"/>
  <c r="I24" i="11"/>
  <c r="H24" i="11"/>
  <c r="D22" i="11"/>
  <c r="D20" i="11"/>
  <c r="D19" i="11"/>
  <c r="AD18" i="11"/>
  <c r="AB18" i="11"/>
  <c r="Z18" i="11"/>
  <c r="X18" i="11"/>
  <c r="V18" i="11"/>
  <c r="T18" i="11"/>
  <c r="R18" i="11"/>
  <c r="L18" i="11"/>
  <c r="J18" i="11"/>
  <c r="AE16" i="11"/>
  <c r="AD16" i="11"/>
  <c r="AC16" i="11"/>
  <c r="AB16" i="11"/>
  <c r="AA16" i="11"/>
  <c r="Z16" i="11"/>
  <c r="Y16" i="11"/>
  <c r="X16" i="11"/>
  <c r="W16" i="11"/>
  <c r="V16" i="11"/>
  <c r="U16" i="11"/>
  <c r="T16" i="11"/>
  <c r="S16" i="11"/>
  <c r="R16" i="11"/>
  <c r="Q16" i="11"/>
  <c r="P16" i="11"/>
  <c r="O16" i="11"/>
  <c r="N16" i="11"/>
  <c r="M16" i="11"/>
  <c r="L16" i="11"/>
  <c r="K16" i="11"/>
  <c r="J16" i="11"/>
  <c r="AE15" i="11"/>
  <c r="AD15" i="11"/>
  <c r="AC15" i="11"/>
  <c r="AB15" i="11"/>
  <c r="AA15" i="11"/>
  <c r="Z15" i="11"/>
  <c r="Y15" i="11"/>
  <c r="X15" i="11"/>
  <c r="W15" i="11"/>
  <c r="V15" i="11"/>
  <c r="U15" i="11"/>
  <c r="T15" i="11"/>
  <c r="S15" i="11"/>
  <c r="R15" i="11"/>
  <c r="Q15" i="11"/>
  <c r="P15" i="11"/>
  <c r="O15" i="11"/>
  <c r="O96" i="11" s="1"/>
  <c r="N15" i="11"/>
  <c r="M15" i="11"/>
  <c r="L15" i="11"/>
  <c r="K15" i="11"/>
  <c r="J15" i="11"/>
  <c r="E15" i="11"/>
  <c r="AE14" i="11"/>
  <c r="AD14" i="11"/>
  <c r="AC14" i="11"/>
  <c r="AB14" i="11"/>
  <c r="AA14" i="11"/>
  <c r="Z14" i="11"/>
  <c r="Y14" i="11"/>
  <c r="X14" i="11"/>
  <c r="W14" i="11"/>
  <c r="V14" i="11"/>
  <c r="U14" i="11"/>
  <c r="T14" i="11"/>
  <c r="S14" i="11"/>
  <c r="R14" i="11"/>
  <c r="Q14" i="11"/>
  <c r="P14" i="11"/>
  <c r="O14" i="11"/>
  <c r="N14" i="11"/>
  <c r="M14" i="11"/>
  <c r="L14" i="11"/>
  <c r="K14" i="11"/>
  <c r="J14" i="11"/>
  <c r="AE13" i="11"/>
  <c r="AD13" i="11"/>
  <c r="AC13" i="11"/>
  <c r="AB13" i="11"/>
  <c r="AA13" i="11"/>
  <c r="Z13" i="11"/>
  <c r="Y13" i="11"/>
  <c r="X13" i="11"/>
  <c r="W13" i="11"/>
  <c r="V13" i="11"/>
  <c r="U13" i="11"/>
  <c r="T13" i="11"/>
  <c r="S13" i="11"/>
  <c r="R13" i="11"/>
  <c r="Q13" i="11"/>
  <c r="P13" i="11"/>
  <c r="O13" i="11"/>
  <c r="O94" i="11" s="1"/>
  <c r="N13" i="11"/>
  <c r="M13" i="11"/>
  <c r="L13" i="11"/>
  <c r="K13" i="11"/>
  <c r="J13" i="11"/>
  <c r="G143" i="9"/>
  <c r="G94" i="9"/>
  <c r="F94" i="9"/>
  <c r="AG77" i="9"/>
  <c r="D81" i="9"/>
  <c r="C81" i="9"/>
  <c r="AG76" i="9"/>
  <c r="C80" i="9"/>
  <c r="AG75" i="9"/>
  <c r="AG72" i="9"/>
  <c r="AG70" i="9"/>
  <c r="AG69" i="9"/>
  <c r="AG66" i="9"/>
  <c r="AG65" i="9"/>
  <c r="AG64" i="9"/>
  <c r="AG63" i="9"/>
  <c r="AG58" i="9"/>
  <c r="AG57" i="9"/>
  <c r="AG54" i="9"/>
  <c r="AG52" i="9"/>
  <c r="AG48" i="9"/>
  <c r="AG47" i="9"/>
  <c r="AG46" i="9"/>
  <c r="AG42" i="9"/>
  <c r="AG41" i="9"/>
  <c r="AG39" i="9"/>
  <c r="AG29" i="9"/>
  <c r="AG28" i="9"/>
  <c r="AG27" i="9"/>
  <c r="AG23" i="9"/>
  <c r="AG22" i="9"/>
  <c r="AG21" i="9"/>
  <c r="AG18" i="9"/>
  <c r="AG17" i="9"/>
  <c r="AG16" i="9"/>
  <c r="AE291" i="8"/>
  <c r="AD291" i="8"/>
  <c r="X291" i="8" s="1"/>
  <c r="AC291" i="8"/>
  <c r="AB291" i="8"/>
  <c r="Z291" i="8"/>
  <c r="AE288" i="8"/>
  <c r="AD288" i="8"/>
  <c r="AC288" i="8"/>
  <c r="AB288" i="8"/>
  <c r="AA288" i="8"/>
  <c r="Z288" i="8"/>
  <c r="Y288" i="8"/>
  <c r="X288" i="8"/>
  <c r="W288" i="8"/>
  <c r="V288" i="8"/>
  <c r="U288" i="8"/>
  <c r="T288" i="8"/>
  <c r="S288" i="8"/>
  <c r="R288" i="8"/>
  <c r="Q288" i="8"/>
  <c r="P288" i="8"/>
  <c r="O288" i="8"/>
  <c r="N288" i="8"/>
  <c r="M288" i="8"/>
  <c r="L288" i="8"/>
  <c r="K288" i="8"/>
  <c r="J288" i="8"/>
  <c r="I288" i="8"/>
  <c r="H288" i="8"/>
  <c r="AE285" i="8"/>
  <c r="AD285" i="8"/>
  <c r="AC285" i="8"/>
  <c r="AB285" i="8"/>
  <c r="AA285" i="8"/>
  <c r="Z285" i="8"/>
  <c r="Y285" i="8"/>
  <c r="X285" i="8"/>
  <c r="W285" i="8"/>
  <c r="V285" i="8"/>
  <c r="U285" i="8"/>
  <c r="T285" i="8"/>
  <c r="S285" i="8"/>
  <c r="R285" i="8"/>
  <c r="Q285" i="8"/>
  <c r="P285" i="8"/>
  <c r="O285" i="8"/>
  <c r="N285" i="8"/>
  <c r="M285" i="8"/>
  <c r="L285" i="8"/>
  <c r="K285" i="8"/>
  <c r="J285" i="8"/>
  <c r="I285" i="8"/>
  <c r="H285" i="8"/>
  <c r="AE284" i="8"/>
  <c r="AD284" i="8"/>
  <c r="AC284" i="8"/>
  <c r="AB284" i="8"/>
  <c r="AA284" i="8"/>
  <c r="Z284" i="8"/>
  <c r="Y284" i="8"/>
  <c r="X284" i="8"/>
  <c r="W284" i="8"/>
  <c r="V284" i="8"/>
  <c r="U284" i="8"/>
  <c r="T284" i="8"/>
  <c r="S284" i="8"/>
  <c r="R284" i="8"/>
  <c r="Q284" i="8"/>
  <c r="P284" i="8"/>
  <c r="O284" i="8"/>
  <c r="N284" i="8"/>
  <c r="M284" i="8"/>
  <c r="L284" i="8"/>
  <c r="K284" i="8"/>
  <c r="J284" i="8"/>
  <c r="I284" i="8"/>
  <c r="H284" i="8"/>
  <c r="AE283" i="8"/>
  <c r="AD283" i="8"/>
  <c r="AC283" i="8"/>
  <c r="AB283" i="8"/>
  <c r="AA283" i="8"/>
  <c r="Z283" i="8"/>
  <c r="Y283" i="8"/>
  <c r="X283" i="8"/>
  <c r="W283" i="8"/>
  <c r="V283" i="8"/>
  <c r="U283" i="8"/>
  <c r="T283" i="8"/>
  <c r="S283" i="8"/>
  <c r="R283" i="8"/>
  <c r="Q283" i="8"/>
  <c r="P283" i="8"/>
  <c r="O283" i="8"/>
  <c r="N283" i="8"/>
  <c r="M283" i="8"/>
  <c r="L283" i="8"/>
  <c r="K283" i="8"/>
  <c r="J283" i="8"/>
  <c r="I283" i="8"/>
  <c r="H283" i="8"/>
  <c r="AE282" i="8"/>
  <c r="AD282" i="8"/>
  <c r="AD281" i="8" s="1"/>
  <c r="AC282" i="8"/>
  <c r="AB282" i="8"/>
  <c r="AB281" i="8" s="1"/>
  <c r="AA282" i="8"/>
  <c r="AA281" i="8" s="1"/>
  <c r="Z282" i="8"/>
  <c r="Z281" i="8" s="1"/>
  <c r="Y282" i="8"/>
  <c r="X282" i="8"/>
  <c r="W282" i="8"/>
  <c r="W281" i="8" s="1"/>
  <c r="V282" i="8"/>
  <c r="V281" i="8" s="1"/>
  <c r="U282" i="8"/>
  <c r="T282" i="8"/>
  <c r="T281" i="8" s="1"/>
  <c r="S282" i="8"/>
  <c r="S281" i="8" s="1"/>
  <c r="R282" i="8"/>
  <c r="R281" i="8" s="1"/>
  <c r="Q282" i="8"/>
  <c r="P282" i="8"/>
  <c r="P281" i="8" s="1"/>
  <c r="O282" i="8"/>
  <c r="O281" i="8" s="1"/>
  <c r="N282" i="8"/>
  <c r="M282" i="8"/>
  <c r="L282" i="8"/>
  <c r="L281" i="8" s="1"/>
  <c r="K282" i="8"/>
  <c r="K281" i="8" s="1"/>
  <c r="J282" i="8"/>
  <c r="J281" i="8" s="1"/>
  <c r="I282" i="8"/>
  <c r="H282" i="8"/>
  <c r="H281" i="8" s="1"/>
  <c r="AE281" i="8"/>
  <c r="AE280" i="8"/>
  <c r="AD280" i="8"/>
  <c r="AC280" i="8"/>
  <c r="AB280" i="8"/>
  <c r="AA280" i="8"/>
  <c r="Z280" i="8"/>
  <c r="Y280" i="8"/>
  <c r="X280" i="8"/>
  <c r="W280" i="8"/>
  <c r="V280" i="8"/>
  <c r="U280" i="8"/>
  <c r="T280" i="8"/>
  <c r="S280" i="8"/>
  <c r="R280" i="8"/>
  <c r="Q280" i="8"/>
  <c r="P280" i="8"/>
  <c r="O280" i="8"/>
  <c r="N280" i="8"/>
  <c r="M280" i="8"/>
  <c r="L280" i="8"/>
  <c r="K280" i="8"/>
  <c r="J280" i="8"/>
  <c r="I280" i="8"/>
  <c r="H280" i="8"/>
  <c r="AG274" i="8"/>
  <c r="E273" i="8"/>
  <c r="B273" i="8"/>
  <c r="AG273" i="8" s="1"/>
  <c r="AG272" i="8"/>
  <c r="AG271" i="8"/>
  <c r="AE270" i="8"/>
  <c r="AD270" i="8"/>
  <c r="AC270" i="8"/>
  <c r="AB270" i="8"/>
  <c r="AA270" i="8"/>
  <c r="Z270" i="8"/>
  <c r="Y270" i="8"/>
  <c r="X270" i="8"/>
  <c r="W270" i="8"/>
  <c r="V270" i="8"/>
  <c r="U270" i="8"/>
  <c r="T270" i="8"/>
  <c r="S270" i="8"/>
  <c r="R270" i="8"/>
  <c r="Q270" i="8"/>
  <c r="P270" i="8"/>
  <c r="O270" i="8"/>
  <c r="N270" i="8"/>
  <c r="M270" i="8"/>
  <c r="L270" i="8"/>
  <c r="K270" i="8"/>
  <c r="J270" i="8"/>
  <c r="I270" i="8"/>
  <c r="H270" i="8"/>
  <c r="AG269" i="8"/>
  <c r="AG268" i="8"/>
  <c r="E267" i="8"/>
  <c r="C264" i="8"/>
  <c r="B267" i="8"/>
  <c r="AG267" i="8" s="1"/>
  <c r="AG266" i="8"/>
  <c r="AG265" i="8"/>
  <c r="AE264" i="8"/>
  <c r="AD264" i="8"/>
  <c r="AC264" i="8"/>
  <c r="AB264" i="8"/>
  <c r="AA264" i="8"/>
  <c r="Z264" i="8"/>
  <c r="Y264" i="8"/>
  <c r="X264" i="8"/>
  <c r="W264" i="8"/>
  <c r="V264" i="8"/>
  <c r="U264" i="8"/>
  <c r="T264" i="8"/>
  <c r="S264" i="8"/>
  <c r="R264" i="8"/>
  <c r="Q264" i="8"/>
  <c r="P264" i="8"/>
  <c r="O264" i="8"/>
  <c r="N264" i="8"/>
  <c r="M264" i="8"/>
  <c r="L264" i="8"/>
  <c r="K264" i="8"/>
  <c r="J264" i="8"/>
  <c r="I264" i="8"/>
  <c r="H264" i="8"/>
  <c r="AG263" i="8"/>
  <c r="AG262" i="8"/>
  <c r="AE261" i="8"/>
  <c r="AE258" i="8" s="1"/>
  <c r="AD261" i="8"/>
  <c r="AD258" i="8" s="1"/>
  <c r="AC261" i="8"/>
  <c r="AC258" i="8" s="1"/>
  <c r="AB261" i="8"/>
  <c r="AB258" i="8" s="1"/>
  <c r="AA261" i="8"/>
  <c r="AA258" i="8" s="1"/>
  <c r="Z261" i="8"/>
  <c r="Z258" i="8" s="1"/>
  <c r="Y261" i="8"/>
  <c r="Y258" i="8" s="1"/>
  <c r="X261" i="8"/>
  <c r="X258" i="8" s="1"/>
  <c r="W261" i="8"/>
  <c r="W258" i="8" s="1"/>
  <c r="V261" i="8"/>
  <c r="V258" i="8" s="1"/>
  <c r="U261" i="8"/>
  <c r="U258" i="8" s="1"/>
  <c r="T261" i="8"/>
  <c r="T258" i="8" s="1"/>
  <c r="S261" i="8"/>
  <c r="S258" i="8" s="1"/>
  <c r="R261" i="8"/>
  <c r="R258" i="8" s="1"/>
  <c r="Q261" i="8"/>
  <c r="Q258" i="8" s="1"/>
  <c r="P261" i="8"/>
  <c r="P258" i="8" s="1"/>
  <c r="O261" i="8"/>
  <c r="O258" i="8" s="1"/>
  <c r="N261" i="8"/>
  <c r="N258" i="8" s="1"/>
  <c r="M261" i="8"/>
  <c r="M258" i="8" s="1"/>
  <c r="L261" i="8"/>
  <c r="L258" i="8" s="1"/>
  <c r="K261" i="8"/>
  <c r="K258" i="8" s="1"/>
  <c r="J261" i="8"/>
  <c r="J258" i="8" s="1"/>
  <c r="I261" i="8"/>
  <c r="I258" i="8" s="1"/>
  <c r="H261" i="8"/>
  <c r="H258" i="8" s="1"/>
  <c r="AG260" i="8"/>
  <c r="AG259" i="8"/>
  <c r="AG257" i="8"/>
  <c r="AG256" i="8"/>
  <c r="AG255" i="8"/>
  <c r="AG254" i="8"/>
  <c r="E253" i="8"/>
  <c r="C250" i="8"/>
  <c r="B253" i="8"/>
  <c r="AG253" i="8" s="1"/>
  <c r="AG252" i="8"/>
  <c r="AG251" i="8"/>
  <c r="AE250" i="8"/>
  <c r="AD250" i="8"/>
  <c r="AC250" i="8"/>
  <c r="AB250" i="8"/>
  <c r="AA250" i="8"/>
  <c r="Z250" i="8"/>
  <c r="Y250" i="8"/>
  <c r="X250" i="8"/>
  <c r="W250" i="8"/>
  <c r="V250" i="8"/>
  <c r="U250" i="8"/>
  <c r="T250" i="8"/>
  <c r="S250" i="8"/>
  <c r="R250" i="8"/>
  <c r="Q250" i="8"/>
  <c r="P250" i="8"/>
  <c r="O250" i="8"/>
  <c r="N250" i="8"/>
  <c r="M250" i="8"/>
  <c r="L250" i="8"/>
  <c r="K250" i="8"/>
  <c r="J250" i="8"/>
  <c r="I250" i="8"/>
  <c r="H250" i="8"/>
  <c r="AG249" i="8"/>
  <c r="AG248" i="8"/>
  <c r="AG247" i="8"/>
  <c r="E246" i="8"/>
  <c r="D246" i="8" s="1"/>
  <c r="C246" i="8"/>
  <c r="C240" i="8" s="1"/>
  <c r="C238" i="8" s="1"/>
  <c r="B246" i="8"/>
  <c r="B244" i="8" s="1"/>
  <c r="AG245" i="8"/>
  <c r="AE244" i="8"/>
  <c r="AD244" i="8"/>
  <c r="AC244" i="8"/>
  <c r="AB244" i="8"/>
  <c r="AA244" i="8"/>
  <c r="Z244" i="8"/>
  <c r="Y244" i="8"/>
  <c r="X244" i="8"/>
  <c r="W244" i="8"/>
  <c r="V244" i="8"/>
  <c r="U244" i="8"/>
  <c r="T244" i="8"/>
  <c r="S244" i="8"/>
  <c r="R244" i="8"/>
  <c r="Q244" i="8"/>
  <c r="P244" i="8"/>
  <c r="O244" i="8"/>
  <c r="N244" i="8"/>
  <c r="M244" i="8"/>
  <c r="L244" i="8"/>
  <c r="K244" i="8"/>
  <c r="J244" i="8"/>
  <c r="I244" i="8"/>
  <c r="H244" i="8"/>
  <c r="AG243" i="8"/>
  <c r="AG242" i="8"/>
  <c r="AG241" i="8"/>
  <c r="AE240" i="8"/>
  <c r="AE238" i="8" s="1"/>
  <c r="AD240" i="8"/>
  <c r="AD238" i="8" s="1"/>
  <c r="AC240" i="8"/>
  <c r="AC238" i="8" s="1"/>
  <c r="AB240" i="8"/>
  <c r="AB238" i="8" s="1"/>
  <c r="AA240" i="8"/>
  <c r="AA238" i="8" s="1"/>
  <c r="Z240" i="8"/>
  <c r="Z238" i="8" s="1"/>
  <c r="Y240" i="8"/>
  <c r="Y238" i="8" s="1"/>
  <c r="X240" i="8"/>
  <c r="X238" i="8" s="1"/>
  <c r="W240" i="8"/>
  <c r="W238" i="8" s="1"/>
  <c r="V240" i="8"/>
  <c r="V238" i="8" s="1"/>
  <c r="U240" i="8"/>
  <c r="U238" i="8" s="1"/>
  <c r="T240" i="8"/>
  <c r="T238" i="8" s="1"/>
  <c r="S240" i="8"/>
  <c r="S238" i="8" s="1"/>
  <c r="R240" i="8"/>
  <c r="R238" i="8" s="1"/>
  <c r="Q240" i="8"/>
  <c r="Q238" i="8" s="1"/>
  <c r="P240" i="8"/>
  <c r="P238" i="8" s="1"/>
  <c r="O240" i="8"/>
  <c r="O238" i="8" s="1"/>
  <c r="N240" i="8"/>
  <c r="N238" i="8" s="1"/>
  <c r="M240" i="8"/>
  <c r="M238" i="8" s="1"/>
  <c r="L240" i="8"/>
  <c r="L238" i="8" s="1"/>
  <c r="K240" i="8"/>
  <c r="K238" i="8" s="1"/>
  <c r="J240" i="8"/>
  <c r="J238" i="8" s="1"/>
  <c r="I240" i="8"/>
  <c r="I238" i="8" s="1"/>
  <c r="H240" i="8"/>
  <c r="H238" i="8" s="1"/>
  <c r="AG239" i="8"/>
  <c r="AG237" i="8"/>
  <c r="AG236" i="8"/>
  <c r="E235" i="8"/>
  <c r="C232" i="8"/>
  <c r="B235" i="8"/>
  <c r="AG235" i="8" s="1"/>
  <c r="AG234" i="8"/>
  <c r="AG233" i="8"/>
  <c r="AE232" i="8"/>
  <c r="AD232" i="8"/>
  <c r="AC232" i="8"/>
  <c r="AB232" i="8"/>
  <c r="AA232" i="8"/>
  <c r="Z232" i="8"/>
  <c r="Y232" i="8"/>
  <c r="X232" i="8"/>
  <c r="W232" i="8"/>
  <c r="V232" i="8"/>
  <c r="U232" i="8"/>
  <c r="T232" i="8"/>
  <c r="S232" i="8"/>
  <c r="R232" i="8"/>
  <c r="Q232" i="8"/>
  <c r="P232" i="8"/>
  <c r="O232" i="8"/>
  <c r="N232" i="8"/>
  <c r="M232" i="8"/>
  <c r="L232" i="8"/>
  <c r="K232" i="8"/>
  <c r="J232" i="8"/>
  <c r="I232" i="8"/>
  <c r="H232" i="8"/>
  <c r="AG231" i="8"/>
  <c r="AG230" i="8"/>
  <c r="E229" i="8"/>
  <c r="C226" i="8"/>
  <c r="B229" i="8"/>
  <c r="AG229" i="8" s="1"/>
  <c r="AG228" i="8"/>
  <c r="AG227" i="8"/>
  <c r="AE226" i="8"/>
  <c r="AD226" i="8"/>
  <c r="AC226" i="8"/>
  <c r="AB226" i="8"/>
  <c r="AA226" i="8"/>
  <c r="Z226" i="8"/>
  <c r="Y226" i="8"/>
  <c r="X226" i="8"/>
  <c r="W226" i="8"/>
  <c r="V226" i="8"/>
  <c r="U226" i="8"/>
  <c r="T226" i="8"/>
  <c r="S226" i="8"/>
  <c r="R226" i="8"/>
  <c r="Q226" i="8"/>
  <c r="P226" i="8"/>
  <c r="O226" i="8"/>
  <c r="N226" i="8"/>
  <c r="M226" i="8"/>
  <c r="L226" i="8"/>
  <c r="K226" i="8"/>
  <c r="J226" i="8"/>
  <c r="I226" i="8"/>
  <c r="H226" i="8"/>
  <c r="AG225" i="8"/>
  <c r="AG224" i="8"/>
  <c r="AE223" i="8"/>
  <c r="AE220" i="8" s="1"/>
  <c r="AD223" i="8"/>
  <c r="AD220" i="8" s="1"/>
  <c r="AC223" i="8"/>
  <c r="AC220" i="8" s="1"/>
  <c r="AB223" i="8"/>
  <c r="AB220" i="8" s="1"/>
  <c r="AA223" i="8"/>
  <c r="AA220" i="8" s="1"/>
  <c r="Z223" i="8"/>
  <c r="Z220" i="8" s="1"/>
  <c r="Y223" i="8"/>
  <c r="Y220" i="8" s="1"/>
  <c r="X223" i="8"/>
  <c r="X220" i="8" s="1"/>
  <c r="W223" i="8"/>
  <c r="W220" i="8" s="1"/>
  <c r="V223" i="8"/>
  <c r="V220" i="8" s="1"/>
  <c r="U223" i="8"/>
  <c r="U220" i="8" s="1"/>
  <c r="T223" i="8"/>
  <c r="T220" i="8" s="1"/>
  <c r="S223" i="8"/>
  <c r="S220" i="8" s="1"/>
  <c r="R223" i="8"/>
  <c r="R220" i="8" s="1"/>
  <c r="Q223" i="8"/>
  <c r="Q220" i="8" s="1"/>
  <c r="P223" i="8"/>
  <c r="P220" i="8" s="1"/>
  <c r="O223" i="8"/>
  <c r="O220" i="8" s="1"/>
  <c r="N223" i="8"/>
  <c r="N220" i="8" s="1"/>
  <c r="M223" i="8"/>
  <c r="M220" i="8" s="1"/>
  <c r="L223" i="8"/>
  <c r="L220" i="8" s="1"/>
  <c r="K223" i="8"/>
  <c r="K220" i="8" s="1"/>
  <c r="J223" i="8"/>
  <c r="J220" i="8" s="1"/>
  <c r="I223" i="8"/>
  <c r="I220" i="8" s="1"/>
  <c r="H223" i="8"/>
  <c r="H220" i="8" s="1"/>
  <c r="AG222" i="8"/>
  <c r="AG221" i="8"/>
  <c r="AG219" i="8"/>
  <c r="AG218" i="8"/>
  <c r="AG217" i="8"/>
  <c r="AG216" i="8"/>
  <c r="E215" i="8"/>
  <c r="C215" i="8"/>
  <c r="C212" i="8" s="1"/>
  <c r="B215" i="8"/>
  <c r="AG215" i="8" s="1"/>
  <c r="AG214" i="8"/>
  <c r="AG213" i="8"/>
  <c r="AE212" i="8"/>
  <c r="AD212" i="8"/>
  <c r="AC212" i="8"/>
  <c r="AB212" i="8"/>
  <c r="AA212" i="8"/>
  <c r="Z212" i="8"/>
  <c r="Y212" i="8"/>
  <c r="X212" i="8"/>
  <c r="W212" i="8"/>
  <c r="V212" i="8"/>
  <c r="U212" i="8"/>
  <c r="T212" i="8"/>
  <c r="S212" i="8"/>
  <c r="R212" i="8"/>
  <c r="Q212" i="8"/>
  <c r="P212" i="8"/>
  <c r="O212" i="8"/>
  <c r="N212" i="8"/>
  <c r="M212" i="8"/>
  <c r="L212" i="8"/>
  <c r="K212" i="8"/>
  <c r="J212" i="8"/>
  <c r="I212" i="8"/>
  <c r="H212" i="8"/>
  <c r="AG211" i="8"/>
  <c r="AG210" i="8"/>
  <c r="H209" i="8"/>
  <c r="B209" i="8" s="1"/>
  <c r="E209" i="8"/>
  <c r="D209" i="8" s="1"/>
  <c r="D206" i="8" s="1"/>
  <c r="AG208" i="8"/>
  <c r="AG207" i="8"/>
  <c r="AE206" i="8"/>
  <c r="AD206" i="8"/>
  <c r="AC206" i="8"/>
  <c r="AB206" i="8"/>
  <c r="AA206" i="8"/>
  <c r="Z206" i="8"/>
  <c r="Y206" i="8"/>
  <c r="X206" i="8"/>
  <c r="W206" i="8"/>
  <c r="V206" i="8"/>
  <c r="U206" i="8"/>
  <c r="T206" i="8"/>
  <c r="S206" i="8"/>
  <c r="R206" i="8"/>
  <c r="Q206" i="8"/>
  <c r="P206" i="8"/>
  <c r="O206" i="8"/>
  <c r="N206" i="8"/>
  <c r="M206" i="8"/>
  <c r="L206" i="8"/>
  <c r="K206" i="8"/>
  <c r="J206" i="8"/>
  <c r="I206" i="8"/>
  <c r="AG205" i="8"/>
  <c r="AG204" i="8"/>
  <c r="E203" i="8"/>
  <c r="D203" i="8" s="1"/>
  <c r="D200" i="8" s="1"/>
  <c r="C200" i="8"/>
  <c r="B203" i="8"/>
  <c r="AG202" i="8"/>
  <c r="AG201" i="8"/>
  <c r="AE200" i="8"/>
  <c r="AD200" i="8"/>
  <c r="AC200" i="8"/>
  <c r="AB200" i="8"/>
  <c r="AA200" i="8"/>
  <c r="Z200" i="8"/>
  <c r="Y200" i="8"/>
  <c r="X200" i="8"/>
  <c r="W200" i="8"/>
  <c r="V200" i="8"/>
  <c r="U200" i="8"/>
  <c r="T200" i="8"/>
  <c r="S200" i="8"/>
  <c r="R200" i="8"/>
  <c r="Q200" i="8"/>
  <c r="P200" i="8"/>
  <c r="O200" i="8"/>
  <c r="N200" i="8"/>
  <c r="M200" i="8"/>
  <c r="L200" i="8"/>
  <c r="K200" i="8"/>
  <c r="J200" i="8"/>
  <c r="I200" i="8"/>
  <c r="H200" i="8"/>
  <c r="AG198" i="8"/>
  <c r="E197" i="8"/>
  <c r="D197" i="8" s="1"/>
  <c r="D194" i="8" s="1"/>
  <c r="C197" i="8"/>
  <c r="C194" i="8" s="1"/>
  <c r="B197" i="8"/>
  <c r="B194" i="8" s="1"/>
  <c r="AG196" i="8"/>
  <c r="AG195" i="8"/>
  <c r="AE194" i="8"/>
  <c r="AD194" i="8"/>
  <c r="AC194" i="8"/>
  <c r="AB194" i="8"/>
  <c r="AA194" i="8"/>
  <c r="Z194" i="8"/>
  <c r="Y194" i="8"/>
  <c r="X194" i="8"/>
  <c r="W194" i="8"/>
  <c r="V194" i="8"/>
  <c r="U194" i="8"/>
  <c r="T194" i="8"/>
  <c r="S194" i="8"/>
  <c r="R194" i="8"/>
  <c r="Q194" i="8"/>
  <c r="P194" i="8"/>
  <c r="O194" i="8"/>
  <c r="N194" i="8"/>
  <c r="M194" i="8"/>
  <c r="L194" i="8"/>
  <c r="K194" i="8"/>
  <c r="J194" i="8"/>
  <c r="I194" i="8"/>
  <c r="H194" i="8"/>
  <c r="AG193" i="8"/>
  <c r="B192" i="8"/>
  <c r="E191" i="8"/>
  <c r="B191" i="8"/>
  <c r="AG191" i="8" s="1"/>
  <c r="AG190" i="8"/>
  <c r="AG189" i="8"/>
  <c r="AE188" i="8"/>
  <c r="AD188" i="8"/>
  <c r="AC188" i="8"/>
  <c r="AB188" i="8"/>
  <c r="AA188" i="8"/>
  <c r="Z188" i="8"/>
  <c r="Y188" i="8"/>
  <c r="X188" i="8"/>
  <c r="W188" i="8"/>
  <c r="V188" i="8"/>
  <c r="U188" i="8"/>
  <c r="T188" i="8"/>
  <c r="S188" i="8"/>
  <c r="R188" i="8"/>
  <c r="Q188" i="8"/>
  <c r="P188" i="8"/>
  <c r="O188" i="8"/>
  <c r="N188" i="8"/>
  <c r="M188" i="8"/>
  <c r="L188" i="8"/>
  <c r="K188" i="8"/>
  <c r="J188" i="8"/>
  <c r="I188" i="8"/>
  <c r="H188" i="8"/>
  <c r="AG187" i="8"/>
  <c r="AE186" i="8"/>
  <c r="AD186" i="8"/>
  <c r="AC186" i="8"/>
  <c r="AB186" i="8"/>
  <c r="AA186" i="8"/>
  <c r="Z186" i="8"/>
  <c r="Y186" i="8"/>
  <c r="X186" i="8"/>
  <c r="W186" i="8"/>
  <c r="V186" i="8"/>
  <c r="U186" i="8"/>
  <c r="T186" i="8"/>
  <c r="S186" i="8"/>
  <c r="R186" i="8"/>
  <c r="Q186" i="8"/>
  <c r="P186" i="8"/>
  <c r="O186" i="8"/>
  <c r="N186" i="8"/>
  <c r="M186" i="8"/>
  <c r="L186" i="8"/>
  <c r="K186" i="8"/>
  <c r="J186" i="8"/>
  <c r="I186" i="8"/>
  <c r="H186" i="8"/>
  <c r="AE185" i="8"/>
  <c r="AE182" i="8" s="1"/>
  <c r="AD185" i="8"/>
  <c r="AD182" i="8" s="1"/>
  <c r="AC185" i="8"/>
  <c r="AB185" i="8"/>
  <c r="AB182" i="8" s="1"/>
  <c r="AA185" i="8"/>
  <c r="AA182" i="8" s="1"/>
  <c r="Z185" i="8"/>
  <c r="Z182" i="8" s="1"/>
  <c r="Y185" i="8"/>
  <c r="Y182" i="8" s="1"/>
  <c r="X185" i="8"/>
  <c r="X182" i="8" s="1"/>
  <c r="W185" i="8"/>
  <c r="W182" i="8" s="1"/>
  <c r="V185" i="8"/>
  <c r="V182" i="8" s="1"/>
  <c r="U185" i="8"/>
  <c r="U182" i="8" s="1"/>
  <c r="T185" i="8"/>
  <c r="T182" i="8" s="1"/>
  <c r="S185" i="8"/>
  <c r="S182" i="8" s="1"/>
  <c r="R185" i="8"/>
  <c r="R182" i="8" s="1"/>
  <c r="Q185" i="8"/>
  <c r="Q182" i="8" s="1"/>
  <c r="P185" i="8"/>
  <c r="P182" i="8" s="1"/>
  <c r="O185" i="8"/>
  <c r="O182" i="8" s="1"/>
  <c r="N185" i="8"/>
  <c r="N182" i="8" s="1"/>
  <c r="M185" i="8"/>
  <c r="M182" i="8" s="1"/>
  <c r="L185" i="8"/>
  <c r="L182" i="8" s="1"/>
  <c r="K185" i="8"/>
  <c r="K182" i="8" s="1"/>
  <c r="J185" i="8"/>
  <c r="J182" i="8" s="1"/>
  <c r="I185" i="8"/>
  <c r="I182" i="8" s="1"/>
  <c r="H185" i="8"/>
  <c r="H182" i="8" s="1"/>
  <c r="AG184" i="8"/>
  <c r="AG183" i="8"/>
  <c r="AC182" i="8"/>
  <c r="AG181" i="8"/>
  <c r="E180" i="8"/>
  <c r="E149" i="8" s="1"/>
  <c r="C180" i="8"/>
  <c r="C149" i="8" s="1"/>
  <c r="B180" i="8"/>
  <c r="E179" i="8"/>
  <c r="C179" i="8"/>
  <c r="C148" i="8" s="1"/>
  <c r="C145" i="8" s="1"/>
  <c r="B179" i="8"/>
  <c r="E178" i="8"/>
  <c r="C178" i="8"/>
  <c r="B178" i="8"/>
  <c r="AG175" i="8"/>
  <c r="AG174" i="8"/>
  <c r="AG172" i="8"/>
  <c r="AG171" i="8"/>
  <c r="AG169" i="8"/>
  <c r="AG168" i="8"/>
  <c r="AG166" i="8"/>
  <c r="AG165" i="8"/>
  <c r="AG163" i="8"/>
  <c r="AG162" i="8"/>
  <c r="AG160" i="8"/>
  <c r="AG159" i="8"/>
  <c r="AG157" i="8"/>
  <c r="AG156" i="8"/>
  <c r="AD290" i="8"/>
  <c r="Z290" i="8"/>
  <c r="V290" i="8"/>
  <c r="R290" i="8"/>
  <c r="N290" i="8"/>
  <c r="J290" i="8"/>
  <c r="AE289" i="8"/>
  <c r="W289" i="8"/>
  <c r="O289" i="8"/>
  <c r="AG153" i="8"/>
  <c r="AD287" i="8"/>
  <c r="AC287" i="8"/>
  <c r="Z287" i="8"/>
  <c r="U287" i="8"/>
  <c r="R287" i="8"/>
  <c r="N287" i="8"/>
  <c r="K127" i="8"/>
  <c r="K124" i="8" s="1"/>
  <c r="J287" i="8"/>
  <c r="AG150" i="8"/>
  <c r="AG147" i="8"/>
  <c r="AA127" i="8"/>
  <c r="AA124" i="8" s="1"/>
  <c r="AG144" i="8"/>
  <c r="AG143" i="8"/>
  <c r="AG142" i="8"/>
  <c r="AG141" i="8"/>
  <c r="AG140" i="8"/>
  <c r="AG139" i="8"/>
  <c r="AG137" i="8"/>
  <c r="AG136" i="8"/>
  <c r="AG135" i="8"/>
  <c r="AG134" i="8"/>
  <c r="AG132" i="8"/>
  <c r="AG131" i="8"/>
  <c r="AG129" i="8"/>
  <c r="B128" i="8"/>
  <c r="AG128" i="8" s="1"/>
  <c r="AG126" i="8"/>
  <c r="AG125" i="8"/>
  <c r="AG123" i="8"/>
  <c r="E122" i="8"/>
  <c r="D122" i="8" s="1"/>
  <c r="C122" i="8"/>
  <c r="B122" i="8"/>
  <c r="AG122" i="8" s="1"/>
  <c r="E121" i="8"/>
  <c r="C121" i="8"/>
  <c r="B121" i="8"/>
  <c r="AG121" i="8" s="1"/>
  <c r="E120" i="8"/>
  <c r="D120" i="8" s="1"/>
  <c r="C120" i="8"/>
  <c r="B120" i="8"/>
  <c r="AG120" i="8" s="1"/>
  <c r="E119" i="8"/>
  <c r="C119" i="8"/>
  <c r="B119" i="8"/>
  <c r="AG119" i="8" s="1"/>
  <c r="AE118" i="8"/>
  <c r="AD118" i="8"/>
  <c r="AC118" i="8"/>
  <c r="AB118" i="8"/>
  <c r="AA118" i="8"/>
  <c r="Z118" i="8"/>
  <c r="Y118" i="8"/>
  <c r="X118" i="8"/>
  <c r="W118" i="8"/>
  <c r="V118" i="8"/>
  <c r="U118" i="8"/>
  <c r="T118" i="8"/>
  <c r="S118" i="8"/>
  <c r="R118" i="8"/>
  <c r="Q118" i="8"/>
  <c r="P118" i="8"/>
  <c r="O118" i="8"/>
  <c r="N118" i="8"/>
  <c r="M118" i="8"/>
  <c r="L118" i="8"/>
  <c r="K118" i="8"/>
  <c r="J118" i="8"/>
  <c r="I118" i="8"/>
  <c r="H118" i="8"/>
  <c r="AG117" i="8"/>
  <c r="E116" i="8"/>
  <c r="D116" i="8" s="1"/>
  <c r="C116" i="8"/>
  <c r="B116" i="8"/>
  <c r="AG116" i="8" s="1"/>
  <c r="E115" i="8"/>
  <c r="B115" i="8"/>
  <c r="AG115" i="8" s="1"/>
  <c r="E114" i="8"/>
  <c r="D114" i="8" s="1"/>
  <c r="C114" i="8"/>
  <c r="B114" i="8"/>
  <c r="E113" i="8"/>
  <c r="C113" i="8"/>
  <c r="B113" i="8"/>
  <c r="AG113" i="8" s="1"/>
  <c r="AE112" i="8"/>
  <c r="AD112" i="8"/>
  <c r="AC112" i="8"/>
  <c r="AB112" i="8"/>
  <c r="AA112" i="8"/>
  <c r="Z112" i="8"/>
  <c r="Y112" i="8"/>
  <c r="X112" i="8"/>
  <c r="W112" i="8"/>
  <c r="V112" i="8"/>
  <c r="U112" i="8"/>
  <c r="T112" i="8"/>
  <c r="S112" i="8"/>
  <c r="R112" i="8"/>
  <c r="Q112" i="8"/>
  <c r="P112" i="8"/>
  <c r="O112" i="8"/>
  <c r="N112" i="8"/>
  <c r="M112" i="8"/>
  <c r="L112" i="8"/>
  <c r="K112" i="8"/>
  <c r="J112" i="8"/>
  <c r="I112" i="8"/>
  <c r="H112" i="8"/>
  <c r="AG111" i="8"/>
  <c r="AG110" i="8"/>
  <c r="E109" i="8"/>
  <c r="B109" i="8"/>
  <c r="AG109" i="8" s="1"/>
  <c r="AG108" i="8"/>
  <c r="AG107" i="8"/>
  <c r="AE106" i="8"/>
  <c r="AD106" i="8"/>
  <c r="AC106" i="8"/>
  <c r="AB106" i="8"/>
  <c r="AA106" i="8"/>
  <c r="Z106" i="8"/>
  <c r="Y106" i="8"/>
  <c r="X106" i="8"/>
  <c r="W106" i="8"/>
  <c r="V106" i="8"/>
  <c r="U106" i="8"/>
  <c r="T106" i="8"/>
  <c r="S106" i="8"/>
  <c r="R106" i="8"/>
  <c r="Q106" i="8"/>
  <c r="P106" i="8"/>
  <c r="O106" i="8"/>
  <c r="N106" i="8"/>
  <c r="M106" i="8"/>
  <c r="L106" i="8"/>
  <c r="K106" i="8"/>
  <c r="J106" i="8"/>
  <c r="I106" i="8"/>
  <c r="H106" i="8"/>
  <c r="AG105" i="8"/>
  <c r="AE104" i="8"/>
  <c r="AD104" i="8"/>
  <c r="AC104" i="8"/>
  <c r="AB104" i="8"/>
  <c r="AA104" i="8"/>
  <c r="Z104" i="8"/>
  <c r="Y104" i="8"/>
  <c r="X104" i="8"/>
  <c r="W104" i="8"/>
  <c r="V104" i="8"/>
  <c r="U104" i="8"/>
  <c r="T104" i="8"/>
  <c r="S104" i="8"/>
  <c r="R104" i="8"/>
  <c r="Q104" i="8"/>
  <c r="P104" i="8"/>
  <c r="O104" i="8"/>
  <c r="N104" i="8"/>
  <c r="M104" i="8"/>
  <c r="L104" i="8"/>
  <c r="K104" i="8"/>
  <c r="J104" i="8"/>
  <c r="I104" i="8"/>
  <c r="H104" i="8"/>
  <c r="AE103" i="8"/>
  <c r="AE100" i="8" s="1"/>
  <c r="AD103" i="8"/>
  <c r="AD100" i="8" s="1"/>
  <c r="AC103" i="8"/>
  <c r="AC100" i="8" s="1"/>
  <c r="AB103" i="8"/>
  <c r="AB100" i="8" s="1"/>
  <c r="AA103" i="8"/>
  <c r="AA100" i="8" s="1"/>
  <c r="Z103" i="8"/>
  <c r="Z100" i="8" s="1"/>
  <c r="Y103" i="8"/>
  <c r="X103" i="8"/>
  <c r="X100" i="8" s="1"/>
  <c r="W103" i="8"/>
  <c r="W100" i="8" s="1"/>
  <c r="V103" i="8"/>
  <c r="V100" i="8" s="1"/>
  <c r="U103" i="8"/>
  <c r="U100" i="8" s="1"/>
  <c r="T103" i="8"/>
  <c r="T100" i="8" s="1"/>
  <c r="S103" i="8"/>
  <c r="S100" i="8" s="1"/>
  <c r="R103" i="8"/>
  <c r="R100" i="8" s="1"/>
  <c r="Q103" i="8"/>
  <c r="Q100" i="8" s="1"/>
  <c r="P103" i="8"/>
  <c r="P100" i="8" s="1"/>
  <c r="O103" i="8"/>
  <c r="O100" i="8" s="1"/>
  <c r="N103" i="8"/>
  <c r="N100" i="8" s="1"/>
  <c r="M103" i="8"/>
  <c r="M100" i="8" s="1"/>
  <c r="L103" i="8"/>
  <c r="L100" i="8" s="1"/>
  <c r="K103" i="8"/>
  <c r="K100" i="8" s="1"/>
  <c r="J103" i="8"/>
  <c r="J100" i="8" s="1"/>
  <c r="I103" i="8"/>
  <c r="I100" i="8" s="1"/>
  <c r="H103" i="8"/>
  <c r="H100" i="8" s="1"/>
  <c r="AG102" i="8"/>
  <c r="AG101" i="8"/>
  <c r="Y100" i="8"/>
  <c r="AG99" i="8"/>
  <c r="AG98" i="8"/>
  <c r="E97" i="8"/>
  <c r="D97" i="8" s="1"/>
  <c r="D94" i="8" s="1"/>
  <c r="C94" i="8"/>
  <c r="B97" i="8"/>
  <c r="B94" i="8" s="1"/>
  <c r="AG96" i="8"/>
  <c r="AG95" i="8"/>
  <c r="AE94" i="8"/>
  <c r="AD94" i="8"/>
  <c r="AC94" i="8"/>
  <c r="AB94" i="8"/>
  <c r="AA94" i="8"/>
  <c r="Z94" i="8"/>
  <c r="Y94" i="8"/>
  <c r="X94" i="8"/>
  <c r="W94" i="8"/>
  <c r="V94" i="8"/>
  <c r="U94" i="8"/>
  <c r="T94" i="8"/>
  <c r="S94" i="8"/>
  <c r="R94" i="8"/>
  <c r="Q94" i="8"/>
  <c r="P94" i="8"/>
  <c r="O94" i="8"/>
  <c r="N94" i="8"/>
  <c r="M94" i="8"/>
  <c r="L94" i="8"/>
  <c r="K94" i="8"/>
  <c r="J94" i="8"/>
  <c r="I94" i="8"/>
  <c r="H94" i="8"/>
  <c r="AG93" i="8"/>
  <c r="AG92" i="8"/>
  <c r="E91" i="8"/>
  <c r="D91" i="8" s="1"/>
  <c r="D88" i="8" s="1"/>
  <c r="C88" i="8"/>
  <c r="B91" i="8"/>
  <c r="AG90" i="8"/>
  <c r="AG89" i="8"/>
  <c r="AE88" i="8"/>
  <c r="AD88" i="8"/>
  <c r="AC88" i="8"/>
  <c r="AB88" i="8"/>
  <c r="AA88" i="8"/>
  <c r="Z88" i="8"/>
  <c r="Y88" i="8"/>
  <c r="X88" i="8"/>
  <c r="W88" i="8"/>
  <c r="V88" i="8"/>
  <c r="U88" i="8"/>
  <c r="T88" i="8"/>
  <c r="S88" i="8"/>
  <c r="R88" i="8"/>
  <c r="Q88" i="8"/>
  <c r="P88" i="8"/>
  <c r="O88" i="8"/>
  <c r="N88" i="8"/>
  <c r="M88" i="8"/>
  <c r="L88" i="8"/>
  <c r="K88" i="8"/>
  <c r="J88" i="8"/>
  <c r="I88" i="8"/>
  <c r="H88" i="8"/>
  <c r="AG87" i="8"/>
  <c r="AG86" i="8"/>
  <c r="E85" i="8"/>
  <c r="D85" i="8" s="1"/>
  <c r="D82" i="8" s="1"/>
  <c r="C82" i="8"/>
  <c r="B85" i="8"/>
  <c r="B82" i="8" s="1"/>
  <c r="AG84" i="8"/>
  <c r="AG83" i="8"/>
  <c r="AE82" i="8"/>
  <c r="AD82" i="8"/>
  <c r="AC82" i="8"/>
  <c r="AB82" i="8"/>
  <c r="AA82" i="8"/>
  <c r="Z82" i="8"/>
  <c r="Y82" i="8"/>
  <c r="X82" i="8"/>
  <c r="W82" i="8"/>
  <c r="V82" i="8"/>
  <c r="U82" i="8"/>
  <c r="T82" i="8"/>
  <c r="S82" i="8"/>
  <c r="R82" i="8"/>
  <c r="Q82" i="8"/>
  <c r="P82" i="8"/>
  <c r="O82" i="8"/>
  <c r="N82" i="8"/>
  <c r="M82" i="8"/>
  <c r="L82" i="8"/>
  <c r="K82" i="8"/>
  <c r="J82" i="8"/>
  <c r="I82" i="8"/>
  <c r="H82" i="8"/>
  <c r="AG81" i="8"/>
  <c r="AG80" i="8"/>
  <c r="E79" i="8"/>
  <c r="D79" i="8" s="1"/>
  <c r="D76" i="8" s="1"/>
  <c r="C79" i="8"/>
  <c r="C76" i="8" s="1"/>
  <c r="B79" i="8"/>
  <c r="AG78" i="8"/>
  <c r="AG77" i="8"/>
  <c r="AE76" i="8"/>
  <c r="AD76" i="8"/>
  <c r="AC76" i="8"/>
  <c r="AB76" i="8"/>
  <c r="AA76" i="8"/>
  <c r="Z76" i="8"/>
  <c r="Y76" i="8"/>
  <c r="X76" i="8"/>
  <c r="W76" i="8"/>
  <c r="V76" i="8"/>
  <c r="U76" i="8"/>
  <c r="T76" i="8"/>
  <c r="S76" i="8"/>
  <c r="R76" i="8"/>
  <c r="Q76" i="8"/>
  <c r="P76" i="8"/>
  <c r="O76" i="8"/>
  <c r="N76" i="8"/>
  <c r="M76" i="8"/>
  <c r="L76" i="8"/>
  <c r="K76" i="8"/>
  <c r="J76" i="8"/>
  <c r="I76" i="8"/>
  <c r="H76" i="8"/>
  <c r="AG75" i="8"/>
  <c r="AG74" i="8"/>
  <c r="E73" i="8"/>
  <c r="D73" i="8" s="1"/>
  <c r="D70" i="8" s="1"/>
  <c r="C73" i="8"/>
  <c r="C70" i="8" s="1"/>
  <c r="B73" i="8"/>
  <c r="B70" i="8" s="1"/>
  <c r="AG72" i="8"/>
  <c r="AG71" i="8"/>
  <c r="AE70" i="8"/>
  <c r="AD70" i="8"/>
  <c r="AC70" i="8"/>
  <c r="AB70" i="8"/>
  <c r="AA70" i="8"/>
  <c r="Z70" i="8"/>
  <c r="Y70" i="8"/>
  <c r="X70" i="8"/>
  <c r="W70" i="8"/>
  <c r="V70" i="8"/>
  <c r="U70" i="8"/>
  <c r="T70" i="8"/>
  <c r="S70" i="8"/>
  <c r="R70" i="8"/>
  <c r="Q70" i="8"/>
  <c r="P70" i="8"/>
  <c r="O70" i="8"/>
  <c r="N70" i="8"/>
  <c r="M70" i="8"/>
  <c r="L70" i="8"/>
  <c r="K70" i="8"/>
  <c r="J70" i="8"/>
  <c r="I70" i="8"/>
  <c r="H70" i="8"/>
  <c r="AG69" i="8"/>
  <c r="AG68" i="8"/>
  <c r="AE67" i="8"/>
  <c r="AE64" i="8" s="1"/>
  <c r="AD67" i="8"/>
  <c r="AD64" i="8" s="1"/>
  <c r="AC67" i="8"/>
  <c r="AB67" i="8"/>
  <c r="AB64" i="8" s="1"/>
  <c r="AA67" i="8"/>
  <c r="AA64" i="8" s="1"/>
  <c r="Z67" i="8"/>
  <c r="Z64" i="8" s="1"/>
  <c r="Y67" i="8"/>
  <c r="Y64" i="8" s="1"/>
  <c r="X67" i="8"/>
  <c r="X64" i="8" s="1"/>
  <c r="W67" i="8"/>
  <c r="W64" i="8" s="1"/>
  <c r="V67" i="8"/>
  <c r="V64" i="8" s="1"/>
  <c r="U67" i="8"/>
  <c r="U64" i="8" s="1"/>
  <c r="T67" i="8"/>
  <c r="T64" i="8" s="1"/>
  <c r="S67" i="8"/>
  <c r="S64" i="8" s="1"/>
  <c r="R67" i="8"/>
  <c r="R64" i="8" s="1"/>
  <c r="Q67" i="8"/>
  <c r="Q64" i="8" s="1"/>
  <c r="P67" i="8"/>
  <c r="P64" i="8" s="1"/>
  <c r="O67" i="8"/>
  <c r="O64" i="8" s="1"/>
  <c r="N67" i="8"/>
  <c r="N64" i="8" s="1"/>
  <c r="M67" i="8"/>
  <c r="M64" i="8" s="1"/>
  <c r="L67" i="8"/>
  <c r="L64" i="8" s="1"/>
  <c r="K67" i="8"/>
  <c r="K64" i="8" s="1"/>
  <c r="J67" i="8"/>
  <c r="J64" i="8" s="1"/>
  <c r="I67" i="8"/>
  <c r="I64" i="8" s="1"/>
  <c r="H67" i="8"/>
  <c r="H64" i="8" s="1"/>
  <c r="AG66" i="8"/>
  <c r="AG65" i="8"/>
  <c r="AC64" i="8"/>
  <c r="AG63" i="8"/>
  <c r="AG61" i="8"/>
  <c r="E60" i="8"/>
  <c r="D60" i="8" s="1"/>
  <c r="B60" i="8"/>
  <c r="F62" i="8" s="1"/>
  <c r="E59" i="8"/>
  <c r="B59" i="8"/>
  <c r="AG59" i="8" s="1"/>
  <c r="AG58" i="8"/>
  <c r="AE57" i="8"/>
  <c r="AD57" i="8"/>
  <c r="AC57" i="8"/>
  <c r="AB57" i="8"/>
  <c r="AA57" i="8"/>
  <c r="Z57" i="8"/>
  <c r="Y57" i="8"/>
  <c r="X57" i="8"/>
  <c r="W57" i="8"/>
  <c r="V57" i="8"/>
  <c r="U57" i="8"/>
  <c r="T57" i="8"/>
  <c r="S57" i="8"/>
  <c r="R57" i="8"/>
  <c r="Q57" i="8"/>
  <c r="P57" i="8"/>
  <c r="O57" i="8"/>
  <c r="N57" i="8"/>
  <c r="M57" i="8"/>
  <c r="L57" i="8"/>
  <c r="K57" i="8"/>
  <c r="J57" i="8"/>
  <c r="I57" i="8"/>
  <c r="H57" i="8"/>
  <c r="AG56" i="8"/>
  <c r="AG55" i="8"/>
  <c r="E54" i="8"/>
  <c r="D54" i="8" s="1"/>
  <c r="B54" i="8"/>
  <c r="E53" i="8"/>
  <c r="B53" i="8"/>
  <c r="AG53" i="8" s="1"/>
  <c r="E52" i="8"/>
  <c r="D52" i="8" s="1"/>
  <c r="C52" i="8"/>
  <c r="B52" i="8"/>
  <c r="AG51" i="8"/>
  <c r="AE50" i="8"/>
  <c r="AD50" i="8"/>
  <c r="AC50" i="8"/>
  <c r="AB50" i="8"/>
  <c r="AA50" i="8"/>
  <c r="Z50" i="8"/>
  <c r="Y50" i="8"/>
  <c r="X50" i="8"/>
  <c r="W50" i="8"/>
  <c r="V50" i="8"/>
  <c r="U50" i="8"/>
  <c r="T50" i="8"/>
  <c r="R50" i="8"/>
  <c r="Q50" i="8"/>
  <c r="P50" i="8"/>
  <c r="O50" i="8"/>
  <c r="N50" i="8"/>
  <c r="M50" i="8"/>
  <c r="L50" i="8"/>
  <c r="K50" i="8"/>
  <c r="J50" i="8"/>
  <c r="I50" i="8"/>
  <c r="H50" i="8"/>
  <c r="AG49" i="8"/>
  <c r="AG48" i="8"/>
  <c r="P47" i="8"/>
  <c r="E47" i="8"/>
  <c r="C44" i="8"/>
  <c r="AG46" i="8"/>
  <c r="AG45" i="8"/>
  <c r="AE44" i="8"/>
  <c r="AD44" i="8"/>
  <c r="AC44" i="8"/>
  <c r="AB44" i="8"/>
  <c r="AA44" i="8"/>
  <c r="Z44" i="8"/>
  <c r="Y44" i="8"/>
  <c r="X44" i="8"/>
  <c r="W44" i="8"/>
  <c r="V44" i="8"/>
  <c r="U44" i="8"/>
  <c r="S44" i="8"/>
  <c r="R44" i="8"/>
  <c r="Q44" i="8"/>
  <c r="O44" i="8"/>
  <c r="N44" i="8"/>
  <c r="M44" i="8"/>
  <c r="L44" i="8"/>
  <c r="K44" i="8"/>
  <c r="J44" i="8"/>
  <c r="I44" i="8"/>
  <c r="H44" i="8"/>
  <c r="AG43" i="8"/>
  <c r="AG42" i="8"/>
  <c r="E41" i="8"/>
  <c r="C38" i="8"/>
  <c r="B41" i="8"/>
  <c r="AG41" i="8" s="1"/>
  <c r="AG40" i="8"/>
  <c r="AG39" i="8"/>
  <c r="AE38" i="8"/>
  <c r="AD38" i="8"/>
  <c r="AC38" i="8"/>
  <c r="AB38" i="8"/>
  <c r="AA38" i="8"/>
  <c r="Z38" i="8"/>
  <c r="Y38" i="8"/>
  <c r="X38" i="8"/>
  <c r="W38" i="8"/>
  <c r="V38" i="8"/>
  <c r="U38" i="8"/>
  <c r="T38" i="8"/>
  <c r="S38" i="8"/>
  <c r="R38" i="8"/>
  <c r="Q38" i="8"/>
  <c r="P38" i="8"/>
  <c r="O38" i="8"/>
  <c r="N38" i="8"/>
  <c r="M38" i="8"/>
  <c r="L38" i="8"/>
  <c r="K38" i="8"/>
  <c r="J38" i="8"/>
  <c r="I38" i="8"/>
  <c r="H38" i="8"/>
  <c r="AG37" i="8"/>
  <c r="AG36" i="8"/>
  <c r="AG35" i="8"/>
  <c r="E35" i="8"/>
  <c r="C35" i="8"/>
  <c r="E34" i="8"/>
  <c r="B34" i="8"/>
  <c r="E33" i="8"/>
  <c r="D33" i="8" s="1"/>
  <c r="C33" i="8"/>
  <c r="B33" i="8"/>
  <c r="AG33" i="8" s="1"/>
  <c r="E32" i="8"/>
  <c r="C32" i="8"/>
  <c r="C26" i="8" s="1"/>
  <c r="B32" i="8"/>
  <c r="AE31" i="8"/>
  <c r="AD31" i="8"/>
  <c r="AC31" i="8"/>
  <c r="AB31" i="8"/>
  <c r="AA31" i="8"/>
  <c r="Z31" i="8"/>
  <c r="Y31" i="8"/>
  <c r="X31" i="8"/>
  <c r="W31" i="8"/>
  <c r="V31" i="8"/>
  <c r="U31" i="8"/>
  <c r="T31" i="8"/>
  <c r="S31" i="8"/>
  <c r="R31" i="8"/>
  <c r="Q31" i="8"/>
  <c r="P31" i="8"/>
  <c r="O31" i="8"/>
  <c r="N31" i="8"/>
  <c r="M31" i="8"/>
  <c r="L31" i="8"/>
  <c r="K31" i="8"/>
  <c r="J31" i="8"/>
  <c r="I31" i="8"/>
  <c r="H31" i="8"/>
  <c r="AG30" i="8"/>
  <c r="AE29" i="8"/>
  <c r="AC29" i="8"/>
  <c r="AA29" i="8"/>
  <c r="Y29" i="8"/>
  <c r="W29" i="8"/>
  <c r="U29" i="8"/>
  <c r="S29" i="8"/>
  <c r="Q29" i="8"/>
  <c r="K29" i="8"/>
  <c r="J29" i="8"/>
  <c r="I29" i="8"/>
  <c r="H29" i="8"/>
  <c r="AE28" i="8"/>
  <c r="AD28" i="8"/>
  <c r="AC28" i="8"/>
  <c r="AB28" i="8"/>
  <c r="AA28" i="8"/>
  <c r="Z28" i="8"/>
  <c r="Y28" i="8"/>
  <c r="X28" i="8"/>
  <c r="W28" i="8"/>
  <c r="V28" i="8"/>
  <c r="U28" i="8"/>
  <c r="S28" i="8"/>
  <c r="R28" i="8"/>
  <c r="Q28" i="8"/>
  <c r="O28" i="8"/>
  <c r="N28" i="8"/>
  <c r="M28" i="8"/>
  <c r="L28" i="8"/>
  <c r="K28" i="8"/>
  <c r="J28" i="8"/>
  <c r="I28" i="8"/>
  <c r="H28" i="8"/>
  <c r="AE27" i="8"/>
  <c r="AD27" i="8"/>
  <c r="AC27" i="8"/>
  <c r="AB27" i="8"/>
  <c r="AA27" i="8"/>
  <c r="Z27" i="8"/>
  <c r="Y27" i="8"/>
  <c r="X27" i="8"/>
  <c r="W27" i="8"/>
  <c r="V27" i="8"/>
  <c r="U27" i="8"/>
  <c r="T27" i="8"/>
  <c r="S27" i="8"/>
  <c r="R27" i="8"/>
  <c r="Q27" i="8"/>
  <c r="P27" i="8"/>
  <c r="O27" i="8"/>
  <c r="N27" i="8"/>
  <c r="M27" i="8"/>
  <c r="L27" i="8"/>
  <c r="K27" i="8"/>
  <c r="J27" i="8"/>
  <c r="I27" i="8"/>
  <c r="H27" i="8"/>
  <c r="AE26" i="8"/>
  <c r="AD26" i="8"/>
  <c r="AC26" i="8"/>
  <c r="AB26" i="8"/>
  <c r="AA26" i="8"/>
  <c r="Z26" i="8"/>
  <c r="Y26" i="8"/>
  <c r="X26" i="8"/>
  <c r="W26" i="8"/>
  <c r="V26" i="8"/>
  <c r="U26" i="8"/>
  <c r="T26" i="8"/>
  <c r="S26" i="8"/>
  <c r="R26" i="8"/>
  <c r="Q26" i="8"/>
  <c r="P26" i="8"/>
  <c r="O26" i="8"/>
  <c r="N26" i="8"/>
  <c r="M26" i="8"/>
  <c r="L26" i="8"/>
  <c r="K26" i="8"/>
  <c r="J26" i="8"/>
  <c r="I26" i="8"/>
  <c r="H26" i="8"/>
  <c r="AG24" i="8"/>
  <c r="AG23" i="8"/>
  <c r="E22" i="8"/>
  <c r="B22" i="8"/>
  <c r="AG22" i="8" s="1"/>
  <c r="E21" i="8"/>
  <c r="D21" i="8" s="1"/>
  <c r="B21" i="8"/>
  <c r="E20" i="8"/>
  <c r="B20" i="8"/>
  <c r="AG20" i="8" s="1"/>
  <c r="E19" i="8"/>
  <c r="D19" i="8" s="1"/>
  <c r="B19" i="8"/>
  <c r="AE18" i="8"/>
  <c r="AD18" i="8"/>
  <c r="AC18" i="8"/>
  <c r="AB18" i="8"/>
  <c r="AA18" i="8"/>
  <c r="Z18" i="8"/>
  <c r="Y18" i="8"/>
  <c r="X18" i="8"/>
  <c r="W18" i="8"/>
  <c r="V18" i="8"/>
  <c r="U18" i="8"/>
  <c r="T18" i="8"/>
  <c r="S18" i="8"/>
  <c r="R18" i="8"/>
  <c r="Q18" i="8"/>
  <c r="P18" i="8"/>
  <c r="O18" i="8"/>
  <c r="N18" i="8"/>
  <c r="M18" i="8"/>
  <c r="L18" i="8"/>
  <c r="K18" i="8"/>
  <c r="J18" i="8"/>
  <c r="I18" i="8"/>
  <c r="H18" i="8"/>
  <c r="AG17" i="8"/>
  <c r="E16" i="8"/>
  <c r="C16" i="8"/>
  <c r="B16" i="8"/>
  <c r="E15" i="8"/>
  <c r="D15" i="8" s="1"/>
  <c r="C15" i="8"/>
  <c r="B15" i="8"/>
  <c r="AG15" i="8" s="1"/>
  <c r="E14" i="8"/>
  <c r="C14" i="8"/>
  <c r="C283" i="8" s="1"/>
  <c r="B14" i="8"/>
  <c r="E13" i="8"/>
  <c r="D13" i="8" s="1"/>
  <c r="C13" i="8"/>
  <c r="B13" i="8"/>
  <c r="AE12" i="8"/>
  <c r="AD12" i="8"/>
  <c r="AC12" i="8"/>
  <c r="AB12" i="8"/>
  <c r="AA12" i="8"/>
  <c r="Z12" i="8"/>
  <c r="Y12" i="8"/>
  <c r="X12" i="8"/>
  <c r="W12" i="8"/>
  <c r="V12" i="8"/>
  <c r="U12" i="8"/>
  <c r="T12" i="8"/>
  <c r="S12" i="8"/>
  <c r="R12" i="8"/>
  <c r="Q12" i="8"/>
  <c r="P12" i="8"/>
  <c r="O12" i="8"/>
  <c r="N12" i="8"/>
  <c r="M12" i="8"/>
  <c r="L12" i="8"/>
  <c r="K12" i="8"/>
  <c r="J12" i="8"/>
  <c r="I12" i="8"/>
  <c r="H12" i="8"/>
  <c r="AG11" i="8"/>
  <c r="C69" i="11" l="1"/>
  <c r="W94" i="11"/>
  <c r="B32" i="11"/>
  <c r="E49" i="11"/>
  <c r="E69" i="11"/>
  <c r="E177" i="14"/>
  <c r="D183" i="14"/>
  <c r="D52" i="11"/>
  <c r="Q66" i="11"/>
  <c r="Q65" i="11" s="1"/>
  <c r="B47" i="11"/>
  <c r="C47" i="11"/>
  <c r="P94" i="11"/>
  <c r="X94" i="11"/>
  <c r="C52" i="11"/>
  <c r="B73" i="11"/>
  <c r="S66" i="11"/>
  <c r="S65" i="11" s="1"/>
  <c r="E140" i="14"/>
  <c r="F140" i="14" s="1"/>
  <c r="D143" i="14"/>
  <c r="E66" i="11"/>
  <c r="E65" i="11" s="1"/>
  <c r="C73" i="11"/>
  <c r="E121" i="17"/>
  <c r="G121" i="17" s="1"/>
  <c r="P66" i="11"/>
  <c r="C176" i="8"/>
  <c r="D179" i="8"/>
  <c r="D148" i="8" s="1"/>
  <c r="D145" i="8" s="1"/>
  <c r="E148" i="8"/>
  <c r="C80" i="11"/>
  <c r="E176" i="8"/>
  <c r="AG180" i="8"/>
  <c r="B149" i="8"/>
  <c r="F149" i="8" s="1"/>
  <c r="AG179" i="8"/>
  <c r="B148" i="8"/>
  <c r="B145" i="8" s="1"/>
  <c r="AG178" i="8"/>
  <c r="B176" i="8"/>
  <c r="G149" i="8"/>
  <c r="B80" i="11"/>
  <c r="C87" i="11"/>
  <c r="G87" i="11" s="1"/>
  <c r="B87" i="11"/>
  <c r="C32" i="11"/>
  <c r="J94" i="11"/>
  <c r="R94" i="11"/>
  <c r="Z94" i="11"/>
  <c r="O66" i="11"/>
  <c r="O65" i="11" s="1"/>
  <c r="AH101" i="12"/>
  <c r="AH136" i="12"/>
  <c r="Q27" i="12"/>
  <c r="N96" i="11"/>
  <c r="E117" i="17"/>
  <c r="G117" i="17" s="1"/>
  <c r="G140" i="14"/>
  <c r="C81" i="14"/>
  <c r="B83" i="14"/>
  <c r="C83" i="14"/>
  <c r="C355" i="14" s="1"/>
  <c r="E119" i="17"/>
  <c r="F119" i="17" s="1"/>
  <c r="D41" i="17"/>
  <c r="E118" i="17"/>
  <c r="F121" i="17"/>
  <c r="N281" i="8"/>
  <c r="D140" i="14"/>
  <c r="G143" i="14"/>
  <c r="C82" i="14"/>
  <c r="C80" i="14"/>
  <c r="C208" i="14"/>
  <c r="C335" i="14"/>
  <c r="AG52" i="8"/>
  <c r="B50" i="8"/>
  <c r="AG50" i="8" s="1"/>
  <c r="AE187" i="14"/>
  <c r="AH129" i="12"/>
  <c r="C88" i="14"/>
  <c r="C91" i="14"/>
  <c r="C277" i="14"/>
  <c r="N299" i="14"/>
  <c r="N352" i="14" s="1"/>
  <c r="N372" i="14" s="1"/>
  <c r="C311" i="14"/>
  <c r="N300" i="14"/>
  <c r="N353" i="14" s="1"/>
  <c r="N373" i="14" s="1"/>
  <c r="C312" i="14"/>
  <c r="N301" i="14"/>
  <c r="N364" i="14" s="1"/>
  <c r="C313" i="14"/>
  <c r="B81" i="14"/>
  <c r="AG81" i="14" s="1"/>
  <c r="AG105" i="14"/>
  <c r="B87" i="14"/>
  <c r="K205" i="14"/>
  <c r="S205" i="14"/>
  <c r="AA205" i="14"/>
  <c r="AG214" i="14"/>
  <c r="B208" i="14"/>
  <c r="L355" i="14"/>
  <c r="L375" i="14" s="1"/>
  <c r="Q94" i="11"/>
  <c r="Y94" i="11"/>
  <c r="M61" i="12"/>
  <c r="U61" i="12"/>
  <c r="AC61" i="12"/>
  <c r="O79" i="12"/>
  <c r="W79" i="12"/>
  <c r="AE79" i="12"/>
  <c r="O187" i="14"/>
  <c r="K94" i="11"/>
  <c r="S94" i="11"/>
  <c r="AA94" i="11"/>
  <c r="C62" i="12"/>
  <c r="AH62" i="12" s="1"/>
  <c r="Q61" i="12"/>
  <c r="Y61" i="12"/>
  <c r="C82" i="12"/>
  <c r="AE235" i="14"/>
  <c r="L94" i="11"/>
  <c r="T94" i="11"/>
  <c r="AB94" i="11"/>
  <c r="N94" i="11"/>
  <c r="V94" i="11"/>
  <c r="M94" i="11"/>
  <c r="U94" i="11"/>
  <c r="D58" i="11"/>
  <c r="AH34" i="12"/>
  <c r="C65" i="12"/>
  <c r="AH77" i="12"/>
  <c r="AH80" i="12"/>
  <c r="AH81" i="12"/>
  <c r="AH83" i="12"/>
  <c r="AH100" i="12"/>
  <c r="AH13" i="12"/>
  <c r="AG51" i="12"/>
  <c r="AH52" i="12"/>
  <c r="C63" i="12"/>
  <c r="AH63" i="12" s="1"/>
  <c r="C64" i="12"/>
  <c r="D70" i="12"/>
  <c r="D67" i="12" s="1"/>
  <c r="AH70" i="12"/>
  <c r="B76" i="12"/>
  <c r="AG76" i="12" s="1"/>
  <c r="C76" i="12"/>
  <c r="AH76" i="12" s="1"/>
  <c r="AH107" i="12"/>
  <c r="AH128" i="12"/>
  <c r="D76" i="12"/>
  <c r="AH15" i="12"/>
  <c r="AH103" i="12"/>
  <c r="AH117" i="12"/>
  <c r="AH124" i="12"/>
  <c r="AH131" i="12"/>
  <c r="AH134" i="12"/>
  <c r="AH14" i="12"/>
  <c r="AH102" i="12"/>
  <c r="AH109" i="12"/>
  <c r="AH116" i="12"/>
  <c r="AH123" i="12"/>
  <c r="AH130" i="12"/>
  <c r="AH137" i="12"/>
  <c r="AH51" i="12"/>
  <c r="AH65" i="12"/>
  <c r="AH16" i="12"/>
  <c r="AH33" i="12"/>
  <c r="AH125" i="12"/>
  <c r="AH135" i="12"/>
  <c r="G149" i="18"/>
  <c r="F149" i="18"/>
  <c r="C107" i="17"/>
  <c r="X281" i="8"/>
  <c r="W205" i="14"/>
  <c r="B71" i="11"/>
  <c r="H82" i="9"/>
  <c r="H93" i="9" s="1"/>
  <c r="G21" i="14"/>
  <c r="AG28" i="14"/>
  <c r="C14" i="14"/>
  <c r="C358" i="14" s="1"/>
  <c r="AD354" i="14"/>
  <c r="AD359" i="14"/>
  <c r="C13" i="14"/>
  <c r="D20" i="14"/>
  <c r="D14" i="14" s="1"/>
  <c r="V291" i="8"/>
  <c r="P291" i="8" s="1"/>
  <c r="B15" i="14"/>
  <c r="AG15" i="14" s="1"/>
  <c r="D28" i="14"/>
  <c r="T354" i="14"/>
  <c r="T374" i="14" s="1"/>
  <c r="AD363" i="14"/>
  <c r="B165" i="14"/>
  <c r="AG165" i="14" s="1"/>
  <c r="AA25" i="12"/>
  <c r="K277" i="8"/>
  <c r="K294" i="8" s="1"/>
  <c r="O277" i="8"/>
  <c r="O302" i="8" s="1"/>
  <c r="S277" i="8"/>
  <c r="S294" i="8" s="1"/>
  <c r="W277" i="8"/>
  <c r="W302" i="8" s="1"/>
  <c r="AA277" i="8"/>
  <c r="AA294" i="8" s="1"/>
  <c r="AE277" i="8"/>
  <c r="AE294" i="8" s="1"/>
  <c r="C38" i="11"/>
  <c r="V66" i="11"/>
  <c r="V65" i="11" s="1"/>
  <c r="W25" i="12"/>
  <c r="K358" i="14"/>
  <c r="O358" i="14"/>
  <c r="S358" i="14"/>
  <c r="W358" i="14"/>
  <c r="AA358" i="14"/>
  <c r="AC358" i="14"/>
  <c r="AE358" i="14"/>
  <c r="K360" i="14"/>
  <c r="O360" i="14"/>
  <c r="S360" i="14"/>
  <c r="W360" i="14"/>
  <c r="AA360" i="14"/>
  <c r="AE360" i="14"/>
  <c r="M279" i="8"/>
  <c r="M304" i="8" s="1"/>
  <c r="Y279" i="8"/>
  <c r="Y304" i="8" s="1"/>
  <c r="H277" i="8"/>
  <c r="H302" i="8" s="1"/>
  <c r="J277" i="8"/>
  <c r="J294" i="8" s="1"/>
  <c r="L277" i="8"/>
  <c r="L302" i="8" s="1"/>
  <c r="N277" i="8"/>
  <c r="N302" i="8" s="1"/>
  <c r="P277" i="8"/>
  <c r="P302" i="8" s="1"/>
  <c r="R277" i="8"/>
  <c r="R294" i="8" s="1"/>
  <c r="T277" i="8"/>
  <c r="T302" i="8" s="1"/>
  <c r="V277" i="8"/>
  <c r="V302" i="8" s="1"/>
  <c r="X277" i="8"/>
  <c r="X302" i="8" s="1"/>
  <c r="Z277" i="8"/>
  <c r="Z294" i="8" s="1"/>
  <c r="AB277" i="8"/>
  <c r="AB302" i="8" s="1"/>
  <c r="AD277" i="8"/>
  <c r="AD302" i="8" s="1"/>
  <c r="P289" i="8"/>
  <c r="E223" i="8"/>
  <c r="E220" i="8" s="1"/>
  <c r="M12" i="11"/>
  <c r="M11" i="11" s="1"/>
  <c r="E337" i="14"/>
  <c r="C31" i="15"/>
  <c r="AH31" i="15" s="1"/>
  <c r="AB46" i="11"/>
  <c r="AB45" i="11" s="1"/>
  <c r="K66" i="11"/>
  <c r="K65" i="11" s="1"/>
  <c r="D80" i="11"/>
  <c r="D26" i="15"/>
  <c r="L279" i="8"/>
  <c r="L304" i="8" s="1"/>
  <c r="O152" i="12"/>
  <c r="S152" i="12"/>
  <c r="W152" i="12"/>
  <c r="AA152" i="12"/>
  <c r="AE152" i="12"/>
  <c r="D24" i="15"/>
  <c r="B107" i="17"/>
  <c r="C108" i="17"/>
  <c r="E110" i="17"/>
  <c r="I279" i="8"/>
  <c r="I304" i="8" s="1"/>
  <c r="U279" i="8"/>
  <c r="U304" i="8" s="1"/>
  <c r="AC279" i="8"/>
  <c r="AC304" i="8" s="1"/>
  <c r="B287" i="8"/>
  <c r="C57" i="8"/>
  <c r="T291" i="8"/>
  <c r="J101" i="11"/>
  <c r="N101" i="11"/>
  <c r="R101" i="11"/>
  <c r="V101" i="11"/>
  <c r="Z101" i="11"/>
  <c r="AD101" i="11"/>
  <c r="M66" i="11"/>
  <c r="M65" i="11" s="1"/>
  <c r="L46" i="11"/>
  <c r="L45" i="11" s="1"/>
  <c r="E14" i="14"/>
  <c r="H357" i="14"/>
  <c r="P357" i="14"/>
  <c r="X357" i="14"/>
  <c r="L357" i="14"/>
  <c r="T357" i="14"/>
  <c r="AB357" i="14"/>
  <c r="E237" i="14"/>
  <c r="H300" i="14"/>
  <c r="H301" i="14"/>
  <c r="J357" i="14"/>
  <c r="R357" i="14"/>
  <c r="V357" i="14"/>
  <c r="AD357" i="14"/>
  <c r="N357" i="14"/>
  <c r="Z357" i="14"/>
  <c r="C193" i="14"/>
  <c r="H299" i="14"/>
  <c r="E151" i="14"/>
  <c r="E148" i="14" s="1"/>
  <c r="E211" i="14"/>
  <c r="E236" i="14"/>
  <c r="B335" i="14"/>
  <c r="AG335" i="14" s="1"/>
  <c r="E115" i="14"/>
  <c r="C337" i="14"/>
  <c r="P364" i="14"/>
  <c r="P174" i="14"/>
  <c r="I358" i="14"/>
  <c r="M358" i="14"/>
  <c r="Q358" i="14"/>
  <c r="U358" i="14"/>
  <c r="Y358" i="14"/>
  <c r="C360" i="14"/>
  <c r="I360" i="14"/>
  <c r="M360" i="14"/>
  <c r="Q360" i="14"/>
  <c r="U360" i="14"/>
  <c r="Y360" i="14"/>
  <c r="AC360" i="14"/>
  <c r="AE31" i="14"/>
  <c r="J359" i="14"/>
  <c r="N359" i="14"/>
  <c r="R359" i="14"/>
  <c r="V359" i="14"/>
  <c r="Z359" i="14"/>
  <c r="T162" i="14"/>
  <c r="L364" i="14"/>
  <c r="AB364" i="14"/>
  <c r="AG152" i="14"/>
  <c r="AG178" i="14"/>
  <c r="H359" i="14"/>
  <c r="L359" i="14"/>
  <c r="P359" i="14"/>
  <c r="X359" i="14"/>
  <c r="AB359" i="14"/>
  <c r="T364" i="14"/>
  <c r="X364" i="14"/>
  <c r="B85" i="9"/>
  <c r="E82" i="12"/>
  <c r="E79" i="12" s="1"/>
  <c r="E103" i="14"/>
  <c r="G103" i="14" s="1"/>
  <c r="H162" i="14"/>
  <c r="L162" i="14"/>
  <c r="P162" i="14"/>
  <c r="X162" i="14"/>
  <c r="AB162" i="14"/>
  <c r="B168" i="14"/>
  <c r="AG168" i="14" s="1"/>
  <c r="J334" i="14"/>
  <c r="N334" i="14"/>
  <c r="R334" i="14"/>
  <c r="V334" i="14"/>
  <c r="Z334" i="14"/>
  <c r="AD334" i="14"/>
  <c r="B106" i="17"/>
  <c r="L25" i="8"/>
  <c r="Q279" i="8"/>
  <c r="Q304" i="8" s="1"/>
  <c r="I277" i="8"/>
  <c r="I294" i="8" s="1"/>
  <c r="M277" i="8"/>
  <c r="M302" i="8" s="1"/>
  <c r="Q277" i="8"/>
  <c r="Q302" i="8" s="1"/>
  <c r="U277" i="8"/>
  <c r="U302" i="8" s="1"/>
  <c r="Y277" i="8"/>
  <c r="Y294" i="8" s="1"/>
  <c r="AC277" i="8"/>
  <c r="AC302" i="8" s="1"/>
  <c r="E94" i="8"/>
  <c r="F94" i="8" s="1"/>
  <c r="E127" i="8"/>
  <c r="E124" i="8" s="1"/>
  <c r="B223" i="8"/>
  <c r="B240" i="8"/>
  <c r="B238" i="8" s="1"/>
  <c r="AG238" i="8" s="1"/>
  <c r="C244" i="8"/>
  <c r="B250" i="8"/>
  <c r="AG250" i="8" s="1"/>
  <c r="L55" i="12"/>
  <c r="B55" i="12" s="1"/>
  <c r="B175" i="14"/>
  <c r="AG175" i="14" s="1"/>
  <c r="B256" i="14"/>
  <c r="AG256" i="14" s="1"/>
  <c r="E278" i="14"/>
  <c r="D278" i="14" s="1"/>
  <c r="B311" i="14"/>
  <c r="C106" i="17"/>
  <c r="B110" i="17"/>
  <c r="T279" i="8"/>
  <c r="T304" i="8" s="1"/>
  <c r="X276" i="8"/>
  <c r="P28" i="8"/>
  <c r="P25" i="8" s="1"/>
  <c r="B26" i="8"/>
  <c r="AA278" i="8"/>
  <c r="AA303" i="8" s="1"/>
  <c r="K279" i="8"/>
  <c r="K304" i="8" s="1"/>
  <c r="O279" i="8"/>
  <c r="O304" i="8" s="1"/>
  <c r="S279" i="8"/>
  <c r="S304" i="8" s="1"/>
  <c r="W279" i="8"/>
  <c r="W304" i="8" s="1"/>
  <c r="AA279" i="8"/>
  <c r="AA304" i="8" s="1"/>
  <c r="AE279" i="8"/>
  <c r="AE304" i="8" s="1"/>
  <c r="B290" i="8"/>
  <c r="E206" i="8"/>
  <c r="C223" i="8"/>
  <c r="C220" i="8" s="1"/>
  <c r="C58" i="11"/>
  <c r="C57" i="11" s="1"/>
  <c r="Y25" i="12"/>
  <c r="AC25" i="12"/>
  <c r="L28" i="12"/>
  <c r="L151" i="12" s="1"/>
  <c r="AG65" i="12"/>
  <c r="E73" i="14"/>
  <c r="G73" i="14" s="1"/>
  <c r="D124" i="14"/>
  <c r="G124" i="14"/>
  <c r="W148" i="14"/>
  <c r="B163" i="14"/>
  <c r="AG163" i="14" s="1"/>
  <c r="E247" i="14"/>
  <c r="E106" i="17"/>
  <c r="C110" i="17"/>
  <c r="B35" i="14"/>
  <c r="B18" i="14"/>
  <c r="AG18" i="14" s="1"/>
  <c r="L12" i="14"/>
  <c r="B13" i="14"/>
  <c r="B24" i="14"/>
  <c r="AG24" i="14" s="1"/>
  <c r="E108" i="17"/>
  <c r="D34" i="17"/>
  <c r="E107" i="17"/>
  <c r="AG103" i="17"/>
  <c r="B108" i="17"/>
  <c r="D50" i="17"/>
  <c r="B80" i="17"/>
  <c r="AG80" i="17" s="1"/>
  <c r="B39" i="17"/>
  <c r="AG39" i="17" s="1"/>
  <c r="C18" i="17"/>
  <c r="AB111" i="17"/>
  <c r="U124" i="17"/>
  <c r="Y124" i="17"/>
  <c r="AC124" i="17"/>
  <c r="K12" i="11"/>
  <c r="K11" i="11" s="1"/>
  <c r="V276" i="8"/>
  <c r="V301" i="8" s="1"/>
  <c r="V127" i="8"/>
  <c r="I46" i="11"/>
  <c r="I45" i="11" s="1"/>
  <c r="AD66" i="11"/>
  <c r="AD65" i="11" s="1"/>
  <c r="C12" i="12"/>
  <c r="D14" i="12"/>
  <c r="J148" i="14"/>
  <c r="N148" i="14"/>
  <c r="R148" i="14"/>
  <c r="V148" i="14"/>
  <c r="Z148" i="14"/>
  <c r="AD148" i="14"/>
  <c r="D170" i="14"/>
  <c r="D164" i="14" s="1"/>
  <c r="E257" i="14"/>
  <c r="G257" i="14" s="1"/>
  <c r="G281" i="14"/>
  <c r="G287" i="14"/>
  <c r="X298" i="14"/>
  <c r="E312" i="14"/>
  <c r="D312" i="14" s="1"/>
  <c r="E313" i="14"/>
  <c r="G313" i="14" s="1"/>
  <c r="B316" i="14"/>
  <c r="AG316" i="14" s="1"/>
  <c r="C12" i="17"/>
  <c r="E12" i="17"/>
  <c r="X79" i="12"/>
  <c r="AB12" i="14"/>
  <c r="P12" i="14"/>
  <c r="X12" i="14"/>
  <c r="S148" i="14"/>
  <c r="D157" i="14"/>
  <c r="D154" i="14" s="1"/>
  <c r="C162" i="14"/>
  <c r="K162" i="14"/>
  <c r="O162" i="14"/>
  <c r="S162" i="14"/>
  <c r="W162" i="14"/>
  <c r="AA162" i="14"/>
  <c r="AE162" i="14"/>
  <c r="E223" i="14"/>
  <c r="E229" i="14"/>
  <c r="E258" i="14"/>
  <c r="G258" i="14" s="1"/>
  <c r="B46" i="17"/>
  <c r="AG46" i="17" s="1"/>
  <c r="C86" i="9"/>
  <c r="U85" i="14"/>
  <c r="D238" i="14"/>
  <c r="C32" i="17"/>
  <c r="G16" i="8"/>
  <c r="C85" i="9"/>
  <c r="D100" i="14"/>
  <c r="D97" i="14" s="1"/>
  <c r="G100" i="14"/>
  <c r="H174" i="14"/>
  <c r="C188" i="14"/>
  <c r="AB257" i="14"/>
  <c r="AB255" i="14" s="1"/>
  <c r="AB261" i="14"/>
  <c r="G103" i="17"/>
  <c r="C68" i="11"/>
  <c r="K46" i="11"/>
  <c r="K45" i="11" s="1"/>
  <c r="E87" i="14"/>
  <c r="F43" i="14"/>
  <c r="I61" i="14"/>
  <c r="I300" i="14"/>
  <c r="E300" i="14" s="1"/>
  <c r="D300" i="14" s="1"/>
  <c r="I301" i="14"/>
  <c r="I364" i="14" s="1"/>
  <c r="T359" i="14"/>
  <c r="B238" i="14"/>
  <c r="AG238" i="14" s="1"/>
  <c r="E86" i="14"/>
  <c r="F86" i="14" s="1"/>
  <c r="B88" i="14"/>
  <c r="AG88" i="14" s="1"/>
  <c r="C12" i="8"/>
  <c r="H279" i="8"/>
  <c r="H304" i="8" s="1"/>
  <c r="P279" i="8"/>
  <c r="P304" i="8" s="1"/>
  <c r="X279" i="8"/>
  <c r="X304" i="8" s="1"/>
  <c r="AB279" i="8"/>
  <c r="AB304" i="8" s="1"/>
  <c r="Z127" i="8"/>
  <c r="Z124" i="8" s="1"/>
  <c r="K102" i="11"/>
  <c r="K99" i="11" s="1"/>
  <c r="O102" i="11"/>
  <c r="O99" i="11" s="1"/>
  <c r="S102" i="11"/>
  <c r="S99" i="11" s="1"/>
  <c r="W102" i="11"/>
  <c r="AA102" i="11"/>
  <c r="AE102" i="11"/>
  <c r="E58" i="11"/>
  <c r="AG40" i="12"/>
  <c r="B37" i="12"/>
  <c r="AG37" i="12" s="1"/>
  <c r="AG100" i="12"/>
  <c r="B99" i="12"/>
  <c r="AG99" i="12" s="1"/>
  <c r="B127" i="12"/>
  <c r="AG127" i="12" s="1"/>
  <c r="E28" i="8"/>
  <c r="I61" i="12"/>
  <c r="AG88" i="12"/>
  <c r="B82" i="12"/>
  <c r="AG82" i="12" s="1"/>
  <c r="C99" i="12"/>
  <c r="H276" i="8"/>
  <c r="H301" i="8" s="1"/>
  <c r="E70" i="8"/>
  <c r="F70" i="8" s="1"/>
  <c r="N127" i="8"/>
  <c r="N124" i="8" s="1"/>
  <c r="AD276" i="8"/>
  <c r="Z279" i="8"/>
  <c r="AD279" i="8"/>
  <c r="E200" i="8"/>
  <c r="G200" i="8" s="1"/>
  <c r="B226" i="8"/>
  <c r="AG226" i="8" s="1"/>
  <c r="B232" i="8"/>
  <c r="AG232" i="8" s="1"/>
  <c r="E240" i="8"/>
  <c r="E238" i="8" s="1"/>
  <c r="G238" i="8" s="1"/>
  <c r="R291" i="8"/>
  <c r="L101" i="11"/>
  <c r="P101" i="11"/>
  <c r="T101" i="11"/>
  <c r="X101" i="11"/>
  <c r="AB101" i="11"/>
  <c r="M102" i="11"/>
  <c r="M99" i="11" s="1"/>
  <c r="Q102" i="11"/>
  <c r="Q99" i="11" s="1"/>
  <c r="U102" i="11"/>
  <c r="Y102" i="11"/>
  <c r="AC102" i="11"/>
  <c r="C48" i="11"/>
  <c r="N66" i="11"/>
  <c r="N65" i="11" s="1"/>
  <c r="B69" i="11"/>
  <c r="AE25" i="12"/>
  <c r="B85" i="12"/>
  <c r="AG85" i="12" s="1"/>
  <c r="B91" i="12"/>
  <c r="AG91" i="12" s="1"/>
  <c r="AG134" i="12"/>
  <c r="B133" i="12"/>
  <c r="AG133" i="12" s="1"/>
  <c r="C50" i="11"/>
  <c r="O25" i="12"/>
  <c r="AG46" i="12"/>
  <c r="B43" i="12"/>
  <c r="AG43" i="12" s="1"/>
  <c r="AG122" i="12"/>
  <c r="B121" i="12"/>
  <c r="AG121" i="12" s="1"/>
  <c r="M142" i="12"/>
  <c r="M162" i="12" s="1"/>
  <c r="Q142" i="12"/>
  <c r="Q162" i="12" s="1"/>
  <c r="U142" i="12"/>
  <c r="U162" i="12" s="1"/>
  <c r="Y142" i="12"/>
  <c r="AC142" i="12"/>
  <c r="AC162" i="12" s="1"/>
  <c r="AG80" i="12"/>
  <c r="H79" i="12"/>
  <c r="L79" i="12"/>
  <c r="P79" i="12"/>
  <c r="T79" i="12"/>
  <c r="AB79" i="12"/>
  <c r="AG81" i="12"/>
  <c r="B33" i="14"/>
  <c r="AG33" i="14" s="1"/>
  <c r="E49" i="14"/>
  <c r="G49" i="14" s="1"/>
  <c r="E80" i="14"/>
  <c r="U82" i="14"/>
  <c r="E82" i="14" s="1"/>
  <c r="C86" i="14"/>
  <c r="AG89" i="14"/>
  <c r="AG131" i="14"/>
  <c r="F154" i="14"/>
  <c r="B177" i="14"/>
  <c r="AG177" i="14" s="1"/>
  <c r="C211" i="14"/>
  <c r="B275" i="14"/>
  <c r="R274" i="14"/>
  <c r="Z274" i="14"/>
  <c r="B280" i="14"/>
  <c r="AG280" i="14" s="1"/>
  <c r="AB310" i="14"/>
  <c r="I334" i="14"/>
  <c r="M334" i="14"/>
  <c r="Q334" i="14"/>
  <c r="U334" i="14"/>
  <c r="Y334" i="14"/>
  <c r="AC334" i="14"/>
  <c r="E336" i="14"/>
  <c r="B346" i="14"/>
  <c r="AG346" i="14" s="1"/>
  <c r="B113" i="17"/>
  <c r="AG113" i="17" s="1"/>
  <c r="C114" i="17"/>
  <c r="AG119" i="17"/>
  <c r="G71" i="17"/>
  <c r="C74" i="17"/>
  <c r="M354" i="14"/>
  <c r="M374" i="14" s="1"/>
  <c r="Q354" i="14"/>
  <c r="Q374" i="14" s="1"/>
  <c r="Y354" i="14"/>
  <c r="Y374" i="14" s="1"/>
  <c r="AC354" i="14"/>
  <c r="AC374" i="14" s="1"/>
  <c r="C206" i="14"/>
  <c r="G20" i="15"/>
  <c r="G17" i="15" s="1"/>
  <c r="G16" i="15" s="1"/>
  <c r="F20" i="15"/>
  <c r="F17" i="15" s="1"/>
  <c r="F16" i="15" s="1"/>
  <c r="AC22" i="15"/>
  <c r="AC27" i="15" s="1"/>
  <c r="AC30" i="15"/>
  <c r="I127" i="14"/>
  <c r="M127" i="14"/>
  <c r="Q127" i="14"/>
  <c r="Y127" i="14"/>
  <c r="AC127" i="14"/>
  <c r="C148" i="14"/>
  <c r="B189" i="14"/>
  <c r="AG189" i="14" s="1"/>
  <c r="S187" i="14"/>
  <c r="C189" i="14"/>
  <c r="E199" i="14"/>
  <c r="E207" i="14"/>
  <c r="K235" i="14"/>
  <c r="B277" i="14"/>
  <c r="AG277" i="14" s="1"/>
  <c r="J79" i="12"/>
  <c r="N79" i="12"/>
  <c r="E32" i="14"/>
  <c r="E33" i="14"/>
  <c r="D33" i="14" s="1"/>
  <c r="M363" i="14"/>
  <c r="U363" i="14"/>
  <c r="AC363" i="14"/>
  <c r="E34" i="14"/>
  <c r="D34" i="14" s="1"/>
  <c r="W31" i="14"/>
  <c r="AA31" i="14"/>
  <c r="E109" i="14"/>
  <c r="E121" i="14"/>
  <c r="X174" i="14"/>
  <c r="B180" i="14"/>
  <c r="AG180" i="14" s="1"/>
  <c r="C229" i="14"/>
  <c r="AG259" i="14"/>
  <c r="E275" i="14"/>
  <c r="D275" i="14" s="1"/>
  <c r="E276" i="14"/>
  <c r="D276" i="14" s="1"/>
  <c r="AG338" i="14"/>
  <c r="E112" i="17"/>
  <c r="C115" i="17"/>
  <c r="B32" i="17"/>
  <c r="AG32" i="17" s="1"/>
  <c r="C39" i="17"/>
  <c r="C80" i="17"/>
  <c r="C94" i="17"/>
  <c r="F14" i="15"/>
  <c r="F11" i="15" s="1"/>
  <c r="F10" i="15" s="1"/>
  <c r="G14" i="15"/>
  <c r="G11" i="15" s="1"/>
  <c r="G10" i="15" s="1"/>
  <c r="E261" i="8"/>
  <c r="C261" i="8"/>
  <c r="B261" i="8"/>
  <c r="B258" i="8" s="1"/>
  <c r="AG258" i="8" s="1"/>
  <c r="AG244" i="8"/>
  <c r="E185" i="8"/>
  <c r="E194" i="8"/>
  <c r="F194" i="8" s="1"/>
  <c r="C287" i="8"/>
  <c r="G109" i="8"/>
  <c r="E82" i="8"/>
  <c r="F82" i="8" s="1"/>
  <c r="E67" i="8"/>
  <c r="E64" i="8" s="1"/>
  <c r="B17" i="15"/>
  <c r="B16" i="15" s="1"/>
  <c r="AG16" i="15" s="1"/>
  <c r="J22" i="15"/>
  <c r="J27" i="15" s="1"/>
  <c r="N22" i="15"/>
  <c r="N27" i="15" s="1"/>
  <c r="R22" i="15"/>
  <c r="R27" i="15" s="1"/>
  <c r="V22" i="15"/>
  <c r="V27" i="15" s="1"/>
  <c r="Z22" i="15"/>
  <c r="Z27" i="15" s="1"/>
  <c r="AD22" i="15"/>
  <c r="AD27" i="15" s="1"/>
  <c r="Q22" i="15"/>
  <c r="Q27" i="15" s="1"/>
  <c r="U22" i="15"/>
  <c r="U27" i="15" s="1"/>
  <c r="D11" i="15"/>
  <c r="D10" i="15" s="1"/>
  <c r="B11" i="15"/>
  <c r="B10" i="15" s="1"/>
  <c r="AG10" i="15" s="1"/>
  <c r="C11" i="15"/>
  <c r="C10" i="15" s="1"/>
  <c r="I22" i="15"/>
  <c r="I27" i="15" s="1"/>
  <c r="M22" i="15"/>
  <c r="M27" i="15" s="1"/>
  <c r="Y22" i="15"/>
  <c r="Y27" i="15" s="1"/>
  <c r="D284" i="8"/>
  <c r="L276" i="8"/>
  <c r="L301" i="8" s="1"/>
  <c r="P276" i="8"/>
  <c r="P301" i="8" s="1"/>
  <c r="T276" i="8"/>
  <c r="T301" i="8" s="1"/>
  <c r="AB276" i="8"/>
  <c r="AB301" i="8" s="1"/>
  <c r="E283" i="8"/>
  <c r="G20" i="8"/>
  <c r="E18" i="8"/>
  <c r="X25" i="8"/>
  <c r="S127" i="8"/>
  <c r="J276" i="8"/>
  <c r="C18" i="8"/>
  <c r="V287" i="8"/>
  <c r="E302" i="14"/>
  <c r="D302" i="14" s="1"/>
  <c r="B283" i="8"/>
  <c r="AG283" i="8" s="1"/>
  <c r="R276" i="8"/>
  <c r="Q25" i="12"/>
  <c r="M25" i="12"/>
  <c r="U25" i="12"/>
  <c r="L79" i="14"/>
  <c r="P79" i="14"/>
  <c r="T79" i="14"/>
  <c r="X79" i="14"/>
  <c r="AB79" i="14"/>
  <c r="AG86" i="14"/>
  <c r="G64" i="17"/>
  <c r="E147" i="18"/>
  <c r="F147" i="18" s="1"/>
  <c r="B185" i="8"/>
  <c r="AG185" i="8" s="1"/>
  <c r="G31" i="11"/>
  <c r="B49" i="11"/>
  <c r="T46" i="11"/>
  <c r="T45" i="11" s="1"/>
  <c r="B67" i="11"/>
  <c r="H66" i="11"/>
  <c r="H65" i="11" s="1"/>
  <c r="L66" i="11"/>
  <c r="L65" i="11" s="1"/>
  <c r="P65" i="11"/>
  <c r="T66" i="11"/>
  <c r="T65" i="11" s="1"/>
  <c r="X66" i="11"/>
  <c r="X65" i="11" s="1"/>
  <c r="AB66" i="11"/>
  <c r="AB65" i="11" s="1"/>
  <c r="K31" i="14"/>
  <c r="O31" i="14"/>
  <c r="S31" i="14"/>
  <c r="J364" i="14"/>
  <c r="R364" i="14"/>
  <c r="V364" i="14"/>
  <c r="Z364" i="14"/>
  <c r="AD364" i="14"/>
  <c r="C37" i="14"/>
  <c r="AG83" i="14"/>
  <c r="Q85" i="14"/>
  <c r="J174" i="14"/>
  <c r="N174" i="14"/>
  <c r="R174" i="14"/>
  <c r="V174" i="14"/>
  <c r="Z174" i="14"/>
  <c r="AD174" i="14"/>
  <c r="E189" i="14"/>
  <c r="W187" i="14"/>
  <c r="AA187" i="14"/>
  <c r="C199" i="14"/>
  <c r="E208" i="14"/>
  <c r="E217" i="14"/>
  <c r="E238" i="14"/>
  <c r="C236" i="14"/>
  <c r="C247" i="14"/>
  <c r="H255" i="14"/>
  <c r="P255" i="14"/>
  <c r="E267" i="14"/>
  <c r="B278" i="14"/>
  <c r="AG278" i="14" s="1"/>
  <c r="G293" i="14"/>
  <c r="G305" i="14"/>
  <c r="F151" i="18"/>
  <c r="G151" i="18"/>
  <c r="I96" i="11"/>
  <c r="I93" i="11" s="1"/>
  <c r="I102" i="11"/>
  <c r="B12" i="12"/>
  <c r="AG12" i="12" s="1"/>
  <c r="G39" i="14"/>
  <c r="AG65" i="14"/>
  <c r="E88" i="14"/>
  <c r="E97" i="14"/>
  <c r="G97" i="14" s="1"/>
  <c r="K148" i="14"/>
  <c r="O148" i="14"/>
  <c r="AA148" i="14"/>
  <c r="AE148" i="14"/>
  <c r="K174" i="14"/>
  <c r="O174" i="14"/>
  <c r="S174" i="14"/>
  <c r="W174" i="14"/>
  <c r="AA174" i="14"/>
  <c r="AE174" i="14"/>
  <c r="B207" i="14"/>
  <c r="AG207" i="14" s="1"/>
  <c r="C217" i="14"/>
  <c r="I255" i="14"/>
  <c r="M255" i="14"/>
  <c r="Q255" i="14"/>
  <c r="U255" i="14"/>
  <c r="Y255" i="14"/>
  <c r="AC255" i="14"/>
  <c r="D151" i="18"/>
  <c r="D147" i="18"/>
  <c r="R66" i="11"/>
  <c r="R65" i="11" s="1"/>
  <c r="Z66" i="11"/>
  <c r="Z65" i="11" s="1"/>
  <c r="R79" i="12"/>
  <c r="V79" i="12"/>
  <c r="Z79" i="12"/>
  <c r="AD79" i="12"/>
  <c r="L353" i="14"/>
  <c r="L373" i="14" s="1"/>
  <c r="P353" i="14"/>
  <c r="P373" i="14" s="1"/>
  <c r="T353" i="14"/>
  <c r="T373" i="14" s="1"/>
  <c r="X353" i="14"/>
  <c r="X373" i="14" s="1"/>
  <c r="D43" i="14"/>
  <c r="U61" i="14"/>
  <c r="B82" i="14"/>
  <c r="AG82" i="14" s="1"/>
  <c r="I85" i="14"/>
  <c r="M85" i="14"/>
  <c r="Y85" i="14"/>
  <c r="AC85" i="14"/>
  <c r="AG129" i="14"/>
  <c r="U127" i="14"/>
  <c r="E130" i="14"/>
  <c r="E127" i="14" s="1"/>
  <c r="L174" i="14"/>
  <c r="T174" i="14"/>
  <c r="AB174" i="14"/>
  <c r="K187" i="14"/>
  <c r="E193" i="14"/>
  <c r="G225" i="14"/>
  <c r="S235" i="14"/>
  <c r="W235" i="14"/>
  <c r="AA235" i="14"/>
  <c r="E241" i="14"/>
  <c r="C241" i="14"/>
  <c r="X255" i="14"/>
  <c r="C267" i="14"/>
  <c r="J274" i="14"/>
  <c r="B292" i="14"/>
  <c r="AG292" i="14" s="1"/>
  <c r="P298" i="14"/>
  <c r="B312" i="14"/>
  <c r="AG312" i="14" s="1"/>
  <c r="B313" i="14"/>
  <c r="AG313" i="14" s="1"/>
  <c r="T310" i="14"/>
  <c r="B328" i="14"/>
  <c r="AG328" i="14" s="1"/>
  <c r="G91" i="17"/>
  <c r="F135" i="18"/>
  <c r="G135" i="18"/>
  <c r="C71" i="11"/>
  <c r="B68" i="11"/>
  <c r="E52" i="11"/>
  <c r="E24" i="11"/>
  <c r="D24" i="11"/>
  <c r="D240" i="8"/>
  <c r="D238" i="8" s="1"/>
  <c r="D244" i="8"/>
  <c r="I127" i="8"/>
  <c r="Q127" i="8"/>
  <c r="Q124" i="8" s="1"/>
  <c r="Y127" i="8"/>
  <c r="Y124" i="8" s="1"/>
  <c r="E12" i="8"/>
  <c r="B285" i="8"/>
  <c r="AG285" i="8" s="1"/>
  <c r="B106" i="8"/>
  <c r="AG106" i="8" s="1"/>
  <c r="B112" i="8"/>
  <c r="AG112" i="8" s="1"/>
  <c r="B118" i="8"/>
  <c r="AG118" i="8" s="1"/>
  <c r="G178" i="8"/>
  <c r="B188" i="8"/>
  <c r="AG188" i="8" s="1"/>
  <c r="B212" i="8"/>
  <c r="AG212" i="8" s="1"/>
  <c r="B264" i="8"/>
  <c r="AG264" i="8" s="1"/>
  <c r="B270" i="8"/>
  <c r="AG270" i="8" s="1"/>
  <c r="E12" i="11"/>
  <c r="E11" i="11" s="1"/>
  <c r="R12" i="11"/>
  <c r="R11" i="11" s="1"/>
  <c r="B50" i="11"/>
  <c r="J66" i="11"/>
  <c r="J65" i="11" s="1"/>
  <c r="C67" i="11"/>
  <c r="B72" i="11"/>
  <c r="AG63" i="12"/>
  <c r="E67" i="12"/>
  <c r="F67" i="12" s="1"/>
  <c r="AG83" i="12"/>
  <c r="C121" i="12"/>
  <c r="C127" i="12"/>
  <c r="C133" i="12"/>
  <c r="H12" i="14"/>
  <c r="C24" i="14"/>
  <c r="B32" i="14"/>
  <c r="AG32" i="14" s="1"/>
  <c r="E76" i="8"/>
  <c r="G76" i="8" s="1"/>
  <c r="E88" i="8"/>
  <c r="G88" i="8" s="1"/>
  <c r="G115" i="8"/>
  <c r="J279" i="8"/>
  <c r="N279" i="8"/>
  <c r="R279" i="8"/>
  <c r="V279" i="8"/>
  <c r="E244" i="8"/>
  <c r="D86" i="9"/>
  <c r="Z12" i="11"/>
  <c r="Z11" i="11" s="1"/>
  <c r="D15" i="11"/>
  <c r="D16" i="12"/>
  <c r="D142" i="12" s="1"/>
  <c r="D162" i="12" s="1"/>
  <c r="E64" i="12"/>
  <c r="E61" i="12" s="1"/>
  <c r="G22" i="8"/>
  <c r="H25" i="8"/>
  <c r="AB25" i="8"/>
  <c r="B31" i="8"/>
  <c r="AG31" i="8" s="1"/>
  <c r="B38" i="8"/>
  <c r="AG38" i="8" s="1"/>
  <c r="P44" i="8"/>
  <c r="C67" i="8"/>
  <c r="C64" i="8" s="1"/>
  <c r="B103" i="8"/>
  <c r="AG103" i="8" s="1"/>
  <c r="G113" i="8"/>
  <c r="AG152" i="8"/>
  <c r="D282" i="8"/>
  <c r="J12" i="11"/>
  <c r="J11" i="11" s="1"/>
  <c r="B48" i="11"/>
  <c r="I66" i="11"/>
  <c r="I65" i="11" s="1"/>
  <c r="D69" i="11"/>
  <c r="S25" i="12"/>
  <c r="I79" i="12"/>
  <c r="M79" i="12"/>
  <c r="Q79" i="12"/>
  <c r="U79" i="12"/>
  <c r="Y79" i="12"/>
  <c r="AC79" i="12"/>
  <c r="T12" i="14"/>
  <c r="E37" i="14"/>
  <c r="AG34" i="14"/>
  <c r="B80" i="14"/>
  <c r="AG80" i="14" s="1"/>
  <c r="C121" i="14"/>
  <c r="F166" i="14"/>
  <c r="E176" i="14"/>
  <c r="E174" i="14" s="1"/>
  <c r="E206" i="14"/>
  <c r="C223" i="14"/>
  <c r="AG239" i="14"/>
  <c r="C237" i="14"/>
  <c r="C255" i="14"/>
  <c r="L310" i="14"/>
  <c r="B337" i="14"/>
  <c r="AG337" i="14" s="1"/>
  <c r="D30" i="17"/>
  <c r="D121" i="17" s="1"/>
  <c r="G35" i="17"/>
  <c r="G49" i="17"/>
  <c r="B68" i="17"/>
  <c r="AG68" i="17" s="1"/>
  <c r="G83" i="17"/>
  <c r="G97" i="17"/>
  <c r="C100" i="17"/>
  <c r="AG63" i="14"/>
  <c r="C61" i="14"/>
  <c r="E67" i="14"/>
  <c r="F67" i="14" s="1"/>
  <c r="J79" i="14"/>
  <c r="N79" i="14"/>
  <c r="R79" i="14"/>
  <c r="V79" i="14"/>
  <c r="Z79" i="14"/>
  <c r="AD79" i="14"/>
  <c r="C115" i="14"/>
  <c r="I162" i="14"/>
  <c r="M162" i="14"/>
  <c r="Q162" i="14"/>
  <c r="U162" i="14"/>
  <c r="Y162" i="14"/>
  <c r="AC162" i="14"/>
  <c r="AG176" i="14"/>
  <c r="E188" i="14"/>
  <c r="E190" i="14"/>
  <c r="AG209" i="14"/>
  <c r="C207" i="14"/>
  <c r="K255" i="14"/>
  <c r="O255" i="14"/>
  <c r="S255" i="14"/>
  <c r="W255" i="14"/>
  <c r="AA255" i="14"/>
  <c r="AE255" i="14"/>
  <c r="C261" i="14"/>
  <c r="K334" i="14"/>
  <c r="O334" i="14"/>
  <c r="S334" i="14"/>
  <c r="W334" i="14"/>
  <c r="AA334" i="14"/>
  <c r="AE334" i="14"/>
  <c r="B31" i="15"/>
  <c r="H22" i="15"/>
  <c r="H27" i="15" s="1"/>
  <c r="L22" i="15"/>
  <c r="L27" i="15" s="1"/>
  <c r="P22" i="15"/>
  <c r="P27" i="15" s="1"/>
  <c r="T22" i="15"/>
  <c r="T27" i="15" s="1"/>
  <c r="X22" i="15"/>
  <c r="X27" i="15" s="1"/>
  <c r="AB22" i="15"/>
  <c r="AB27" i="15" s="1"/>
  <c r="E64" i="14"/>
  <c r="E61" i="14" s="1"/>
  <c r="E81" i="14"/>
  <c r="D81" i="14" s="1"/>
  <c r="E91" i="14"/>
  <c r="C109" i="14"/>
  <c r="H148" i="14"/>
  <c r="L148" i="14"/>
  <c r="P148" i="14"/>
  <c r="T148" i="14"/>
  <c r="X148" i="14"/>
  <c r="AB148" i="14"/>
  <c r="AG150" i="14"/>
  <c r="I174" i="14"/>
  <c r="M174" i="14"/>
  <c r="Q174" i="14"/>
  <c r="U174" i="14"/>
  <c r="Y174" i="14"/>
  <c r="AC174" i="14"/>
  <c r="AG191" i="14"/>
  <c r="B237" i="14"/>
  <c r="AG237" i="14" s="1"/>
  <c r="E277" i="14"/>
  <c r="B286" i="14"/>
  <c r="AG286" i="14" s="1"/>
  <c r="B304" i="14"/>
  <c r="AG304" i="14" s="1"/>
  <c r="D13" i="17"/>
  <c r="C68" i="17"/>
  <c r="C88" i="17"/>
  <c r="W126" i="17"/>
  <c r="AA126" i="17"/>
  <c r="AE126" i="17"/>
  <c r="B12" i="8"/>
  <c r="AG13" i="8"/>
  <c r="B18" i="8"/>
  <c r="AG19" i="8"/>
  <c r="G19" i="8"/>
  <c r="F21" i="8"/>
  <c r="AG21" i="8"/>
  <c r="G21" i="8"/>
  <c r="G52" i="8"/>
  <c r="C50" i="8"/>
  <c r="G54" i="8"/>
  <c r="C27" i="8"/>
  <c r="C277" i="8" s="1"/>
  <c r="C302" i="8" s="1"/>
  <c r="B57" i="8"/>
  <c r="AG57" i="8" s="1"/>
  <c r="G60" i="8"/>
  <c r="F60" i="8"/>
  <c r="AG70" i="8"/>
  <c r="G73" i="8"/>
  <c r="B76" i="8"/>
  <c r="AG79" i="8"/>
  <c r="G79" i="8"/>
  <c r="AG82" i="8"/>
  <c r="G85" i="8"/>
  <c r="B88" i="8"/>
  <c r="AG91" i="8"/>
  <c r="G91" i="8"/>
  <c r="AG94" i="8"/>
  <c r="G97" i="8"/>
  <c r="F114" i="8"/>
  <c r="AG114" i="8"/>
  <c r="G114" i="8"/>
  <c r="G116" i="8"/>
  <c r="G120" i="8"/>
  <c r="G122" i="8"/>
  <c r="H287" i="8"/>
  <c r="L287" i="8"/>
  <c r="P287" i="8"/>
  <c r="T287" i="8"/>
  <c r="X287" i="8"/>
  <c r="AB287" i="8"/>
  <c r="J289" i="8"/>
  <c r="J286" i="8" s="1"/>
  <c r="N289" i="8"/>
  <c r="N286" i="8" s="1"/>
  <c r="R289" i="8"/>
  <c r="R286" i="8" s="1"/>
  <c r="V289" i="8"/>
  <c r="Z289" i="8"/>
  <c r="Z286" i="8" s="1"/>
  <c r="AD289" i="8"/>
  <c r="AD286" i="8" s="1"/>
  <c r="AG167" i="8"/>
  <c r="AG170" i="8"/>
  <c r="AG177" i="8"/>
  <c r="D127" i="8"/>
  <c r="D124" i="8" s="1"/>
  <c r="G179" i="8"/>
  <c r="AG194" i="8"/>
  <c r="G197" i="8"/>
  <c r="B200" i="8"/>
  <c r="AG203" i="8"/>
  <c r="G203" i="8"/>
  <c r="F209" i="8"/>
  <c r="F246" i="8"/>
  <c r="AG246" i="8"/>
  <c r="G246" i="8"/>
  <c r="I281" i="8"/>
  <c r="M281" i="8"/>
  <c r="Q281" i="8"/>
  <c r="U281" i="8"/>
  <c r="Y281" i="8"/>
  <c r="AC281" i="8"/>
  <c r="C92" i="9"/>
  <c r="I80" i="9"/>
  <c r="I91" i="9" s="1"/>
  <c r="I85" i="9"/>
  <c r="K80" i="9"/>
  <c r="K91" i="9" s="1"/>
  <c r="K85" i="9"/>
  <c r="M80" i="9"/>
  <c r="M91" i="9" s="1"/>
  <c r="M85" i="9"/>
  <c r="O80" i="9"/>
  <c r="O91" i="9" s="1"/>
  <c r="O85" i="9"/>
  <c r="Q80" i="9"/>
  <c r="Q91" i="9" s="1"/>
  <c r="Q85" i="9"/>
  <c r="S80" i="9"/>
  <c r="S91" i="9" s="1"/>
  <c r="S85" i="9"/>
  <c r="U80" i="9"/>
  <c r="U91" i="9" s="1"/>
  <c r="U85" i="9"/>
  <c r="W80" i="9"/>
  <c r="W91" i="9" s="1"/>
  <c r="W85" i="9"/>
  <c r="Y80" i="9"/>
  <c r="Y91" i="9" s="1"/>
  <c r="Y85" i="9"/>
  <c r="AA80" i="9"/>
  <c r="AA91" i="9" s="1"/>
  <c r="AA85" i="9"/>
  <c r="AC80" i="9"/>
  <c r="AC91" i="9" s="1"/>
  <c r="AC85" i="9"/>
  <c r="AE80" i="9"/>
  <c r="AE91" i="9" s="1"/>
  <c r="AE85" i="9"/>
  <c r="H81" i="9"/>
  <c r="H92" i="9" s="1"/>
  <c r="H86" i="9"/>
  <c r="J81" i="9"/>
  <c r="J92" i="9" s="1"/>
  <c r="J86" i="9"/>
  <c r="L81" i="9"/>
  <c r="L92" i="9" s="1"/>
  <c r="L86" i="9"/>
  <c r="N81" i="9"/>
  <c r="N92" i="9" s="1"/>
  <c r="N86" i="9"/>
  <c r="P81" i="9"/>
  <c r="P92" i="9" s="1"/>
  <c r="P86" i="9"/>
  <c r="R81" i="9"/>
  <c r="R92" i="9" s="1"/>
  <c r="R86" i="9"/>
  <c r="T81" i="9"/>
  <c r="T92" i="9" s="1"/>
  <c r="T86" i="9"/>
  <c r="V81" i="9"/>
  <c r="V92" i="9" s="1"/>
  <c r="V86" i="9"/>
  <c r="X81" i="9"/>
  <c r="X92" i="9" s="1"/>
  <c r="X86" i="9"/>
  <c r="Z81" i="9"/>
  <c r="Z92" i="9" s="1"/>
  <c r="Z86" i="9"/>
  <c r="AB81" i="9"/>
  <c r="AB92" i="9" s="1"/>
  <c r="AB86" i="9"/>
  <c r="AD81" i="9"/>
  <c r="AD92" i="9" s="1"/>
  <c r="AD86" i="9"/>
  <c r="I82" i="9"/>
  <c r="I93" i="9" s="1"/>
  <c r="I87" i="9"/>
  <c r="K82" i="9"/>
  <c r="K93" i="9" s="1"/>
  <c r="K87" i="9"/>
  <c r="M82" i="9"/>
  <c r="M93" i="9" s="1"/>
  <c r="M87" i="9"/>
  <c r="O82" i="9"/>
  <c r="O93" i="9" s="1"/>
  <c r="O87" i="9"/>
  <c r="Q82" i="9"/>
  <c r="Q93" i="9" s="1"/>
  <c r="Q87" i="9"/>
  <c r="S82" i="9"/>
  <c r="S93" i="9" s="1"/>
  <c r="S87" i="9"/>
  <c r="U82" i="9"/>
  <c r="U93" i="9" s="1"/>
  <c r="U87" i="9"/>
  <c r="W82" i="9"/>
  <c r="W93" i="9" s="1"/>
  <c r="W87" i="9"/>
  <c r="Y82" i="9"/>
  <c r="Y93" i="9" s="1"/>
  <c r="Y87" i="9"/>
  <c r="AA82" i="9"/>
  <c r="AA93" i="9" s="1"/>
  <c r="AA87" i="9"/>
  <c r="AC82" i="9"/>
  <c r="AC93" i="9" s="1"/>
  <c r="AC87" i="9"/>
  <c r="AE82" i="9"/>
  <c r="AE93" i="9" s="1"/>
  <c r="AE87" i="9"/>
  <c r="H83" i="9"/>
  <c r="H94" i="9" s="1"/>
  <c r="H88" i="9"/>
  <c r="J83" i="9"/>
  <c r="J94" i="9" s="1"/>
  <c r="J88" i="9"/>
  <c r="L83" i="9"/>
  <c r="L94" i="9" s="1"/>
  <c r="L88" i="9"/>
  <c r="N83" i="9"/>
  <c r="N94" i="9" s="1"/>
  <c r="N88" i="9"/>
  <c r="P83" i="9"/>
  <c r="P94" i="9" s="1"/>
  <c r="P88" i="9"/>
  <c r="R83" i="9"/>
  <c r="R94" i="9" s="1"/>
  <c r="R88" i="9"/>
  <c r="T83" i="9"/>
  <c r="T94" i="9" s="1"/>
  <c r="T88" i="9"/>
  <c r="V83" i="9"/>
  <c r="V94" i="9" s="1"/>
  <c r="V88" i="9"/>
  <c r="X83" i="9"/>
  <c r="X94" i="9" s="1"/>
  <c r="X88" i="9"/>
  <c r="Z83" i="9"/>
  <c r="Z94" i="9" s="1"/>
  <c r="Z88" i="9"/>
  <c r="AB83" i="9"/>
  <c r="AB94" i="9" s="1"/>
  <c r="AB88" i="9"/>
  <c r="AD83" i="9"/>
  <c r="AD94" i="9" s="1"/>
  <c r="AD88" i="9"/>
  <c r="C88" i="9"/>
  <c r="D88" i="9"/>
  <c r="AG71" i="9"/>
  <c r="E81" i="9"/>
  <c r="E92" i="9" s="1"/>
  <c r="G27" i="11"/>
  <c r="C24" i="11"/>
  <c r="D38" i="11"/>
  <c r="D37" i="11" s="1"/>
  <c r="F33" i="12"/>
  <c r="AG33" i="12"/>
  <c r="G33" i="12"/>
  <c r="G51" i="12"/>
  <c r="C49" i="12"/>
  <c r="F63" i="12"/>
  <c r="K61" i="12"/>
  <c r="O61" i="12"/>
  <c r="S61" i="12"/>
  <c r="W61" i="12"/>
  <c r="AA61" i="12"/>
  <c r="AE61" i="12"/>
  <c r="N141" i="12"/>
  <c r="N161" i="12" s="1"/>
  <c r="P151" i="12"/>
  <c r="R141" i="12"/>
  <c r="R161" i="12" s="1"/>
  <c r="T151" i="12"/>
  <c r="V141" i="12"/>
  <c r="V161" i="12" s="1"/>
  <c r="X151" i="12"/>
  <c r="Z141" i="12"/>
  <c r="Z161" i="12" s="1"/>
  <c r="AB151" i="12"/>
  <c r="AD141" i="12"/>
  <c r="AD161" i="12" s="1"/>
  <c r="F65" i="12"/>
  <c r="M152" i="12"/>
  <c r="O142" i="12"/>
  <c r="O162" i="12" s="1"/>
  <c r="Q152" i="12"/>
  <c r="S142" i="12"/>
  <c r="S162" i="12" s="1"/>
  <c r="U152" i="12"/>
  <c r="W142" i="12"/>
  <c r="W162" i="12" s="1"/>
  <c r="Y152" i="12"/>
  <c r="AA142" i="12"/>
  <c r="AA162" i="12" s="1"/>
  <c r="AC152" i="12"/>
  <c r="AE142" i="12"/>
  <c r="AE162" i="12" s="1"/>
  <c r="AG67" i="12"/>
  <c r="G70" i="12"/>
  <c r="G77" i="12"/>
  <c r="G81" i="12"/>
  <c r="G83" i="12"/>
  <c r="G103" i="12"/>
  <c r="G26" i="14"/>
  <c r="F38" i="14"/>
  <c r="AG38" i="14"/>
  <c r="G38" i="14"/>
  <c r="AG43" i="14"/>
  <c r="B49" i="14"/>
  <c r="AG52" i="14"/>
  <c r="G52" i="14"/>
  <c r="G62" i="14"/>
  <c r="F63" i="14"/>
  <c r="G63" i="14"/>
  <c r="K61" i="14"/>
  <c r="O61" i="14"/>
  <c r="Q363" i="14"/>
  <c r="S61" i="14"/>
  <c r="W61" i="14"/>
  <c r="Y363" i="14"/>
  <c r="AA61" i="14"/>
  <c r="AE61" i="14"/>
  <c r="F65" i="14"/>
  <c r="AG67" i="14"/>
  <c r="G70" i="14"/>
  <c r="B73" i="14"/>
  <c r="AG76" i="14"/>
  <c r="G76" i="14"/>
  <c r="F89" i="14"/>
  <c r="G89" i="14"/>
  <c r="K85" i="14"/>
  <c r="M79" i="14"/>
  <c r="O85" i="14"/>
  <c r="Q79" i="14"/>
  <c r="S85" i="14"/>
  <c r="W85" i="14"/>
  <c r="Y79" i="14"/>
  <c r="AA85" i="14"/>
  <c r="AC79" i="14"/>
  <c r="AE85" i="14"/>
  <c r="F92" i="14"/>
  <c r="AG92" i="14"/>
  <c r="G92" i="14"/>
  <c r="B91" i="14"/>
  <c r="AG91" i="14" s="1"/>
  <c r="D91" i="14"/>
  <c r="G94" i="14"/>
  <c r="B97" i="14"/>
  <c r="AG100" i="14"/>
  <c r="B103" i="14"/>
  <c r="AG106" i="14"/>
  <c r="G106" i="14"/>
  <c r="B109" i="14"/>
  <c r="AG112" i="14"/>
  <c r="G112" i="14"/>
  <c r="B115" i="14"/>
  <c r="AG118" i="14"/>
  <c r="G118" i="14"/>
  <c r="B121" i="14"/>
  <c r="AG124" i="14"/>
  <c r="G128" i="14"/>
  <c r="F129" i="14"/>
  <c r="K127" i="14"/>
  <c r="O127" i="14"/>
  <c r="S127" i="14"/>
  <c r="W127" i="14"/>
  <c r="AA127" i="14"/>
  <c r="AE127" i="14"/>
  <c r="F131" i="14"/>
  <c r="G149" i="14"/>
  <c r="I148" i="14"/>
  <c r="M148" i="14"/>
  <c r="Q148" i="14"/>
  <c r="U148" i="14"/>
  <c r="Y148" i="14"/>
  <c r="AC148" i="14"/>
  <c r="F152" i="14"/>
  <c r="AG154" i="14"/>
  <c r="G157" i="14"/>
  <c r="G164" i="14"/>
  <c r="J162" i="14"/>
  <c r="N162" i="14"/>
  <c r="R162" i="14"/>
  <c r="V162" i="14"/>
  <c r="Z162" i="14"/>
  <c r="AD162" i="14"/>
  <c r="G166" i="14"/>
  <c r="AG166" i="14"/>
  <c r="G170" i="14"/>
  <c r="G178" i="14"/>
  <c r="F182" i="14"/>
  <c r="AG182" i="14"/>
  <c r="I187" i="14"/>
  <c r="M187" i="14"/>
  <c r="Q187" i="14"/>
  <c r="U187" i="14"/>
  <c r="Y187" i="14"/>
  <c r="AC187" i="14"/>
  <c r="F194" i="14"/>
  <c r="AG194" i="14"/>
  <c r="G194" i="14"/>
  <c r="G196" i="14"/>
  <c r="D188" i="14"/>
  <c r="G200" i="14"/>
  <c r="D190" i="14"/>
  <c r="G202" i="14"/>
  <c r="I205" i="14"/>
  <c r="M205" i="14"/>
  <c r="Q205" i="14"/>
  <c r="U205" i="14"/>
  <c r="Y205" i="14"/>
  <c r="AC205" i="14"/>
  <c r="F212" i="14"/>
  <c r="AG212" i="14"/>
  <c r="G212" i="14"/>
  <c r="G214" i="14"/>
  <c r="D206" i="14"/>
  <c r="G218" i="14"/>
  <c r="D208" i="14"/>
  <c r="G220" i="14"/>
  <c r="F224" i="14"/>
  <c r="AG224" i="14"/>
  <c r="G224" i="14"/>
  <c r="G226" i="14"/>
  <c r="G230" i="14"/>
  <c r="G232" i="14"/>
  <c r="I235" i="14"/>
  <c r="M235" i="14"/>
  <c r="Q235" i="14"/>
  <c r="U235" i="14"/>
  <c r="Y235" i="14"/>
  <c r="AC235" i="14"/>
  <c r="F242" i="14"/>
  <c r="AG242" i="14"/>
  <c r="G242" i="14"/>
  <c r="G244" i="14"/>
  <c r="D236" i="14"/>
  <c r="G248" i="14"/>
  <c r="G250" i="14"/>
  <c r="J255" i="14"/>
  <c r="L255" i="14"/>
  <c r="N255" i="14"/>
  <c r="R255" i="14"/>
  <c r="T255" i="14"/>
  <c r="V255" i="14"/>
  <c r="Z255" i="14"/>
  <c r="AD255" i="14"/>
  <c r="G259" i="14"/>
  <c r="G263" i="14"/>
  <c r="AG258" i="14"/>
  <c r="AG264" i="14"/>
  <c r="G264" i="14"/>
  <c r="G268" i="14"/>
  <c r="G270" i="14"/>
  <c r="B276" i="14"/>
  <c r="AG276" i="14" s="1"/>
  <c r="L274" i="14"/>
  <c r="N274" i="14"/>
  <c r="P274" i="14"/>
  <c r="T274" i="14"/>
  <c r="V274" i="14"/>
  <c r="X274" i="14"/>
  <c r="AB274" i="14"/>
  <c r="AD274" i="14"/>
  <c r="F282" i="14"/>
  <c r="AG282" i="14"/>
  <c r="G282" i="14"/>
  <c r="C280" i="14"/>
  <c r="F288" i="14"/>
  <c r="AG288" i="14"/>
  <c r="G288" i="14"/>
  <c r="C286" i="14"/>
  <c r="F294" i="14"/>
  <c r="AG294" i="14"/>
  <c r="G294" i="14"/>
  <c r="C292" i="14"/>
  <c r="F306" i="14"/>
  <c r="AG306" i="14"/>
  <c r="G306" i="14"/>
  <c r="C304" i="14"/>
  <c r="K298" i="14"/>
  <c r="M298" i="14"/>
  <c r="O298" i="14"/>
  <c r="Q298" i="14"/>
  <c r="S298" i="14"/>
  <c r="U298" i="14"/>
  <c r="W298" i="14"/>
  <c r="Y298" i="14"/>
  <c r="AA298" i="14"/>
  <c r="AC298" i="14"/>
  <c r="AE298" i="14"/>
  <c r="L298" i="14"/>
  <c r="T298" i="14"/>
  <c r="AB298" i="14"/>
  <c r="G324" i="14"/>
  <c r="G330" i="14"/>
  <c r="H334" i="14"/>
  <c r="L334" i="14"/>
  <c r="P334" i="14"/>
  <c r="T334" i="14"/>
  <c r="X334" i="14"/>
  <c r="AB334" i="14"/>
  <c r="G342" i="14"/>
  <c r="G348" i="14"/>
  <c r="B24" i="15"/>
  <c r="AG24" i="15" s="1"/>
  <c r="B29" i="15"/>
  <c r="AG13" i="15"/>
  <c r="D29" i="15"/>
  <c r="D25" i="15"/>
  <c r="D30" i="15" s="1"/>
  <c r="C17" i="15"/>
  <c r="K22" i="15"/>
  <c r="K27" i="15" s="1"/>
  <c r="O22" i="15"/>
  <c r="O27" i="15" s="1"/>
  <c r="S22" i="15"/>
  <c r="S27" i="15" s="1"/>
  <c r="W22" i="15"/>
  <c r="W27" i="15" s="1"/>
  <c r="AA22" i="15"/>
  <c r="AA27" i="15" s="1"/>
  <c r="AE22" i="15"/>
  <c r="AE27" i="15" s="1"/>
  <c r="G19" i="17"/>
  <c r="G21" i="17"/>
  <c r="AG26" i="17"/>
  <c r="F34" i="17"/>
  <c r="AG34" i="17"/>
  <c r="G34" i="17"/>
  <c r="F37" i="17"/>
  <c r="AG37" i="17"/>
  <c r="G37" i="17"/>
  <c r="G41" i="17"/>
  <c r="G44" i="17"/>
  <c r="F48" i="17"/>
  <c r="AG48" i="17"/>
  <c r="G48" i="17"/>
  <c r="F50" i="17"/>
  <c r="AG50" i="17"/>
  <c r="G50" i="17"/>
  <c r="B61" i="17"/>
  <c r="AG61" i="17" s="1"/>
  <c r="F66" i="17"/>
  <c r="AG66" i="17"/>
  <c r="G66" i="17"/>
  <c r="B74" i="17"/>
  <c r="AG74" i="17" s="1"/>
  <c r="B88" i="17"/>
  <c r="AG88" i="17" s="1"/>
  <c r="B94" i="17"/>
  <c r="AG94" i="17" s="1"/>
  <c r="B100" i="17"/>
  <c r="AG100" i="17" s="1"/>
  <c r="I105" i="17"/>
  <c r="Q105" i="17"/>
  <c r="Q126" i="17"/>
  <c r="Y105" i="17"/>
  <c r="H111" i="17"/>
  <c r="H122" i="17" s="1"/>
  <c r="J111" i="17"/>
  <c r="N111" i="17"/>
  <c r="P111" i="17"/>
  <c r="P122" i="17" s="1"/>
  <c r="R111" i="17"/>
  <c r="V111" i="17"/>
  <c r="X111" i="17"/>
  <c r="X122" i="17" s="1"/>
  <c r="Z111" i="17"/>
  <c r="AD111" i="17"/>
  <c r="K276" i="8"/>
  <c r="K301" i="8" s="1"/>
  <c r="K25" i="8"/>
  <c r="O276" i="8"/>
  <c r="O301" i="8" s="1"/>
  <c r="O25" i="8"/>
  <c r="S276" i="8"/>
  <c r="S301" i="8" s="1"/>
  <c r="S25" i="8"/>
  <c r="W276" i="8"/>
  <c r="W301" i="8" s="1"/>
  <c r="W25" i="8"/>
  <c r="AA276" i="8"/>
  <c r="AA301" i="8" s="1"/>
  <c r="AA25" i="8"/>
  <c r="F32" i="8"/>
  <c r="D32" i="8"/>
  <c r="F33" i="8"/>
  <c r="T289" i="8"/>
  <c r="B47" i="8"/>
  <c r="F47" i="8" s="1"/>
  <c r="T28" i="8"/>
  <c r="F73" i="8"/>
  <c r="F85" i="8"/>
  <c r="F120" i="8"/>
  <c r="F121" i="8"/>
  <c r="D121" i="8"/>
  <c r="E118" i="8"/>
  <c r="F197" i="8"/>
  <c r="F215" i="8"/>
  <c r="D215" i="8"/>
  <c r="D212" i="8" s="1"/>
  <c r="E212" i="8"/>
  <c r="F229" i="8"/>
  <c r="D229" i="8"/>
  <c r="E226" i="8"/>
  <c r="F253" i="8"/>
  <c r="D253" i="8"/>
  <c r="D250" i="8" s="1"/>
  <c r="E250" i="8"/>
  <c r="F267" i="8"/>
  <c r="D267" i="8"/>
  <c r="E264" i="8"/>
  <c r="F273" i="8"/>
  <c r="D273" i="8"/>
  <c r="D270" i="8" s="1"/>
  <c r="E270" i="8"/>
  <c r="AA302" i="8"/>
  <c r="B280" i="8"/>
  <c r="AG280" i="8" s="1"/>
  <c r="E287" i="8"/>
  <c r="M287" i="8"/>
  <c r="B288" i="8"/>
  <c r="AG288" i="8" s="1"/>
  <c r="L290" i="8"/>
  <c r="T290" i="8"/>
  <c r="AB290" i="8"/>
  <c r="AG14" i="9"/>
  <c r="AG24" i="9"/>
  <c r="AG19" i="9"/>
  <c r="AG30" i="9"/>
  <c r="AG25" i="9"/>
  <c r="J87" i="9"/>
  <c r="J82" i="9"/>
  <c r="J93" i="9" s="1"/>
  <c r="N87" i="9"/>
  <c r="N82" i="9"/>
  <c r="N93" i="9" s="1"/>
  <c r="R87" i="9"/>
  <c r="R82" i="9"/>
  <c r="R93" i="9" s="1"/>
  <c r="V87" i="9"/>
  <c r="V82" i="9"/>
  <c r="V93" i="9" s="1"/>
  <c r="Z87" i="9"/>
  <c r="Z82" i="9"/>
  <c r="Z93" i="9" s="1"/>
  <c r="AB87" i="9"/>
  <c r="AB82" i="9"/>
  <c r="AB93" i="9" s="1"/>
  <c r="G14" i="8"/>
  <c r="C276" i="8"/>
  <c r="I276" i="8"/>
  <c r="I25" i="8"/>
  <c r="M276" i="8"/>
  <c r="M25" i="8"/>
  <c r="Q276" i="8"/>
  <c r="Q301" i="8" s="1"/>
  <c r="Q25" i="8"/>
  <c r="U25" i="8"/>
  <c r="Y276" i="8"/>
  <c r="Y301" i="8" s="1"/>
  <c r="Y25" i="8"/>
  <c r="AC25" i="8"/>
  <c r="AE276" i="8"/>
  <c r="AE25" i="8"/>
  <c r="F34" i="8"/>
  <c r="D34" i="8"/>
  <c r="E31" i="8"/>
  <c r="C290" i="8"/>
  <c r="C280" i="8"/>
  <c r="G35" i="8"/>
  <c r="F41" i="8"/>
  <c r="D41" i="8"/>
  <c r="D38" i="8" s="1"/>
  <c r="E38" i="8"/>
  <c r="G47" i="8"/>
  <c r="F52" i="8"/>
  <c r="F53" i="8"/>
  <c r="D53" i="8"/>
  <c r="D50" i="8" s="1"/>
  <c r="E50" i="8"/>
  <c r="F54" i="8"/>
  <c r="F59" i="8"/>
  <c r="D59" i="8"/>
  <c r="D27" i="8" s="1"/>
  <c r="E27" i="8"/>
  <c r="F97" i="8"/>
  <c r="C106" i="8"/>
  <c r="C103" i="8"/>
  <c r="C100" i="8" s="1"/>
  <c r="C112" i="8"/>
  <c r="F119" i="8"/>
  <c r="D119" i="8"/>
  <c r="F122" i="8"/>
  <c r="AG155" i="8"/>
  <c r="AG158" i="8"/>
  <c r="G180" i="8"/>
  <c r="C188" i="8"/>
  <c r="G191" i="8"/>
  <c r="G188" i="8" s="1"/>
  <c r="F235" i="8"/>
  <c r="D235" i="8"/>
  <c r="D232" i="8" s="1"/>
  <c r="E232" i="8"/>
  <c r="B284" i="8"/>
  <c r="AG284" i="8" s="1"/>
  <c r="C285" i="8"/>
  <c r="I287" i="8"/>
  <c r="Q287" i="8"/>
  <c r="Y287" i="8"/>
  <c r="K289" i="8"/>
  <c r="S289" i="8"/>
  <c r="AA289" i="8"/>
  <c r="H290" i="8"/>
  <c r="P290" i="8"/>
  <c r="X290" i="8"/>
  <c r="D92" i="9"/>
  <c r="L87" i="9"/>
  <c r="L82" i="9"/>
  <c r="L93" i="9" s="1"/>
  <c r="P87" i="9"/>
  <c r="P82" i="9"/>
  <c r="P93" i="9" s="1"/>
  <c r="T87" i="9"/>
  <c r="T82" i="9"/>
  <c r="T93" i="9" s="1"/>
  <c r="X87" i="9"/>
  <c r="X82" i="9"/>
  <c r="X93" i="9" s="1"/>
  <c r="AD87" i="9"/>
  <c r="AD82" i="9"/>
  <c r="F13" i="8"/>
  <c r="F14" i="8"/>
  <c r="D14" i="8"/>
  <c r="F15" i="8"/>
  <c r="F16" i="8"/>
  <c r="D16" i="8"/>
  <c r="F19" i="8"/>
  <c r="F20" i="8"/>
  <c r="D20" i="8"/>
  <c r="F22" i="8"/>
  <c r="D22" i="8"/>
  <c r="J25" i="8"/>
  <c r="N25" i="8"/>
  <c r="R25" i="8"/>
  <c r="V25" i="8"/>
  <c r="Z25" i="8"/>
  <c r="AD25" i="8"/>
  <c r="E26" i="8"/>
  <c r="B27" i="8"/>
  <c r="K278" i="8"/>
  <c r="G32" i="8"/>
  <c r="C288" i="8"/>
  <c r="E288" i="8"/>
  <c r="C31" i="8"/>
  <c r="G34" i="8"/>
  <c r="E280" i="8"/>
  <c r="F35" i="8"/>
  <c r="D35" i="8"/>
  <c r="G41" i="8"/>
  <c r="T44" i="8"/>
  <c r="D47" i="8"/>
  <c r="D44" i="8" s="1"/>
  <c r="E44" i="8"/>
  <c r="G53" i="8"/>
  <c r="AG54" i="8"/>
  <c r="E57" i="8"/>
  <c r="G59" i="8"/>
  <c r="AG60" i="8"/>
  <c r="B67" i="8"/>
  <c r="D67" i="8"/>
  <c r="D64" i="8" s="1"/>
  <c r="AG73" i="8"/>
  <c r="F79" i="8"/>
  <c r="AG85" i="8"/>
  <c r="F91" i="8"/>
  <c r="AG97" i="8"/>
  <c r="F109" i="8"/>
  <c r="D109" i="8"/>
  <c r="E106" i="8"/>
  <c r="E103" i="8"/>
  <c r="F113" i="8"/>
  <c r="D113" i="8"/>
  <c r="F115" i="8"/>
  <c r="D115" i="8"/>
  <c r="E112" i="8"/>
  <c r="B104" i="8"/>
  <c r="AG104" i="8" s="1"/>
  <c r="F116" i="8"/>
  <c r="G119" i="8"/>
  <c r="C118" i="8"/>
  <c r="G121" i="8"/>
  <c r="M127" i="8"/>
  <c r="M124" i="8" s="1"/>
  <c r="O127" i="8"/>
  <c r="O124" i="8" s="1"/>
  <c r="W127" i="8"/>
  <c r="W124" i="8" s="1"/>
  <c r="AE127" i="8"/>
  <c r="AE124" i="8" s="1"/>
  <c r="H127" i="8"/>
  <c r="H124" i="8" s="1"/>
  <c r="L127" i="8"/>
  <c r="L124" i="8" s="1"/>
  <c r="P127" i="8"/>
  <c r="P124" i="8" s="1"/>
  <c r="T127" i="8"/>
  <c r="T124" i="8" s="1"/>
  <c r="X127" i="8"/>
  <c r="X124" i="8" s="1"/>
  <c r="AB127" i="8"/>
  <c r="AB124" i="8" s="1"/>
  <c r="AG138" i="8"/>
  <c r="H289" i="8"/>
  <c r="L289" i="8"/>
  <c r="X289" i="8"/>
  <c r="AB289" i="8"/>
  <c r="AG161" i="8"/>
  <c r="AG173" i="8"/>
  <c r="F178" i="8"/>
  <c r="D178" i="8"/>
  <c r="AG176" i="8"/>
  <c r="F179" i="8"/>
  <c r="F180" i="8"/>
  <c r="D180" i="8"/>
  <c r="D149" i="8" s="1"/>
  <c r="F191" i="8"/>
  <c r="F188" i="8" s="1"/>
  <c r="D191" i="8"/>
  <c r="E188" i="8"/>
  <c r="AG192" i="8"/>
  <c r="B186" i="8"/>
  <c r="AG186" i="8" s="1"/>
  <c r="AG197" i="8"/>
  <c r="F203" i="8"/>
  <c r="AG209" i="8"/>
  <c r="B206" i="8"/>
  <c r="C209" i="8"/>
  <c r="C206" i="8" s="1"/>
  <c r="H206" i="8"/>
  <c r="G215" i="8"/>
  <c r="G229" i="8"/>
  <c r="G235" i="8"/>
  <c r="G253" i="8"/>
  <c r="G267" i="8"/>
  <c r="G273" i="8"/>
  <c r="B282" i="8"/>
  <c r="E285" i="8"/>
  <c r="K287" i="8"/>
  <c r="O287" i="8"/>
  <c r="S287" i="8"/>
  <c r="W287" i="8"/>
  <c r="AA287" i="8"/>
  <c r="AE287" i="8"/>
  <c r="I289" i="8"/>
  <c r="M289" i="8"/>
  <c r="Q289" i="8"/>
  <c r="U289" i="8"/>
  <c r="Y289" i="8"/>
  <c r="AC289" i="8"/>
  <c r="AG11" i="9"/>
  <c r="AG13" i="9"/>
  <c r="AG15" i="9"/>
  <c r="C91" i="9"/>
  <c r="H85" i="9"/>
  <c r="H80" i="9"/>
  <c r="J85" i="9"/>
  <c r="J80" i="9"/>
  <c r="L85" i="9"/>
  <c r="L80" i="9"/>
  <c r="N85" i="9"/>
  <c r="N80" i="9"/>
  <c r="P85" i="9"/>
  <c r="P80" i="9"/>
  <c r="R85" i="9"/>
  <c r="R80" i="9"/>
  <c r="T85" i="9"/>
  <c r="T80" i="9"/>
  <c r="V85" i="9"/>
  <c r="V80" i="9"/>
  <c r="X85" i="9"/>
  <c r="X80" i="9"/>
  <c r="Z85" i="9"/>
  <c r="Z80" i="9"/>
  <c r="AB85" i="9"/>
  <c r="AB80" i="9"/>
  <c r="AD85" i="9"/>
  <c r="AD80" i="9"/>
  <c r="E86" i="9"/>
  <c r="I86" i="9"/>
  <c r="I81" i="9"/>
  <c r="I92" i="9" s="1"/>
  <c r="K86" i="9"/>
  <c r="K81" i="9"/>
  <c r="K92" i="9" s="1"/>
  <c r="M86" i="9"/>
  <c r="M81" i="9"/>
  <c r="M92" i="9" s="1"/>
  <c r="O86" i="9"/>
  <c r="O81" i="9"/>
  <c r="O92" i="9" s="1"/>
  <c r="Q86" i="9"/>
  <c r="Q81" i="9"/>
  <c r="Q92" i="9" s="1"/>
  <c r="S86" i="9"/>
  <c r="S81" i="9"/>
  <c r="S92" i="9" s="1"/>
  <c r="U86" i="9"/>
  <c r="U81" i="9"/>
  <c r="U92" i="9" s="1"/>
  <c r="W86" i="9"/>
  <c r="W81" i="9"/>
  <c r="W92" i="9" s="1"/>
  <c r="Y86" i="9"/>
  <c r="Y81" i="9"/>
  <c r="Y92" i="9" s="1"/>
  <c r="AA86" i="9"/>
  <c r="AA81" i="9"/>
  <c r="AA92" i="9" s="1"/>
  <c r="AC86" i="9"/>
  <c r="AC81" i="9"/>
  <c r="AC92" i="9" s="1"/>
  <c r="AE86" i="9"/>
  <c r="AE81" i="9"/>
  <c r="AE92" i="9" s="1"/>
  <c r="E88" i="9"/>
  <c r="E83" i="9"/>
  <c r="E94" i="9" s="1"/>
  <c r="I88" i="9"/>
  <c r="I83" i="9"/>
  <c r="I94" i="9" s="1"/>
  <c r="K88" i="9"/>
  <c r="K83" i="9"/>
  <c r="K94" i="9" s="1"/>
  <c r="M88" i="9"/>
  <c r="M83" i="9"/>
  <c r="M94" i="9" s="1"/>
  <c r="O88" i="9"/>
  <c r="O83" i="9"/>
  <c r="O94" i="9" s="1"/>
  <c r="Q88" i="9"/>
  <c r="Q83" i="9"/>
  <c r="Q94" i="9" s="1"/>
  <c r="S88" i="9"/>
  <c r="S83" i="9"/>
  <c r="S94" i="9" s="1"/>
  <c r="U88" i="9"/>
  <c r="U83" i="9"/>
  <c r="U94" i="9" s="1"/>
  <c r="W88" i="9"/>
  <c r="W83" i="9"/>
  <c r="W94" i="9" s="1"/>
  <c r="Y88" i="9"/>
  <c r="Y83" i="9"/>
  <c r="Y94" i="9" s="1"/>
  <c r="AA88" i="9"/>
  <c r="AA83" i="9"/>
  <c r="AA94" i="9" s="1"/>
  <c r="AC88" i="9"/>
  <c r="AC83" i="9"/>
  <c r="AC94" i="9" s="1"/>
  <c r="AE88" i="9"/>
  <c r="AE83" i="9"/>
  <c r="AE94" i="9" s="1"/>
  <c r="AG40" i="9"/>
  <c r="B81" i="9"/>
  <c r="B92" i="9" s="1"/>
  <c r="AG37" i="9"/>
  <c r="AG45" i="9"/>
  <c r="AG51" i="9"/>
  <c r="AG60" i="9"/>
  <c r="AG36" i="9"/>
  <c r="K100" i="11"/>
  <c r="M100" i="11"/>
  <c r="O100" i="11"/>
  <c r="Q100" i="11"/>
  <c r="S100" i="11"/>
  <c r="U100" i="11"/>
  <c r="W100" i="11"/>
  <c r="Y100" i="11"/>
  <c r="AA100" i="11"/>
  <c r="AC100" i="11"/>
  <c r="AC94" i="11"/>
  <c r="AE100" i="11"/>
  <c r="AE94" i="11"/>
  <c r="J104" i="11"/>
  <c r="J98" i="11"/>
  <c r="L104" i="11"/>
  <c r="L98" i="11"/>
  <c r="N104" i="11"/>
  <c r="N98" i="11"/>
  <c r="P104" i="11"/>
  <c r="P98" i="11"/>
  <c r="R104" i="11"/>
  <c r="R98" i="11"/>
  <c r="T104" i="11"/>
  <c r="T98" i="11"/>
  <c r="V104" i="11"/>
  <c r="V98" i="11"/>
  <c r="X104" i="11"/>
  <c r="X98" i="11"/>
  <c r="Z104" i="11"/>
  <c r="Z98" i="11"/>
  <c r="AB104" i="11"/>
  <c r="AB98" i="11"/>
  <c r="AD104" i="11"/>
  <c r="AD98" i="11"/>
  <c r="F27" i="11"/>
  <c r="F24" i="11" s="1"/>
  <c r="F15" i="11" s="1"/>
  <c r="F12" i="11" s="1"/>
  <c r="F11" i="11" s="1"/>
  <c r="B31" i="11"/>
  <c r="D32" i="11"/>
  <c r="D31" i="11" s="1"/>
  <c r="B38" i="11"/>
  <c r="B37" i="11" s="1"/>
  <c r="H46" i="11"/>
  <c r="J46" i="11"/>
  <c r="J45" i="11" s="1"/>
  <c r="J100" i="11"/>
  <c r="L100" i="11"/>
  <c r="N46" i="11"/>
  <c r="N100" i="11"/>
  <c r="P100" i="11"/>
  <c r="R46" i="11"/>
  <c r="R45" i="11" s="1"/>
  <c r="R100" i="11"/>
  <c r="T100" i="11"/>
  <c r="V46" i="11"/>
  <c r="V45" i="11" s="1"/>
  <c r="V100" i="11"/>
  <c r="X100" i="11"/>
  <c r="Z46" i="11"/>
  <c r="Z45" i="11" s="1"/>
  <c r="Z100" i="11"/>
  <c r="AB100" i="11"/>
  <c r="AD46" i="11"/>
  <c r="AD100" i="11"/>
  <c r="AD94" i="11"/>
  <c r="B52" i="11"/>
  <c r="K98" i="11"/>
  <c r="K104" i="11"/>
  <c r="M104" i="11"/>
  <c r="M98" i="11"/>
  <c r="O98" i="11"/>
  <c r="O104" i="11"/>
  <c r="Q104" i="11"/>
  <c r="Q98" i="11"/>
  <c r="S98" i="11"/>
  <c r="S104" i="11"/>
  <c r="U104" i="11"/>
  <c r="U98" i="11"/>
  <c r="W98" i="11"/>
  <c r="W104" i="11"/>
  <c r="Y104" i="11"/>
  <c r="Y98" i="11"/>
  <c r="AA98" i="11"/>
  <c r="AA104" i="11"/>
  <c r="AC104" i="11"/>
  <c r="AC98" i="11"/>
  <c r="AE98" i="11"/>
  <c r="AE104" i="11"/>
  <c r="D76" i="11"/>
  <c r="F83" i="11"/>
  <c r="F80" i="11" s="1"/>
  <c r="AG59" i="9"/>
  <c r="E80" i="9"/>
  <c r="E91" i="9" s="1"/>
  <c r="AG73" i="9"/>
  <c r="AG78" i="9"/>
  <c r="E85" i="9"/>
  <c r="N12" i="11"/>
  <c r="N11" i="11" s="1"/>
  <c r="V12" i="11"/>
  <c r="V11" i="11" s="1"/>
  <c r="AD12" i="11"/>
  <c r="K101" i="11"/>
  <c r="K95" i="11"/>
  <c r="M95" i="11"/>
  <c r="M101" i="11"/>
  <c r="O101" i="11"/>
  <c r="O95" i="11"/>
  <c r="Q95" i="11"/>
  <c r="Q101" i="11"/>
  <c r="S101" i="11"/>
  <c r="S95" i="11"/>
  <c r="U95" i="11"/>
  <c r="U101" i="11"/>
  <c r="W101" i="11"/>
  <c r="W95" i="11"/>
  <c r="Y95" i="11"/>
  <c r="Y101" i="11"/>
  <c r="AA101" i="11"/>
  <c r="AA95" i="11"/>
  <c r="AC95" i="11"/>
  <c r="AC101" i="11"/>
  <c r="AE101" i="11"/>
  <c r="AE95" i="11"/>
  <c r="J96" i="11"/>
  <c r="J102" i="11"/>
  <c r="L12" i="11"/>
  <c r="L11" i="11" s="1"/>
  <c r="L102" i="11"/>
  <c r="L96" i="11"/>
  <c r="N102" i="11"/>
  <c r="P12" i="11"/>
  <c r="P11" i="11" s="1"/>
  <c r="P102" i="11"/>
  <c r="P96" i="11"/>
  <c r="R96" i="11"/>
  <c r="R102" i="11"/>
  <c r="T12" i="11"/>
  <c r="T11" i="11" s="1"/>
  <c r="T102" i="11"/>
  <c r="T96" i="11"/>
  <c r="V96" i="11"/>
  <c r="V102" i="11"/>
  <c r="X12" i="11"/>
  <c r="X11" i="11" s="1"/>
  <c r="X102" i="11"/>
  <c r="X96" i="11"/>
  <c r="Z96" i="11"/>
  <c r="Z102" i="11"/>
  <c r="AB12" i="11"/>
  <c r="AB11" i="11" s="1"/>
  <c r="AB102" i="11"/>
  <c r="AB96" i="11"/>
  <c r="AD96" i="11"/>
  <c r="AD102" i="11"/>
  <c r="B24" i="11"/>
  <c r="P46" i="11"/>
  <c r="P45" i="11" s="1"/>
  <c r="X46" i="11"/>
  <c r="X45" i="11" s="1"/>
  <c r="D51" i="11"/>
  <c r="F61" i="11"/>
  <c r="F58" i="11" s="1"/>
  <c r="F57" i="11" s="1"/>
  <c r="D57" i="11"/>
  <c r="B58" i="11"/>
  <c r="B57" i="11" s="1"/>
  <c r="G83" i="11"/>
  <c r="F87" i="11"/>
  <c r="D87" i="11"/>
  <c r="I79" i="14"/>
  <c r="G13" i="12"/>
  <c r="F14" i="12"/>
  <c r="AG14" i="12"/>
  <c r="G15" i="12"/>
  <c r="F16" i="12"/>
  <c r="AG16" i="12"/>
  <c r="B152" i="12"/>
  <c r="B142" i="12"/>
  <c r="D152" i="12"/>
  <c r="F29" i="12"/>
  <c r="G34" i="12"/>
  <c r="G40" i="12"/>
  <c r="G46" i="12"/>
  <c r="F51" i="12"/>
  <c r="F52" i="12"/>
  <c r="D52" i="12"/>
  <c r="D49" i="12" s="1"/>
  <c r="E49" i="12"/>
  <c r="F62" i="12"/>
  <c r="F70" i="12"/>
  <c r="F77" i="12"/>
  <c r="F80" i="12"/>
  <c r="F81" i="12"/>
  <c r="F83" i="12"/>
  <c r="G88" i="12"/>
  <c r="G94" i="12"/>
  <c r="G100" i="12"/>
  <c r="F102" i="12"/>
  <c r="D102" i="12"/>
  <c r="F103" i="12"/>
  <c r="F108" i="12"/>
  <c r="D108" i="12"/>
  <c r="AG109" i="12"/>
  <c r="D114" i="12"/>
  <c r="F116" i="12"/>
  <c r="D116" i="12"/>
  <c r="D122" i="12"/>
  <c r="E121" i="12"/>
  <c r="F124" i="12"/>
  <c r="D124" i="12"/>
  <c r="D128" i="12"/>
  <c r="E127" i="12"/>
  <c r="F130" i="12"/>
  <c r="D130" i="12"/>
  <c r="D134" i="12"/>
  <c r="E133" i="12"/>
  <c r="F136" i="12"/>
  <c r="D136" i="12"/>
  <c r="P141" i="12"/>
  <c r="T141" i="12"/>
  <c r="X141" i="12"/>
  <c r="AB141" i="12"/>
  <c r="E142" i="12"/>
  <c r="N151" i="12"/>
  <c r="R151" i="12"/>
  <c r="V151" i="12"/>
  <c r="Z151" i="12"/>
  <c r="AD151" i="12"/>
  <c r="I357" i="14"/>
  <c r="I12" i="14"/>
  <c r="K352" i="14"/>
  <c r="K372" i="14" s="1"/>
  <c r="K12" i="14"/>
  <c r="M352" i="14"/>
  <c r="M372" i="14" s="1"/>
  <c r="M357" i="14"/>
  <c r="M12" i="14"/>
  <c r="O352" i="14"/>
  <c r="O372" i="14" s="1"/>
  <c r="O12" i="14"/>
  <c r="Q352" i="14"/>
  <c r="Q372" i="14" s="1"/>
  <c r="Q357" i="14"/>
  <c r="Q12" i="14"/>
  <c r="S352" i="14"/>
  <c r="S372" i="14" s="1"/>
  <c r="S12" i="14"/>
  <c r="U352" i="14"/>
  <c r="U372" i="14" s="1"/>
  <c r="U357" i="14"/>
  <c r="U12" i="14"/>
  <c r="W352" i="14"/>
  <c r="W372" i="14" s="1"/>
  <c r="W12" i="14"/>
  <c r="Y352" i="14"/>
  <c r="Y372" i="14" s="1"/>
  <c r="Y357" i="14"/>
  <c r="Y12" i="14"/>
  <c r="AA352" i="14"/>
  <c r="AA372" i="14" s="1"/>
  <c r="AA12" i="14"/>
  <c r="AC352" i="14"/>
  <c r="AC372" i="14" s="1"/>
  <c r="AC357" i="14"/>
  <c r="AC12" i="14"/>
  <c r="AE352" i="14"/>
  <c r="AE372" i="14" s="1"/>
  <c r="AE12" i="14"/>
  <c r="J353" i="14"/>
  <c r="J373" i="14" s="1"/>
  <c r="J358" i="14"/>
  <c r="N358" i="14"/>
  <c r="R353" i="14"/>
  <c r="R373" i="14" s="1"/>
  <c r="R358" i="14"/>
  <c r="V353" i="14"/>
  <c r="V373" i="14" s="1"/>
  <c r="V358" i="14"/>
  <c r="Z353" i="14"/>
  <c r="Z373" i="14" s="1"/>
  <c r="Z358" i="14"/>
  <c r="AD353" i="14"/>
  <c r="AD373" i="14" s="1"/>
  <c r="AD358" i="14"/>
  <c r="K354" i="14"/>
  <c r="K374" i="14" s="1"/>
  <c r="K359" i="14"/>
  <c r="O354" i="14"/>
  <c r="O374" i="14" s="1"/>
  <c r="O359" i="14"/>
  <c r="S354" i="14"/>
  <c r="S374" i="14" s="1"/>
  <c r="S359" i="14"/>
  <c r="W354" i="14"/>
  <c r="W374" i="14" s="1"/>
  <c r="W359" i="14"/>
  <c r="AA354" i="14"/>
  <c r="AA374" i="14" s="1"/>
  <c r="AA359" i="14"/>
  <c r="AE354" i="14"/>
  <c r="AE374" i="14" s="1"/>
  <c r="AE359" i="14"/>
  <c r="H355" i="14"/>
  <c r="H360" i="14"/>
  <c r="L360" i="14"/>
  <c r="P355" i="14"/>
  <c r="P375" i="14" s="1"/>
  <c r="P360" i="14"/>
  <c r="T355" i="14"/>
  <c r="T375" i="14" s="1"/>
  <c r="T360" i="14"/>
  <c r="X355" i="14"/>
  <c r="X375" i="14" s="1"/>
  <c r="X360" i="14"/>
  <c r="AB355" i="14"/>
  <c r="AB375" i="14" s="1"/>
  <c r="AB360" i="14"/>
  <c r="AG16" i="14"/>
  <c r="F19" i="14"/>
  <c r="D19" i="14"/>
  <c r="F20" i="14"/>
  <c r="F21" i="14"/>
  <c r="D21" i="14"/>
  <c r="E18" i="14"/>
  <c r="F25" i="14"/>
  <c r="D25" i="14"/>
  <c r="E24" i="14"/>
  <c r="F26" i="14"/>
  <c r="F27" i="14"/>
  <c r="D27" i="14"/>
  <c r="F28" i="14"/>
  <c r="I365" i="14"/>
  <c r="M365" i="14"/>
  <c r="Q365" i="14"/>
  <c r="U365" i="14"/>
  <c r="Y365" i="14"/>
  <c r="AC365" i="14"/>
  <c r="F46" i="14"/>
  <c r="F62" i="14"/>
  <c r="F70" i="14"/>
  <c r="H79" i="14"/>
  <c r="F94" i="14"/>
  <c r="G105" i="14"/>
  <c r="G111" i="14"/>
  <c r="F128" i="14"/>
  <c r="F143" i="14"/>
  <c r="AG149" i="14"/>
  <c r="F157" i="14"/>
  <c r="F169" i="14"/>
  <c r="D169" i="14"/>
  <c r="D163" i="14" s="1"/>
  <c r="F170" i="14"/>
  <c r="F171" i="14"/>
  <c r="D165" i="14"/>
  <c r="E168" i="14"/>
  <c r="F178" i="14"/>
  <c r="G181" i="14"/>
  <c r="G183" i="14"/>
  <c r="G195" i="14"/>
  <c r="F200" i="14"/>
  <c r="F201" i="14"/>
  <c r="D201" i="14"/>
  <c r="D199" i="14" s="1"/>
  <c r="B199" i="14"/>
  <c r="AG199" i="14" s="1"/>
  <c r="F202" i="14"/>
  <c r="G213" i="14"/>
  <c r="F218" i="14"/>
  <c r="F219" i="14"/>
  <c r="D219" i="14"/>
  <c r="D217" i="14" s="1"/>
  <c r="B217" i="14"/>
  <c r="AG217" i="14" s="1"/>
  <c r="F220" i="14"/>
  <c r="F230" i="14"/>
  <c r="F231" i="14"/>
  <c r="D231" i="14"/>
  <c r="D229" i="14" s="1"/>
  <c r="B229" i="14"/>
  <c r="AG229" i="14" s="1"/>
  <c r="F232" i="14"/>
  <c r="G243" i="14"/>
  <c r="F248" i="14"/>
  <c r="F249" i="14"/>
  <c r="G249" i="14"/>
  <c r="D249" i="14"/>
  <c r="D247" i="14" s="1"/>
  <c r="G256" i="14"/>
  <c r="G262" i="14"/>
  <c r="B263" i="14"/>
  <c r="B261" i="14" s="1"/>
  <c r="B267" i="14"/>
  <c r="AG267" i="14" s="1"/>
  <c r="AG268" i="14"/>
  <c r="F268" i="14"/>
  <c r="F270" i="14"/>
  <c r="C276" i="14"/>
  <c r="H274" i="14"/>
  <c r="G283" i="14"/>
  <c r="G289" i="14"/>
  <c r="G295" i="14"/>
  <c r="G307" i="14"/>
  <c r="E311" i="14"/>
  <c r="I299" i="14"/>
  <c r="I362" i="14" s="1"/>
  <c r="J310" i="14"/>
  <c r="J302" i="14"/>
  <c r="J365" i="14" s="1"/>
  <c r="N310" i="14"/>
  <c r="N302" i="14"/>
  <c r="R310" i="14"/>
  <c r="R302" i="14"/>
  <c r="R298" i="14" s="1"/>
  <c r="V310" i="14"/>
  <c r="V302" i="14"/>
  <c r="Z310" i="14"/>
  <c r="Z302" i="14"/>
  <c r="Z298" i="14" s="1"/>
  <c r="AD310" i="14"/>
  <c r="AD302" i="14"/>
  <c r="AG314" i="14"/>
  <c r="F317" i="14"/>
  <c r="D317" i="14"/>
  <c r="D316" i="14" s="1"/>
  <c r="G317" i="14"/>
  <c r="F319" i="14"/>
  <c r="E316" i="14"/>
  <c r="F324" i="14"/>
  <c r="F329" i="14"/>
  <c r="D329" i="14"/>
  <c r="G329" i="14"/>
  <c r="F331" i="14"/>
  <c r="D331" i="14"/>
  <c r="E328" i="14"/>
  <c r="G331" i="14"/>
  <c r="AG342" i="14"/>
  <c r="B336" i="14"/>
  <c r="D336" i="14"/>
  <c r="F342" i="14"/>
  <c r="F347" i="14"/>
  <c r="D347" i="14"/>
  <c r="G347" i="14"/>
  <c r="F349" i="14"/>
  <c r="D349" i="14"/>
  <c r="E346" i="14"/>
  <c r="G349" i="14"/>
  <c r="V352" i="14"/>
  <c r="V372" i="14" s="1"/>
  <c r="AD352" i="14"/>
  <c r="O353" i="14"/>
  <c r="O373" i="14" s="1"/>
  <c r="W353" i="14"/>
  <c r="W373" i="14" s="1"/>
  <c r="AE353" i="14"/>
  <c r="AE373" i="14" s="1"/>
  <c r="P354" i="14"/>
  <c r="P374" i="14" s="1"/>
  <c r="X354" i="14"/>
  <c r="X374" i="14" s="1"/>
  <c r="I355" i="14"/>
  <c r="I375" i="14" s="1"/>
  <c r="Q355" i="14"/>
  <c r="Q375" i="14" s="1"/>
  <c r="Y355" i="14"/>
  <c r="Y375" i="14" s="1"/>
  <c r="K357" i="14"/>
  <c r="S357" i="14"/>
  <c r="AA357" i="14"/>
  <c r="L358" i="14"/>
  <c r="T358" i="14"/>
  <c r="M359" i="14"/>
  <c r="U359" i="14"/>
  <c r="AC359" i="14"/>
  <c r="N360" i="14"/>
  <c r="V360" i="14"/>
  <c r="AD360" i="14"/>
  <c r="P362" i="14"/>
  <c r="X362" i="14"/>
  <c r="F20" i="17"/>
  <c r="D20" i="17"/>
  <c r="G20" i="17"/>
  <c r="AG118" i="17"/>
  <c r="AG27" i="17"/>
  <c r="B25" i="17"/>
  <c r="AG25" i="17" s="1"/>
  <c r="F27" i="17"/>
  <c r="AG121" i="17"/>
  <c r="AG30" i="17"/>
  <c r="F30" i="17"/>
  <c r="F42" i="17"/>
  <c r="D42" i="17"/>
  <c r="G42" i="17"/>
  <c r="AG63" i="17"/>
  <c r="G13" i="8"/>
  <c r="AG14" i="8"/>
  <c r="G15" i="8"/>
  <c r="AG16" i="8"/>
  <c r="AG32" i="8"/>
  <c r="G33" i="8"/>
  <c r="AG34" i="8"/>
  <c r="C282" i="8"/>
  <c r="E282" i="8"/>
  <c r="C284" i="8"/>
  <c r="E284" i="8"/>
  <c r="I290" i="8"/>
  <c r="K290" i="8"/>
  <c r="M290" i="8"/>
  <c r="O290" i="8"/>
  <c r="Q290" i="8"/>
  <c r="S290" i="8"/>
  <c r="U290" i="8"/>
  <c r="W290" i="8"/>
  <c r="Y290" i="8"/>
  <c r="AA290" i="8"/>
  <c r="AC290" i="8"/>
  <c r="AE290" i="8"/>
  <c r="J95" i="11"/>
  <c r="L95" i="11"/>
  <c r="N95" i="11"/>
  <c r="P95" i="11"/>
  <c r="R95" i="11"/>
  <c r="T95" i="11"/>
  <c r="V95" i="11"/>
  <c r="X95" i="11"/>
  <c r="Z95" i="11"/>
  <c r="AB95" i="11"/>
  <c r="AD95" i="11"/>
  <c r="K96" i="11"/>
  <c r="K93" i="11" s="1"/>
  <c r="M96" i="11"/>
  <c r="M93" i="11" s="1"/>
  <c r="Q96" i="11"/>
  <c r="Q93" i="11" s="1"/>
  <c r="S96" i="11"/>
  <c r="U96" i="11"/>
  <c r="W96" i="11"/>
  <c r="Y96" i="11"/>
  <c r="AA96" i="11"/>
  <c r="AC96" i="11"/>
  <c r="AE96" i="11"/>
  <c r="E12" i="12"/>
  <c r="D13" i="12"/>
  <c r="F13" i="12"/>
  <c r="AG13" i="12"/>
  <c r="G14" i="12"/>
  <c r="D15" i="12"/>
  <c r="F15" i="12"/>
  <c r="AG15" i="12"/>
  <c r="G16" i="12"/>
  <c r="N25" i="12"/>
  <c r="P25" i="12"/>
  <c r="R25" i="12"/>
  <c r="T25" i="12"/>
  <c r="V25" i="12"/>
  <c r="X25" i="12"/>
  <c r="Z25" i="12"/>
  <c r="AB25" i="12"/>
  <c r="AD25" i="12"/>
  <c r="M151" i="12"/>
  <c r="M141" i="12"/>
  <c r="O151" i="12"/>
  <c r="O141" i="12"/>
  <c r="Q151" i="12"/>
  <c r="Q141" i="12"/>
  <c r="S151" i="12"/>
  <c r="S141" i="12"/>
  <c r="U151" i="12"/>
  <c r="U141" i="12"/>
  <c r="W151" i="12"/>
  <c r="W141" i="12"/>
  <c r="Y151" i="12"/>
  <c r="Y141" i="12"/>
  <c r="AA151" i="12"/>
  <c r="AA141" i="12"/>
  <c r="AC151" i="12"/>
  <c r="AC141" i="12"/>
  <c r="AE151" i="12"/>
  <c r="AE141" i="12"/>
  <c r="L152" i="12"/>
  <c r="L142" i="12"/>
  <c r="N152" i="12"/>
  <c r="N142" i="12"/>
  <c r="P152" i="12"/>
  <c r="P142" i="12"/>
  <c r="R152" i="12"/>
  <c r="R142" i="12"/>
  <c r="T152" i="12"/>
  <c r="T142" i="12"/>
  <c r="V152" i="12"/>
  <c r="V142" i="12"/>
  <c r="X152" i="12"/>
  <c r="X142" i="12"/>
  <c r="Z152" i="12"/>
  <c r="Z142" i="12"/>
  <c r="AB152" i="12"/>
  <c r="AB142" i="12"/>
  <c r="AD152" i="12"/>
  <c r="AD142" i="12"/>
  <c r="D32" i="12"/>
  <c r="D26" i="12" s="1"/>
  <c r="F34" i="12"/>
  <c r="D34" i="12"/>
  <c r="E31" i="12"/>
  <c r="F40" i="12"/>
  <c r="D40" i="12"/>
  <c r="D37" i="12" s="1"/>
  <c r="E37" i="12"/>
  <c r="AH37" i="12" s="1"/>
  <c r="F46" i="12"/>
  <c r="D46" i="12"/>
  <c r="D43" i="12" s="1"/>
  <c r="E43" i="12"/>
  <c r="AH43" i="12" s="1"/>
  <c r="B49" i="12"/>
  <c r="AG49" i="12" s="1"/>
  <c r="G52" i="12"/>
  <c r="H61" i="12"/>
  <c r="J61" i="12"/>
  <c r="L61" i="12"/>
  <c r="N61" i="12"/>
  <c r="P61" i="12"/>
  <c r="R61" i="12"/>
  <c r="T61" i="12"/>
  <c r="V61" i="12"/>
  <c r="X61" i="12"/>
  <c r="Z61" i="12"/>
  <c r="AB61" i="12"/>
  <c r="AD61" i="12"/>
  <c r="AG62" i="12"/>
  <c r="B64" i="12"/>
  <c r="B61" i="12" s="1"/>
  <c r="G65" i="12"/>
  <c r="AG70" i="12"/>
  <c r="G80" i="12"/>
  <c r="F88" i="12"/>
  <c r="D88" i="12"/>
  <c r="E85" i="12"/>
  <c r="AH85" i="12" s="1"/>
  <c r="F94" i="12"/>
  <c r="D94" i="12"/>
  <c r="D91" i="12" s="1"/>
  <c r="E91" i="12"/>
  <c r="AH91" i="12" s="1"/>
  <c r="F100" i="12"/>
  <c r="D100" i="12"/>
  <c r="E99" i="12"/>
  <c r="G102" i="12"/>
  <c r="G108" i="12"/>
  <c r="G116" i="12"/>
  <c r="G124" i="12"/>
  <c r="G130" i="12"/>
  <c r="G136" i="12"/>
  <c r="E152" i="12"/>
  <c r="J12" i="14"/>
  <c r="N12" i="14"/>
  <c r="R12" i="14"/>
  <c r="V12" i="14"/>
  <c r="Z12" i="14"/>
  <c r="AD12" i="14"/>
  <c r="E13" i="14"/>
  <c r="B14" i="14"/>
  <c r="E15" i="14"/>
  <c r="F16" i="14"/>
  <c r="G19" i="14"/>
  <c r="AG20" i="14"/>
  <c r="C18" i="14"/>
  <c r="G25" i="14"/>
  <c r="G27" i="14"/>
  <c r="I31" i="14"/>
  <c r="M31" i="14"/>
  <c r="Q31" i="14"/>
  <c r="U31" i="14"/>
  <c r="Y31" i="14"/>
  <c r="AC31" i="14"/>
  <c r="C32" i="14"/>
  <c r="H31" i="14"/>
  <c r="J362" i="14"/>
  <c r="J31" i="14"/>
  <c r="L31" i="14"/>
  <c r="N31" i="14"/>
  <c r="P31" i="14"/>
  <c r="R362" i="14"/>
  <c r="R31" i="14"/>
  <c r="T31" i="14"/>
  <c r="V362" i="14"/>
  <c r="V31" i="14"/>
  <c r="X31" i="14"/>
  <c r="Z362" i="14"/>
  <c r="Z31" i="14"/>
  <c r="AB31" i="14"/>
  <c r="AD362" i="14"/>
  <c r="AD31" i="14"/>
  <c r="K363" i="14"/>
  <c r="O363" i="14"/>
  <c r="S363" i="14"/>
  <c r="W363" i="14"/>
  <c r="AA363" i="14"/>
  <c r="AE363" i="14"/>
  <c r="E35" i="14"/>
  <c r="F39" i="14"/>
  <c r="D39" i="14"/>
  <c r="D37" i="14" s="1"/>
  <c r="B37" i="14"/>
  <c r="AG37" i="14" s="1"/>
  <c r="F40" i="14"/>
  <c r="G43" i="14"/>
  <c r="AG46" i="14"/>
  <c r="F52" i="14"/>
  <c r="H61" i="14"/>
  <c r="J61" i="14"/>
  <c r="L61" i="14"/>
  <c r="N61" i="14"/>
  <c r="P61" i="14"/>
  <c r="R61" i="14"/>
  <c r="T61" i="14"/>
  <c r="V61" i="14"/>
  <c r="X61" i="14"/>
  <c r="Z61" i="14"/>
  <c r="AB61" i="14"/>
  <c r="AD61" i="14"/>
  <c r="AG62" i="14"/>
  <c r="B64" i="14"/>
  <c r="D64" i="14"/>
  <c r="D61" i="14" s="1"/>
  <c r="G65" i="14"/>
  <c r="AG70" i="14"/>
  <c r="F76" i="14"/>
  <c r="K83" i="14"/>
  <c r="K79" i="14" s="1"/>
  <c r="O83" i="14"/>
  <c r="O365" i="14" s="1"/>
  <c r="S83" i="14"/>
  <c r="S79" i="14" s="1"/>
  <c r="W83" i="14"/>
  <c r="W365" i="14" s="1"/>
  <c r="AA83" i="14"/>
  <c r="AA79" i="14" s="1"/>
  <c r="AE83" i="14"/>
  <c r="AE365" i="14" s="1"/>
  <c r="C87" i="14"/>
  <c r="H85" i="14"/>
  <c r="J85" i="14"/>
  <c r="L85" i="14"/>
  <c r="N85" i="14"/>
  <c r="P85" i="14"/>
  <c r="R85" i="14"/>
  <c r="T85" i="14"/>
  <c r="V85" i="14"/>
  <c r="X85" i="14"/>
  <c r="Z85" i="14"/>
  <c r="AB85" i="14"/>
  <c r="AD85" i="14"/>
  <c r="AG94" i="14"/>
  <c r="F100" i="14"/>
  <c r="F105" i="14"/>
  <c r="D105" i="14"/>
  <c r="F106" i="14"/>
  <c r="F111" i="14"/>
  <c r="D109" i="14"/>
  <c r="F112" i="14"/>
  <c r="F117" i="14"/>
  <c r="D117" i="14"/>
  <c r="D115" i="14" s="1"/>
  <c r="F118" i="14"/>
  <c r="F123" i="14"/>
  <c r="D123" i="14"/>
  <c r="F124" i="14"/>
  <c r="H127" i="14"/>
  <c r="J127" i="14"/>
  <c r="L127" i="14"/>
  <c r="N127" i="14"/>
  <c r="P127" i="14"/>
  <c r="R127" i="14"/>
  <c r="T127" i="14"/>
  <c r="V127" i="14"/>
  <c r="X127" i="14"/>
  <c r="Z127" i="14"/>
  <c r="AB127" i="14"/>
  <c r="AD127" i="14"/>
  <c r="AG128" i="14"/>
  <c r="C129" i="14"/>
  <c r="B130" i="14"/>
  <c r="D130" i="14"/>
  <c r="D127" i="14" s="1"/>
  <c r="G131" i="14"/>
  <c r="AG143" i="14"/>
  <c r="F149" i="14"/>
  <c r="B151" i="14"/>
  <c r="B148" i="14" s="1"/>
  <c r="G152" i="14"/>
  <c r="G154" i="14"/>
  <c r="AG157" i="14"/>
  <c r="E163" i="14"/>
  <c r="B164" i="14"/>
  <c r="E165" i="14"/>
  <c r="G169" i="14"/>
  <c r="C168" i="14"/>
  <c r="G175" i="14"/>
  <c r="C177" i="14"/>
  <c r="F181" i="14"/>
  <c r="D175" i="14"/>
  <c r="F183" i="14"/>
  <c r="E180" i="14"/>
  <c r="B188" i="14"/>
  <c r="H187" i="14"/>
  <c r="J187" i="14"/>
  <c r="L187" i="14"/>
  <c r="N187" i="14"/>
  <c r="P187" i="14"/>
  <c r="R187" i="14"/>
  <c r="T187" i="14"/>
  <c r="V187" i="14"/>
  <c r="X187" i="14"/>
  <c r="Z187" i="14"/>
  <c r="AB187" i="14"/>
  <c r="AD187" i="14"/>
  <c r="B190" i="14"/>
  <c r="F195" i="14"/>
  <c r="D195" i="14"/>
  <c r="B193" i="14"/>
  <c r="AG193" i="14" s="1"/>
  <c r="F196" i="14"/>
  <c r="G201" i="14"/>
  <c r="AG202" i="14"/>
  <c r="B206" i="14"/>
  <c r="H205" i="14"/>
  <c r="J205" i="14"/>
  <c r="L205" i="14"/>
  <c r="N205" i="14"/>
  <c r="P205" i="14"/>
  <c r="R205" i="14"/>
  <c r="T205" i="14"/>
  <c r="V205" i="14"/>
  <c r="X205" i="14"/>
  <c r="Z205" i="14"/>
  <c r="AB205" i="14"/>
  <c r="AD205" i="14"/>
  <c r="F213" i="14"/>
  <c r="D213" i="14"/>
  <c r="B211" i="14"/>
  <c r="AG211" i="14" s="1"/>
  <c r="F214" i="14"/>
  <c r="G219" i="14"/>
  <c r="AG220" i="14"/>
  <c r="F225" i="14"/>
  <c r="D225" i="14"/>
  <c r="D223" i="14" s="1"/>
  <c r="B223" i="14"/>
  <c r="AG223" i="14" s="1"/>
  <c r="F226" i="14"/>
  <c r="G231" i="14"/>
  <c r="AG232" i="14"/>
  <c r="B236" i="14"/>
  <c r="H235" i="14"/>
  <c r="J235" i="14"/>
  <c r="L235" i="14"/>
  <c r="N235" i="14"/>
  <c r="P235" i="14"/>
  <c r="R235" i="14"/>
  <c r="T235" i="14"/>
  <c r="V235" i="14"/>
  <c r="X235" i="14"/>
  <c r="Z235" i="14"/>
  <c r="AB235" i="14"/>
  <c r="AD235" i="14"/>
  <c r="F243" i="14"/>
  <c r="D243" i="14"/>
  <c r="B241" i="14"/>
  <c r="F244" i="14"/>
  <c r="AG250" i="14"/>
  <c r="B247" i="14"/>
  <c r="AG247" i="14" s="1"/>
  <c r="F250" i="14"/>
  <c r="F259" i="14"/>
  <c r="F269" i="14"/>
  <c r="D269" i="14"/>
  <c r="G269" i="14"/>
  <c r="F271" i="14"/>
  <c r="D271" i="14"/>
  <c r="G271" i="14"/>
  <c r="H310" i="14"/>
  <c r="P310" i="14"/>
  <c r="X310" i="14"/>
  <c r="F318" i="14"/>
  <c r="B322" i="14"/>
  <c r="AG322" i="14" s="1"/>
  <c r="F323" i="14"/>
  <c r="D323" i="14"/>
  <c r="G323" i="14"/>
  <c r="F325" i="14"/>
  <c r="D325" i="14"/>
  <c r="E322" i="14"/>
  <c r="G325" i="14"/>
  <c r="F330" i="14"/>
  <c r="E335" i="14"/>
  <c r="B340" i="14"/>
  <c r="AG340" i="14" s="1"/>
  <c r="F341" i="14"/>
  <c r="D341" i="14"/>
  <c r="G341" i="14"/>
  <c r="F343" i="14"/>
  <c r="D343" i="14"/>
  <c r="E340" i="14"/>
  <c r="G343" i="14"/>
  <c r="F348" i="14"/>
  <c r="J352" i="14"/>
  <c r="J372" i="14" s="1"/>
  <c r="R352" i="14"/>
  <c r="R372" i="14" s="1"/>
  <c r="Z352" i="14"/>
  <c r="Z372" i="14" s="1"/>
  <c r="K353" i="14"/>
  <c r="K373" i="14" s="1"/>
  <c r="S353" i="14"/>
  <c r="S373" i="14" s="1"/>
  <c r="AA353" i="14"/>
  <c r="AA373" i="14" s="1"/>
  <c r="L354" i="14"/>
  <c r="L374" i="14" s="1"/>
  <c r="AB354" i="14"/>
  <c r="AB374" i="14" s="1"/>
  <c r="M355" i="14"/>
  <c r="M375" i="14" s="1"/>
  <c r="U355" i="14"/>
  <c r="U375" i="14" s="1"/>
  <c r="AC355" i="14"/>
  <c r="AC375" i="14" s="1"/>
  <c r="O357" i="14"/>
  <c r="W357" i="14"/>
  <c r="AE357" i="14"/>
  <c r="H358" i="14"/>
  <c r="P358" i="14"/>
  <c r="X358" i="14"/>
  <c r="I359" i="14"/>
  <c r="Q359" i="14"/>
  <c r="Y359" i="14"/>
  <c r="B360" i="14"/>
  <c r="J360" i="14"/>
  <c r="R360" i="14"/>
  <c r="Z360" i="14"/>
  <c r="L362" i="14"/>
  <c r="T362" i="14"/>
  <c r="AB362" i="14"/>
  <c r="B112" i="17"/>
  <c r="B12" i="17"/>
  <c r="AG12" i="17" s="1"/>
  <c r="AG13" i="17"/>
  <c r="F13" i="17"/>
  <c r="B114" i="17"/>
  <c r="AG114" i="17" s="1"/>
  <c r="AG15" i="17"/>
  <c r="D114" i="17"/>
  <c r="F15" i="17"/>
  <c r="E18" i="17"/>
  <c r="F22" i="17"/>
  <c r="D22" i="17"/>
  <c r="G22" i="17"/>
  <c r="G33" i="17"/>
  <c r="F40" i="17"/>
  <c r="D40" i="17"/>
  <c r="E39" i="17"/>
  <c r="G40" i="17"/>
  <c r="E360" i="14"/>
  <c r="G16" i="14"/>
  <c r="AG19" i="14"/>
  <c r="G20" i="14"/>
  <c r="AG21" i="14"/>
  <c r="G28" i="14"/>
  <c r="K362" i="14"/>
  <c r="M362" i="14"/>
  <c r="O362" i="14"/>
  <c r="Q362" i="14"/>
  <c r="S362" i="14"/>
  <c r="U362" i="14"/>
  <c r="W362" i="14"/>
  <c r="Y362" i="14"/>
  <c r="AA362" i="14"/>
  <c r="AC362" i="14"/>
  <c r="AE362" i="14"/>
  <c r="J363" i="14"/>
  <c r="L363" i="14"/>
  <c r="P363" i="14"/>
  <c r="R363" i="14"/>
  <c r="T363" i="14"/>
  <c r="V363" i="14"/>
  <c r="X363" i="14"/>
  <c r="Z363" i="14"/>
  <c r="AB363" i="14"/>
  <c r="K364" i="14"/>
  <c r="M364" i="14"/>
  <c r="O364" i="14"/>
  <c r="Q364" i="14"/>
  <c r="S364" i="14"/>
  <c r="W364" i="14"/>
  <c r="Y364" i="14"/>
  <c r="AA364" i="14"/>
  <c r="AC364" i="14"/>
  <c r="AE364" i="14"/>
  <c r="H365" i="14"/>
  <c r="L365" i="14"/>
  <c r="P365" i="14"/>
  <c r="T365" i="14"/>
  <c r="X365" i="14"/>
  <c r="AB365" i="14"/>
  <c r="F262" i="14"/>
  <c r="D262" i="14"/>
  <c r="E261" i="14"/>
  <c r="F264" i="14"/>
  <c r="I274" i="14"/>
  <c r="K274" i="14"/>
  <c r="M274" i="14"/>
  <c r="O274" i="14"/>
  <c r="Q274" i="14"/>
  <c r="S274" i="14"/>
  <c r="U274" i="14"/>
  <c r="W274" i="14"/>
  <c r="Y274" i="14"/>
  <c r="AA274" i="14"/>
  <c r="AC274" i="14"/>
  <c r="AE274" i="14"/>
  <c r="F281" i="14"/>
  <c r="D281" i="14"/>
  <c r="F283" i="14"/>
  <c r="E280" i="14"/>
  <c r="F287" i="14"/>
  <c r="D287" i="14"/>
  <c r="F289" i="14"/>
  <c r="D289" i="14"/>
  <c r="E286" i="14"/>
  <c r="F293" i="14"/>
  <c r="D293" i="14"/>
  <c r="F295" i="14"/>
  <c r="D295" i="14"/>
  <c r="E292" i="14"/>
  <c r="F305" i="14"/>
  <c r="D305" i="14"/>
  <c r="F307" i="14"/>
  <c r="D307" i="14"/>
  <c r="E304" i="14"/>
  <c r="I310" i="14"/>
  <c r="K310" i="14"/>
  <c r="M310" i="14"/>
  <c r="O310" i="14"/>
  <c r="Q310" i="14"/>
  <c r="S310" i="14"/>
  <c r="U310" i="14"/>
  <c r="W310" i="14"/>
  <c r="Y310" i="14"/>
  <c r="AA310" i="14"/>
  <c r="AC310" i="14"/>
  <c r="AE310" i="14"/>
  <c r="C316" i="14"/>
  <c r="C322" i="14"/>
  <c r="C328" i="14"/>
  <c r="C340" i="14"/>
  <c r="C346" i="14"/>
  <c r="L352" i="14"/>
  <c r="L372" i="14" s="1"/>
  <c r="P352" i="14"/>
  <c r="P372" i="14" s="1"/>
  <c r="T352" i="14"/>
  <c r="T372" i="14" s="1"/>
  <c r="X352" i="14"/>
  <c r="X372" i="14" s="1"/>
  <c r="AB352" i="14"/>
  <c r="AB372" i="14" s="1"/>
  <c r="M353" i="14"/>
  <c r="M373" i="14" s="1"/>
  <c r="Q353" i="14"/>
  <c r="Q373" i="14" s="1"/>
  <c r="U353" i="14"/>
  <c r="U373" i="14" s="1"/>
  <c r="Y353" i="14"/>
  <c r="Y373" i="14" s="1"/>
  <c r="AC353" i="14"/>
  <c r="AC373" i="14" s="1"/>
  <c r="J354" i="14"/>
  <c r="J374" i="14" s="1"/>
  <c r="N354" i="14"/>
  <c r="N374" i="14" s="1"/>
  <c r="R354" i="14"/>
  <c r="R374" i="14" s="1"/>
  <c r="V354" i="14"/>
  <c r="V374" i="14" s="1"/>
  <c r="Z354" i="14"/>
  <c r="Z374" i="14" s="1"/>
  <c r="C23" i="15"/>
  <c r="AH23" i="15" s="1"/>
  <c r="C28" i="15"/>
  <c r="AH28" i="15" s="1"/>
  <c r="C29" i="15"/>
  <c r="C24" i="15"/>
  <c r="AH24" i="15" s="1"/>
  <c r="C25" i="15"/>
  <c r="E25" i="15"/>
  <c r="E10" i="15"/>
  <c r="D23" i="15"/>
  <c r="D17" i="15"/>
  <c r="D16" i="15" s="1"/>
  <c r="AG20" i="15"/>
  <c r="B23" i="15"/>
  <c r="AG25" i="15"/>
  <c r="C26" i="15"/>
  <c r="AH26" i="15" s="1"/>
  <c r="E113" i="17"/>
  <c r="F14" i="17"/>
  <c r="D14" i="17"/>
  <c r="G14" i="17"/>
  <c r="E115" i="17"/>
  <c r="F16" i="17"/>
  <c r="D16" i="17"/>
  <c r="G16" i="17"/>
  <c r="B18" i="17"/>
  <c r="AG18" i="17" s="1"/>
  <c r="AG19" i="17"/>
  <c r="F19" i="17"/>
  <c r="F21" i="17"/>
  <c r="F26" i="17"/>
  <c r="D26" i="17"/>
  <c r="E25" i="17"/>
  <c r="G26" i="17"/>
  <c r="F28" i="17"/>
  <c r="D28" i="17"/>
  <c r="G28" i="17"/>
  <c r="F41" i="17"/>
  <c r="F44" i="17"/>
  <c r="C46" i="17"/>
  <c r="G47" i="17"/>
  <c r="F62" i="17"/>
  <c r="D62" i="17"/>
  <c r="E61" i="17"/>
  <c r="G62" i="17"/>
  <c r="D75" i="17"/>
  <c r="E74" i="17"/>
  <c r="F77" i="17"/>
  <c r="D77" i="17"/>
  <c r="AG78" i="17"/>
  <c r="AG90" i="17"/>
  <c r="AG96" i="17"/>
  <c r="AG102" i="17"/>
  <c r="J123" i="17"/>
  <c r="J105" i="17"/>
  <c r="L105" i="17"/>
  <c r="L122" i="17" s="1"/>
  <c r="L123" i="17"/>
  <c r="N123" i="17"/>
  <c r="N105" i="17"/>
  <c r="R123" i="17"/>
  <c r="R105" i="17"/>
  <c r="T105" i="17"/>
  <c r="T122" i="17" s="1"/>
  <c r="T123" i="17"/>
  <c r="V123" i="17"/>
  <c r="V105" i="17"/>
  <c r="Z123" i="17"/>
  <c r="Z105" i="17"/>
  <c r="AB105" i="17"/>
  <c r="AB123" i="17"/>
  <c r="AD123" i="17"/>
  <c r="AD105" i="17"/>
  <c r="AG117" i="17"/>
  <c r="H123" i="17"/>
  <c r="X123" i="17"/>
  <c r="B28" i="15"/>
  <c r="D28" i="15"/>
  <c r="B26" i="15"/>
  <c r="AG26" i="15" s="1"/>
  <c r="AG15" i="15"/>
  <c r="D31" i="15"/>
  <c r="C113" i="17"/>
  <c r="C25" i="17"/>
  <c r="F33" i="17"/>
  <c r="D33" i="17"/>
  <c r="E32" i="17"/>
  <c r="F35" i="17"/>
  <c r="D35" i="17"/>
  <c r="F47" i="17"/>
  <c r="D47" i="17"/>
  <c r="E46" i="17"/>
  <c r="F49" i="17"/>
  <c r="D49" i="17"/>
  <c r="C61" i="17"/>
  <c r="F64" i="17"/>
  <c r="D64" i="17"/>
  <c r="D69" i="17"/>
  <c r="E68" i="17"/>
  <c r="F71" i="17"/>
  <c r="D71" i="17"/>
  <c r="G77" i="17"/>
  <c r="D81" i="17"/>
  <c r="E80" i="17"/>
  <c r="F83" i="17"/>
  <c r="D83" i="17"/>
  <c r="D89" i="17"/>
  <c r="E88" i="17"/>
  <c r="F91" i="17"/>
  <c r="D91" i="17"/>
  <c r="D95" i="17"/>
  <c r="E94" i="17"/>
  <c r="F97" i="17"/>
  <c r="D97" i="17"/>
  <c r="D101" i="17"/>
  <c r="E100" i="17"/>
  <c r="M126" i="17"/>
  <c r="M105" i="17"/>
  <c r="U126" i="17"/>
  <c r="U105" i="17"/>
  <c r="AC126" i="17"/>
  <c r="AC105" i="17"/>
  <c r="P123" i="17"/>
  <c r="I126" i="17"/>
  <c r="Y126" i="17"/>
  <c r="AG14" i="15"/>
  <c r="G13" i="17"/>
  <c r="AG14" i="17"/>
  <c r="G15" i="17"/>
  <c r="AG16" i="17"/>
  <c r="G27" i="17"/>
  <c r="AG28" i="17"/>
  <c r="G30" i="17"/>
  <c r="F103" i="17"/>
  <c r="D103" i="17"/>
  <c r="C112" i="17"/>
  <c r="I111" i="17"/>
  <c r="K111" i="17"/>
  <c r="K122" i="17" s="1"/>
  <c r="M111" i="17"/>
  <c r="O111" i="17"/>
  <c r="O122" i="17" s="1"/>
  <c r="Q111" i="17"/>
  <c r="S111" i="17"/>
  <c r="S122" i="17" s="1"/>
  <c r="U111" i="17"/>
  <c r="W111" i="17"/>
  <c r="W122" i="17" s="1"/>
  <c r="Y111" i="17"/>
  <c r="AA111" i="17"/>
  <c r="AA122" i="17" s="1"/>
  <c r="AC111" i="17"/>
  <c r="AE111" i="17"/>
  <c r="AE122" i="17" s="1"/>
  <c r="E114" i="17"/>
  <c r="B115" i="17"/>
  <c r="AG115" i="17" s="1"/>
  <c r="I123" i="17"/>
  <c r="K123" i="17"/>
  <c r="M123" i="17"/>
  <c r="O123" i="17"/>
  <c r="Q123" i="17"/>
  <c r="S123" i="17"/>
  <c r="U123" i="17"/>
  <c r="W123" i="17"/>
  <c r="Y123" i="17"/>
  <c r="AA123" i="17"/>
  <c r="AC123" i="17"/>
  <c r="AE123" i="17"/>
  <c r="H124" i="17"/>
  <c r="J124" i="17"/>
  <c r="L124" i="17"/>
  <c r="N124" i="17"/>
  <c r="P124" i="17"/>
  <c r="R124" i="17"/>
  <c r="T124" i="17"/>
  <c r="V124" i="17"/>
  <c r="X124" i="17"/>
  <c r="Z124" i="17"/>
  <c r="AB124" i="17"/>
  <c r="AD124" i="17"/>
  <c r="I125" i="17"/>
  <c r="K125" i="17"/>
  <c r="M125" i="17"/>
  <c r="O125" i="17"/>
  <c r="Q125" i="17"/>
  <c r="S125" i="17"/>
  <c r="U125" i="17"/>
  <c r="W125" i="17"/>
  <c r="Y125" i="17"/>
  <c r="AA125" i="17"/>
  <c r="AC125" i="17"/>
  <c r="AE125" i="17"/>
  <c r="H126" i="17"/>
  <c r="J126" i="17"/>
  <c r="L126" i="17"/>
  <c r="N126" i="17"/>
  <c r="P126" i="17"/>
  <c r="R126" i="17"/>
  <c r="T126" i="17"/>
  <c r="V126" i="17"/>
  <c r="X126" i="17"/>
  <c r="Z126" i="17"/>
  <c r="AB126" i="17"/>
  <c r="AD126" i="17"/>
  <c r="O93" i="11" l="1"/>
  <c r="C46" i="11"/>
  <c r="C45" i="11" s="1"/>
  <c r="B46" i="11"/>
  <c r="B45" i="11" s="1"/>
  <c r="C258" i="8"/>
  <c r="S93" i="11"/>
  <c r="C370" i="14"/>
  <c r="C375" i="14"/>
  <c r="C357" i="14"/>
  <c r="T294" i="8"/>
  <c r="C66" i="11"/>
  <c r="E96" i="11"/>
  <c r="F108" i="17"/>
  <c r="N45" i="11"/>
  <c r="F69" i="11"/>
  <c r="F66" i="11" s="1"/>
  <c r="D176" i="8"/>
  <c r="F117" i="17"/>
  <c r="E145" i="8"/>
  <c r="F148" i="8"/>
  <c r="G148" i="8"/>
  <c r="F176" i="8"/>
  <c r="G176" i="8"/>
  <c r="D73" i="11"/>
  <c r="D72" i="11" s="1"/>
  <c r="D49" i="11"/>
  <c r="E102" i="11"/>
  <c r="E99" i="11" s="1"/>
  <c r="G76" i="12"/>
  <c r="D64" i="12"/>
  <c r="D61" i="12" s="1"/>
  <c r="I99" i="11"/>
  <c r="D117" i="17"/>
  <c r="N362" i="14"/>
  <c r="G151" i="14"/>
  <c r="C310" i="14"/>
  <c r="U354" i="14"/>
  <c r="U374" i="14" s="1"/>
  <c r="L296" i="8"/>
  <c r="D118" i="17"/>
  <c r="C105" i="17"/>
  <c r="G119" i="17"/>
  <c r="D119" i="17"/>
  <c r="F118" i="17"/>
  <c r="G118" i="17"/>
  <c r="E116" i="17"/>
  <c r="E105" i="17"/>
  <c r="D66" i="11"/>
  <c r="D65" i="11" s="1"/>
  <c r="C274" i="14"/>
  <c r="N363" i="14"/>
  <c r="N368" i="14" s="1"/>
  <c r="G91" i="14"/>
  <c r="AG26" i="8"/>
  <c r="G80" i="11"/>
  <c r="AG35" i="14"/>
  <c r="C301" i="14"/>
  <c r="C354" i="14" s="1"/>
  <c r="C374" i="14" s="1"/>
  <c r="C300" i="14"/>
  <c r="C299" i="14"/>
  <c r="C352" i="14" s="1"/>
  <c r="C372" i="14" s="1"/>
  <c r="B28" i="8"/>
  <c r="B25" i="8" s="1"/>
  <c r="C359" i="14"/>
  <c r="G115" i="14"/>
  <c r="H375" i="14"/>
  <c r="E353" i="14"/>
  <c r="E373" i="14" s="1"/>
  <c r="G63" i="12"/>
  <c r="G62" i="12"/>
  <c r="F76" i="12"/>
  <c r="C37" i="11"/>
  <c r="C72" i="11"/>
  <c r="AI10" i="12"/>
  <c r="C51" i="11"/>
  <c r="C31" i="11"/>
  <c r="AH49" i="12"/>
  <c r="C79" i="12"/>
  <c r="AH79" i="12" s="1"/>
  <c r="AH82" i="12"/>
  <c r="AH133" i="12"/>
  <c r="AH12" i="12"/>
  <c r="AH64" i="12"/>
  <c r="AH127" i="12"/>
  <c r="AH67" i="12"/>
  <c r="C61" i="12"/>
  <c r="AH61" i="12" s="1"/>
  <c r="AH121" i="12"/>
  <c r="AH99" i="12"/>
  <c r="F112" i="17"/>
  <c r="AE356" i="14"/>
  <c r="S302" i="8"/>
  <c r="U296" i="8"/>
  <c r="H354" i="14"/>
  <c r="H374" i="14" s="1"/>
  <c r="R122" i="17"/>
  <c r="AG33" i="9"/>
  <c r="U364" i="14"/>
  <c r="M296" i="8"/>
  <c r="G81" i="9"/>
  <c r="AB294" i="8"/>
  <c r="L294" i="8"/>
  <c r="U127" i="8"/>
  <c r="U124" i="8" s="1"/>
  <c r="G94" i="8"/>
  <c r="K302" i="8"/>
  <c r="D313" i="14"/>
  <c r="E289" i="8"/>
  <c r="E286" i="8" s="1"/>
  <c r="U294" i="8"/>
  <c r="G217" i="14"/>
  <c r="K355" i="14"/>
  <c r="K375" i="14" s="1"/>
  <c r="D31" i="8"/>
  <c r="AB122" i="17"/>
  <c r="H363" i="14"/>
  <c r="X294" i="8"/>
  <c r="P294" i="8"/>
  <c r="H294" i="8"/>
  <c r="Q294" i="8"/>
  <c r="G229" i="14"/>
  <c r="G49" i="11"/>
  <c r="AE296" i="8"/>
  <c r="W296" i="8"/>
  <c r="O296" i="8"/>
  <c r="H364" i="14"/>
  <c r="C12" i="14"/>
  <c r="B80" i="9"/>
  <c r="B91" i="9" s="1"/>
  <c r="M294" i="8"/>
  <c r="AD294" i="8"/>
  <c r="O294" i="8"/>
  <c r="V286" i="8"/>
  <c r="AB293" i="8"/>
  <c r="B301" i="14"/>
  <c r="AG301" i="14" s="1"/>
  <c r="G109" i="14"/>
  <c r="F283" i="8"/>
  <c r="C279" i="8"/>
  <c r="C296" i="8" s="1"/>
  <c r="N291" i="8"/>
  <c r="H291" i="8" s="1"/>
  <c r="G275" i="14"/>
  <c r="AD156" i="12"/>
  <c r="AG67" i="9"/>
  <c r="AG62" i="9"/>
  <c r="G194" i="8"/>
  <c r="E290" i="8"/>
  <c r="G290" i="8" s="1"/>
  <c r="G244" i="8"/>
  <c r="G12" i="17"/>
  <c r="G108" i="17"/>
  <c r="G14" i="14"/>
  <c r="G261" i="8"/>
  <c r="V293" i="8"/>
  <c r="G337" i="14"/>
  <c r="I122" i="17"/>
  <c r="C125" i="17"/>
  <c r="AD122" i="17"/>
  <c r="N122" i="17"/>
  <c r="E334" i="14"/>
  <c r="D151" i="14"/>
  <c r="D148" i="14" s="1"/>
  <c r="D83" i="9"/>
  <c r="D94" i="9" s="1"/>
  <c r="S296" i="8"/>
  <c r="C83" i="9"/>
  <c r="C94" i="9" s="1"/>
  <c r="N278" i="8"/>
  <c r="N295" i="8" s="1"/>
  <c r="G223" i="8"/>
  <c r="G28" i="8"/>
  <c r="H87" i="9"/>
  <c r="H84" i="9" s="1"/>
  <c r="AE302" i="8"/>
  <c r="U276" i="8"/>
  <c r="U301" i="8" s="1"/>
  <c r="R302" i="8"/>
  <c r="N294" i="8"/>
  <c r="W294" i="8"/>
  <c r="AG240" i="8"/>
  <c r="I363" i="14"/>
  <c r="I361" i="14" s="1"/>
  <c r="G24" i="11"/>
  <c r="G15" i="11" s="1"/>
  <c r="G12" i="11" s="1"/>
  <c r="G193" i="14"/>
  <c r="F106" i="17"/>
  <c r="D346" i="14"/>
  <c r="P293" i="8"/>
  <c r="Y122" i="17"/>
  <c r="Z122" i="17"/>
  <c r="L25" i="12"/>
  <c r="AG34" i="9"/>
  <c r="AC296" i="8"/>
  <c r="Y296" i="8"/>
  <c r="Q296" i="8"/>
  <c r="I296" i="8"/>
  <c r="Y162" i="12"/>
  <c r="D85" i="9"/>
  <c r="AG68" i="9"/>
  <c r="Y302" i="8"/>
  <c r="I302" i="8"/>
  <c r="G206" i="8"/>
  <c r="G70" i="8"/>
  <c r="Q278" i="8"/>
  <c r="Q295" i="8" s="1"/>
  <c r="Z302" i="8"/>
  <c r="J302" i="8"/>
  <c r="V294" i="8"/>
  <c r="H353" i="14"/>
  <c r="H373" i="14" s="1"/>
  <c r="D39" i="17"/>
  <c r="AD372" i="14"/>
  <c r="E301" i="14"/>
  <c r="D301" i="14" s="1"/>
  <c r="AD369" i="14"/>
  <c r="AD374" i="14"/>
  <c r="B299" i="14"/>
  <c r="AG299" i="14" s="1"/>
  <c r="H362" i="14"/>
  <c r="H352" i="14"/>
  <c r="H372" i="14" s="1"/>
  <c r="H298" i="14"/>
  <c r="F175" i="14"/>
  <c r="Z156" i="12"/>
  <c r="G67" i="12"/>
  <c r="L141" i="12"/>
  <c r="L161" i="12" s="1"/>
  <c r="Z84" i="9"/>
  <c r="R84" i="9"/>
  <c r="J84" i="9"/>
  <c r="G267" i="14"/>
  <c r="Z276" i="8"/>
  <c r="Q84" i="9"/>
  <c r="B127" i="8"/>
  <c r="F127" i="8" s="1"/>
  <c r="T293" i="8"/>
  <c r="D337" i="14"/>
  <c r="L293" i="8"/>
  <c r="L286" i="8"/>
  <c r="G82" i="8"/>
  <c r="F244" i="8"/>
  <c r="F238" i="8"/>
  <c r="G312" i="14"/>
  <c r="G278" i="14"/>
  <c r="G240" i="8"/>
  <c r="AG261" i="8"/>
  <c r="B300" i="14"/>
  <c r="AG300" i="14" s="1"/>
  <c r="AB353" i="14"/>
  <c r="AB373" i="14" s="1"/>
  <c r="B85" i="14"/>
  <c r="AG85" i="14" s="1"/>
  <c r="F240" i="8"/>
  <c r="I354" i="14"/>
  <c r="I374" i="14" s="1"/>
  <c r="G110" i="17"/>
  <c r="F110" i="17"/>
  <c r="AA84" i="9"/>
  <c r="S84" i="9"/>
  <c r="D88" i="14"/>
  <c r="F267" i="14"/>
  <c r="AG56" i="9"/>
  <c r="AG55" i="9"/>
  <c r="J93" i="11"/>
  <c r="X84" i="9"/>
  <c r="N84" i="9"/>
  <c r="Y278" i="8"/>
  <c r="Y303" i="8" s="1"/>
  <c r="F261" i="8"/>
  <c r="C126" i="17"/>
  <c r="G12" i="8"/>
  <c r="AG44" i="9"/>
  <c r="AG43" i="9"/>
  <c r="Y295" i="8"/>
  <c r="AC84" i="9"/>
  <c r="M84" i="9"/>
  <c r="F91" i="14"/>
  <c r="G86" i="14"/>
  <c r="F313" i="14"/>
  <c r="D328" i="14"/>
  <c r="I353" i="14"/>
  <c r="I373" i="14" s="1"/>
  <c r="R365" i="14"/>
  <c r="R361" i="14" s="1"/>
  <c r="D335" i="14"/>
  <c r="D18" i="14"/>
  <c r="G223" i="14"/>
  <c r="Z365" i="14"/>
  <c r="Z361" i="14" s="1"/>
  <c r="E310" i="14"/>
  <c r="G211" i="14"/>
  <c r="C205" i="14"/>
  <c r="G208" i="14"/>
  <c r="L356" i="14"/>
  <c r="G199" i="14"/>
  <c r="C334" i="14"/>
  <c r="E85" i="14"/>
  <c r="G247" i="14"/>
  <c r="F337" i="14"/>
  <c r="G276" i="14"/>
  <c r="F278" i="14"/>
  <c r="F177" i="14"/>
  <c r="E358" i="14"/>
  <c r="G358" i="14" s="1"/>
  <c r="G176" i="14"/>
  <c r="B174" i="14"/>
  <c r="F174" i="14" s="1"/>
  <c r="W355" i="14"/>
  <c r="W375" i="14" s="1"/>
  <c r="F256" i="14"/>
  <c r="F176" i="14"/>
  <c r="U79" i="14"/>
  <c r="AB358" i="14"/>
  <c r="AB356" i="14" s="1"/>
  <c r="S356" i="14"/>
  <c r="X356" i="14"/>
  <c r="W356" i="14"/>
  <c r="C363" i="14"/>
  <c r="T356" i="14"/>
  <c r="P356" i="14"/>
  <c r="H356" i="14"/>
  <c r="G32" i="14"/>
  <c r="F88" i="14"/>
  <c r="F33" i="14"/>
  <c r="G148" i="14"/>
  <c r="C187" i="14"/>
  <c r="B357" i="14"/>
  <c r="AG357" i="14" s="1"/>
  <c r="E255" i="14"/>
  <c r="G255" i="14" s="1"/>
  <c r="G81" i="14"/>
  <c r="G190" i="14"/>
  <c r="AA355" i="14"/>
  <c r="AG148" i="14"/>
  <c r="E205" i="14"/>
  <c r="T368" i="14"/>
  <c r="G130" i="14"/>
  <c r="E187" i="14"/>
  <c r="K84" i="9"/>
  <c r="Y84" i="9"/>
  <c r="U84" i="9"/>
  <c r="J296" i="8"/>
  <c r="J304" i="8"/>
  <c r="S355" i="14"/>
  <c r="P286" i="8"/>
  <c r="I124" i="8"/>
  <c r="I278" i="8"/>
  <c r="I303" i="8" s="1"/>
  <c r="G18" i="8"/>
  <c r="AG133" i="8"/>
  <c r="AG275" i="14"/>
  <c r="B274" i="14"/>
  <c r="AG274" i="14" s="1"/>
  <c r="AG311" i="14"/>
  <c r="B310" i="14"/>
  <c r="AG310" i="14" s="1"/>
  <c r="AG17" i="15"/>
  <c r="D22" i="15"/>
  <c r="D27" i="15" s="1"/>
  <c r="AE355" i="14"/>
  <c r="AE351" i="14" s="1"/>
  <c r="O355" i="14"/>
  <c r="L368" i="14"/>
  <c r="AG13" i="14"/>
  <c r="AA356" i="14"/>
  <c r="AD298" i="14"/>
  <c r="AD365" i="14"/>
  <c r="AD361" i="14" s="1"/>
  <c r="V298" i="14"/>
  <c r="V365" i="14"/>
  <c r="V361" i="14" s="1"/>
  <c r="N298" i="14"/>
  <c r="N365" i="14"/>
  <c r="B88" i="9"/>
  <c r="AG88" i="9" s="1"/>
  <c r="B83" i="9"/>
  <c r="B94" i="9" s="1"/>
  <c r="AC294" i="8"/>
  <c r="X286" i="8"/>
  <c r="E258" i="8"/>
  <c r="F258" i="8" s="1"/>
  <c r="F82" i="12"/>
  <c r="S124" i="8"/>
  <c r="S278" i="8"/>
  <c r="S295" i="8" s="1"/>
  <c r="F275" i="14"/>
  <c r="D32" i="14"/>
  <c r="F32" i="14"/>
  <c r="J291" i="8"/>
  <c r="L291" i="8"/>
  <c r="H293" i="8"/>
  <c r="V124" i="8"/>
  <c r="V278" i="8"/>
  <c r="V295" i="8" s="1"/>
  <c r="D107" i="17"/>
  <c r="I84" i="9"/>
  <c r="G277" i="14"/>
  <c r="F277" i="14"/>
  <c r="C30" i="15"/>
  <c r="AH25" i="15"/>
  <c r="C353" i="14"/>
  <c r="C373" i="14" s="1"/>
  <c r="T84" i="9"/>
  <c r="E182" i="8"/>
  <c r="F185" i="8"/>
  <c r="D80" i="14"/>
  <c r="F80" i="14"/>
  <c r="X293" i="8"/>
  <c r="AG223" i="8"/>
  <c r="B220" i="8"/>
  <c r="AG220" i="8" s="1"/>
  <c r="Q122" i="17"/>
  <c r="G29" i="15"/>
  <c r="AH29" i="15"/>
  <c r="O356" i="14"/>
  <c r="G33" i="14"/>
  <c r="B79" i="12"/>
  <c r="AG79" i="12" s="1"/>
  <c r="AA296" i="8"/>
  <c r="K296" i="8"/>
  <c r="F276" i="14"/>
  <c r="G92" i="9"/>
  <c r="AG61" i="9"/>
  <c r="F223" i="8"/>
  <c r="C16" i="15"/>
  <c r="AH16" i="15" s="1"/>
  <c r="AH17" i="15"/>
  <c r="F29" i="15"/>
  <c r="AG29" i="15"/>
  <c r="X301" i="8"/>
  <c r="G61" i="14"/>
  <c r="N296" i="8"/>
  <c r="N304" i="8"/>
  <c r="E82" i="9"/>
  <c r="E93" i="9" s="1"/>
  <c r="E87" i="9"/>
  <c r="E84" i="9" s="1"/>
  <c r="Z278" i="8"/>
  <c r="Z295" i="8" s="1"/>
  <c r="AC276" i="8"/>
  <c r="AC301" i="8" s="1"/>
  <c r="AC127" i="8"/>
  <c r="AC124" i="8" s="1"/>
  <c r="F238" i="14"/>
  <c r="E235" i="14"/>
  <c r="V84" i="9"/>
  <c r="P84" i="9"/>
  <c r="H286" i="8"/>
  <c r="AA295" i="8"/>
  <c r="AB296" i="8"/>
  <c r="D112" i="17"/>
  <c r="D106" i="17"/>
  <c r="G64" i="8"/>
  <c r="V122" i="17"/>
  <c r="D110" i="17"/>
  <c r="D286" i="14"/>
  <c r="D121" i="14"/>
  <c r="K356" i="14"/>
  <c r="V156" i="12"/>
  <c r="AB84" i="9"/>
  <c r="L84" i="9"/>
  <c r="AB286" i="8"/>
  <c r="X296" i="8"/>
  <c r="T296" i="8"/>
  <c r="AG149" i="8"/>
  <c r="C235" i="14"/>
  <c r="F34" i="14"/>
  <c r="B66" i="11"/>
  <c r="B65" i="11" s="1"/>
  <c r="G241" i="14"/>
  <c r="G106" i="17"/>
  <c r="F107" i="17"/>
  <c r="G107" i="17"/>
  <c r="D108" i="17"/>
  <c r="J122" i="17"/>
  <c r="D18" i="17"/>
  <c r="B116" i="17"/>
  <c r="AG116" i="17" s="1"/>
  <c r="F12" i="17"/>
  <c r="D99" i="12"/>
  <c r="F312" i="14"/>
  <c r="D277" i="14"/>
  <c r="D274" i="14" s="1"/>
  <c r="E274" i="14"/>
  <c r="V296" i="8"/>
  <c r="V304" i="8"/>
  <c r="G121" i="14"/>
  <c r="G88" i="14"/>
  <c r="G58" i="11"/>
  <c r="G57" i="11" s="1"/>
  <c r="E57" i="11"/>
  <c r="K295" i="8"/>
  <c r="C85" i="14"/>
  <c r="AG87" i="14"/>
  <c r="F87" i="14"/>
  <c r="G34" i="14"/>
  <c r="G37" i="14"/>
  <c r="G238" i="14"/>
  <c r="B359" i="14"/>
  <c r="AG359" i="14" s="1"/>
  <c r="F258" i="14"/>
  <c r="E363" i="14"/>
  <c r="F81" i="14"/>
  <c r="B79" i="14"/>
  <c r="AG79" i="14" s="1"/>
  <c r="G67" i="14"/>
  <c r="G64" i="14"/>
  <c r="B31" i="14"/>
  <c r="AG31" i="14" s="1"/>
  <c r="AD301" i="8"/>
  <c r="AD293" i="8"/>
  <c r="AD296" i="8"/>
  <c r="AD304" i="8"/>
  <c r="R296" i="8"/>
  <c r="R304" i="8"/>
  <c r="D82" i="14"/>
  <c r="E79" i="14"/>
  <c r="G82" i="14"/>
  <c r="F82" i="14"/>
  <c r="Z296" i="8"/>
  <c r="Z304" i="8"/>
  <c r="AG23" i="15"/>
  <c r="B22" i="15"/>
  <c r="B27" i="15" s="1"/>
  <c r="AG27" i="15" s="1"/>
  <c r="AD127" i="8"/>
  <c r="E22" i="15"/>
  <c r="E27" i="15" s="1"/>
  <c r="F25" i="15"/>
  <c r="G25" i="15"/>
  <c r="G30" i="15" s="1"/>
  <c r="E30" i="15"/>
  <c r="D322" i="14"/>
  <c r="D112" i="8"/>
  <c r="D292" i="14"/>
  <c r="P368" i="14"/>
  <c r="D57" i="8"/>
  <c r="N276" i="8"/>
  <c r="G64" i="12"/>
  <c r="G67" i="8"/>
  <c r="AG31" i="15"/>
  <c r="AG11" i="15"/>
  <c r="R293" i="8"/>
  <c r="R301" i="8"/>
  <c r="J301" i="8"/>
  <c r="J293" i="8"/>
  <c r="E51" i="11"/>
  <c r="G52" i="11"/>
  <c r="R127" i="8"/>
  <c r="F49" i="11"/>
  <c r="F46" i="11" s="1"/>
  <c r="F45" i="11" s="1"/>
  <c r="J127" i="8"/>
  <c r="E72" i="11"/>
  <c r="G73" i="11"/>
  <c r="AE84" i="9"/>
  <c r="W84" i="9"/>
  <c r="O84" i="9"/>
  <c r="G66" i="11"/>
  <c r="G46" i="11"/>
  <c r="G147" i="18"/>
  <c r="C294" i="8"/>
  <c r="D280" i="14"/>
  <c r="D304" i="14"/>
  <c r="D68" i="17"/>
  <c r="D32" i="17"/>
  <c r="D74" i="17"/>
  <c r="D12" i="17"/>
  <c r="Y369" i="14"/>
  <c r="Q369" i="14"/>
  <c r="D267" i="14"/>
  <c r="AG241" i="14"/>
  <c r="F241" i="14"/>
  <c r="AC369" i="14"/>
  <c r="M369" i="14"/>
  <c r="C79" i="14"/>
  <c r="G80" i="14"/>
  <c r="D133" i="12"/>
  <c r="D127" i="12"/>
  <c r="D121" i="12"/>
  <c r="B51" i="11"/>
  <c r="R99" i="11"/>
  <c r="J99" i="11"/>
  <c r="AC286" i="8"/>
  <c r="U286" i="8"/>
  <c r="AG206" i="8"/>
  <c r="D18" i="8"/>
  <c r="AG290" i="8"/>
  <c r="D118" i="8"/>
  <c r="AG121" i="14"/>
  <c r="F121" i="14"/>
  <c r="AG115" i="14"/>
  <c r="F115" i="14"/>
  <c r="AG109" i="14"/>
  <c r="F109" i="14"/>
  <c r="AG103" i="14"/>
  <c r="F103" i="14"/>
  <c r="AG97" i="14"/>
  <c r="F97" i="14"/>
  <c r="AG73" i="14"/>
  <c r="F73" i="14"/>
  <c r="AG49" i="14"/>
  <c r="F49" i="14"/>
  <c r="AG200" i="8"/>
  <c r="F200" i="8"/>
  <c r="AG146" i="8"/>
  <c r="B276" i="8"/>
  <c r="B293" i="8" s="1"/>
  <c r="AG164" i="8"/>
  <c r="AG287" i="8"/>
  <c r="AG88" i="8"/>
  <c r="F88" i="8"/>
  <c r="AG76" i="8"/>
  <c r="F76" i="8"/>
  <c r="AG18" i="8"/>
  <c r="F18" i="8"/>
  <c r="AG12" i="8"/>
  <c r="F12" i="8"/>
  <c r="F114" i="17"/>
  <c r="G114" i="17"/>
  <c r="C111" i="17"/>
  <c r="G112" i="17"/>
  <c r="B126" i="17"/>
  <c r="AG126" i="17" s="1"/>
  <c r="AG110" i="17"/>
  <c r="E125" i="17"/>
  <c r="C123" i="17"/>
  <c r="U122" i="17"/>
  <c r="E111" i="17"/>
  <c r="B124" i="17"/>
  <c r="AG124" i="17" s="1"/>
  <c r="AG107" i="17"/>
  <c r="E123" i="17"/>
  <c r="AC122" i="17"/>
  <c r="M122" i="17"/>
  <c r="G100" i="17"/>
  <c r="F100" i="17"/>
  <c r="G94" i="17"/>
  <c r="F94" i="17"/>
  <c r="G88" i="17"/>
  <c r="F88" i="17"/>
  <c r="G46" i="17"/>
  <c r="F46" i="17"/>
  <c r="AG61" i="12"/>
  <c r="F61" i="12"/>
  <c r="D100" i="17"/>
  <c r="D94" i="17"/>
  <c r="D88" i="17"/>
  <c r="D80" i="17"/>
  <c r="D46" i="17"/>
  <c r="G32" i="17"/>
  <c r="F32" i="17"/>
  <c r="C124" i="17"/>
  <c r="D61" i="17"/>
  <c r="D25" i="17"/>
  <c r="G115" i="17"/>
  <c r="F115" i="17"/>
  <c r="E124" i="17"/>
  <c r="AG30" i="15"/>
  <c r="AG28" i="15"/>
  <c r="V369" i="14"/>
  <c r="N369" i="14"/>
  <c r="Y368" i="14"/>
  <c r="Q368" i="14"/>
  <c r="AB367" i="14"/>
  <c r="T367" i="14"/>
  <c r="T351" i="14"/>
  <c r="L367" i="14"/>
  <c r="L351" i="14"/>
  <c r="G304" i="14"/>
  <c r="F304" i="14"/>
  <c r="G286" i="14"/>
  <c r="F286" i="14"/>
  <c r="G261" i="14"/>
  <c r="AC361" i="14"/>
  <c r="Y361" i="14"/>
  <c r="U361" i="14"/>
  <c r="Q361" i="14"/>
  <c r="M361" i="14"/>
  <c r="G360" i="14"/>
  <c r="F360" i="14"/>
  <c r="G39" i="17"/>
  <c r="F39" i="17"/>
  <c r="B105" i="17"/>
  <c r="B123" i="17"/>
  <c r="AG123" i="17" s="1"/>
  <c r="AG106" i="17"/>
  <c r="X368" i="14"/>
  <c r="AB361" i="14"/>
  <c r="L361" i="14"/>
  <c r="U370" i="14"/>
  <c r="AB369" i="14"/>
  <c r="L369" i="14"/>
  <c r="S368" i="14"/>
  <c r="R367" i="14"/>
  <c r="G340" i="14"/>
  <c r="F340" i="14"/>
  <c r="B235" i="14"/>
  <c r="AG236" i="14"/>
  <c r="F223" i="14"/>
  <c r="D211" i="14"/>
  <c r="D207" i="14"/>
  <c r="D205" i="14" s="1"/>
  <c r="F211" i="14"/>
  <c r="B205" i="14"/>
  <c r="AG206" i="14"/>
  <c r="D193" i="14"/>
  <c r="D189" i="14"/>
  <c r="D187" i="14" s="1"/>
  <c r="F193" i="14"/>
  <c r="B187" i="14"/>
  <c r="AG188" i="14"/>
  <c r="D177" i="14"/>
  <c r="D174" i="14" s="1"/>
  <c r="D180" i="14"/>
  <c r="G177" i="14"/>
  <c r="F165" i="14"/>
  <c r="G165" i="14"/>
  <c r="F164" i="14"/>
  <c r="B162" i="14"/>
  <c r="AG162" i="14" s="1"/>
  <c r="AG164" i="14"/>
  <c r="F151" i="14"/>
  <c r="AG151" i="14"/>
  <c r="F130" i="14"/>
  <c r="AG130" i="14"/>
  <c r="G87" i="14"/>
  <c r="F64" i="14"/>
  <c r="AG64" i="14"/>
  <c r="F37" i="14"/>
  <c r="J361" i="14"/>
  <c r="C362" i="14"/>
  <c r="C31" i="14"/>
  <c r="D360" i="14"/>
  <c r="D358" i="14"/>
  <c r="E357" i="14"/>
  <c r="F13" i="14"/>
  <c r="E12" i="14"/>
  <c r="G13" i="14"/>
  <c r="G91" i="12"/>
  <c r="F91" i="12"/>
  <c r="D82" i="12"/>
  <c r="D79" i="12" s="1"/>
  <c r="D85" i="12"/>
  <c r="G82" i="12"/>
  <c r="G43" i="12"/>
  <c r="F43" i="12"/>
  <c r="AD162" i="12"/>
  <c r="AB162" i="12"/>
  <c r="Z162" i="12"/>
  <c r="X162" i="12"/>
  <c r="X157" i="12"/>
  <c r="V162" i="12"/>
  <c r="T162" i="12"/>
  <c r="R162" i="12"/>
  <c r="P162" i="12"/>
  <c r="N162" i="12"/>
  <c r="L162" i="12"/>
  <c r="AE161" i="12"/>
  <c r="AC161" i="12"/>
  <c r="AA161" i="12"/>
  <c r="Y161" i="12"/>
  <c r="W161" i="12"/>
  <c r="U161" i="12"/>
  <c r="S161" i="12"/>
  <c r="Q161" i="12"/>
  <c r="O161" i="12"/>
  <c r="M161" i="12"/>
  <c r="G12" i="12"/>
  <c r="F12" i="12"/>
  <c r="G284" i="8"/>
  <c r="F284" i="8"/>
  <c r="G282" i="8"/>
  <c r="F282" i="8"/>
  <c r="E281" i="8"/>
  <c r="P361" i="14"/>
  <c r="Q370" i="14"/>
  <c r="X369" i="14"/>
  <c r="W368" i="14"/>
  <c r="AD367" i="14"/>
  <c r="N367" i="14"/>
  <c r="G346" i="14"/>
  <c r="F346" i="14"/>
  <c r="D340" i="14"/>
  <c r="G328" i="14"/>
  <c r="F328" i="14"/>
  <c r="J298" i="14"/>
  <c r="B302" i="14"/>
  <c r="B365" i="14" s="1"/>
  <c r="I298" i="14"/>
  <c r="E299" i="14"/>
  <c r="E352" i="14" s="1"/>
  <c r="AG263" i="14"/>
  <c r="F263" i="14"/>
  <c r="AG261" i="14"/>
  <c r="B257" i="14"/>
  <c r="B358" i="14" s="1"/>
  <c r="F247" i="14"/>
  <c r="F199" i="14"/>
  <c r="B127" i="14"/>
  <c r="D24" i="14"/>
  <c r="G18" i="14"/>
  <c r="F18" i="14"/>
  <c r="Z355" i="14"/>
  <c r="X370" i="14"/>
  <c r="R355" i="14"/>
  <c r="P370" i="14"/>
  <c r="J355" i="14"/>
  <c r="H370" i="14"/>
  <c r="AE369" i="14"/>
  <c r="AA369" i="14"/>
  <c r="W369" i="14"/>
  <c r="S369" i="14"/>
  <c r="O369" i="14"/>
  <c r="K369" i="14"/>
  <c r="AD368" i="14"/>
  <c r="Z368" i="14"/>
  <c r="V368" i="14"/>
  <c r="R368" i="14"/>
  <c r="J368" i="14"/>
  <c r="AE367" i="14"/>
  <c r="AC356" i="14"/>
  <c r="Y351" i="14"/>
  <c r="Y367" i="14"/>
  <c r="W367" i="14"/>
  <c r="U356" i="14"/>
  <c r="Q351" i="14"/>
  <c r="Q367" i="14"/>
  <c r="O367" i="14"/>
  <c r="M356" i="14"/>
  <c r="I352" i="14"/>
  <c r="I372" i="14" s="1"/>
  <c r="AB161" i="12"/>
  <c r="AB156" i="12"/>
  <c r="T161" i="12"/>
  <c r="T156" i="12"/>
  <c r="G133" i="12"/>
  <c r="F133" i="12"/>
  <c r="G127" i="12"/>
  <c r="F127" i="12"/>
  <c r="G121" i="12"/>
  <c r="F121" i="12"/>
  <c r="AE79" i="14"/>
  <c r="W79" i="14"/>
  <c r="O79" i="14"/>
  <c r="C174" i="14"/>
  <c r="G174" i="14" s="1"/>
  <c r="E83" i="14"/>
  <c r="E365" i="14" s="1"/>
  <c r="AA365" i="14"/>
  <c r="AA361" i="14" s="1"/>
  <c r="S365" i="14"/>
  <c r="K365" i="14"/>
  <c r="AD99" i="11"/>
  <c r="AB99" i="11"/>
  <c r="Z93" i="11"/>
  <c r="X93" i="11"/>
  <c r="V99" i="11"/>
  <c r="T99" i="11"/>
  <c r="R93" i="11"/>
  <c r="P93" i="11"/>
  <c r="N99" i="11"/>
  <c r="L99" i="11"/>
  <c r="F81" i="9"/>
  <c r="F92" i="9" s="1"/>
  <c r="AG74" i="9"/>
  <c r="AG38" i="9"/>
  <c r="AG85" i="9"/>
  <c r="AD84" i="9"/>
  <c r="Z91" i="9"/>
  <c r="Z79" i="9"/>
  <c r="Z89" i="9" s="1"/>
  <c r="X91" i="9"/>
  <c r="X79" i="9"/>
  <c r="X89" i="9" s="1"/>
  <c r="R91" i="9"/>
  <c r="R79" i="9"/>
  <c r="R89" i="9" s="1"/>
  <c r="P91" i="9"/>
  <c r="P79" i="9"/>
  <c r="P89" i="9" s="1"/>
  <c r="J91" i="9"/>
  <c r="J79" i="9"/>
  <c r="J89" i="9" s="1"/>
  <c r="H91" i="9"/>
  <c r="H79" i="9"/>
  <c r="AE286" i="8"/>
  <c r="W286" i="8"/>
  <c r="O286" i="8"/>
  <c r="G283" i="8"/>
  <c r="B281" i="8"/>
  <c r="AG281" i="8" s="1"/>
  <c r="AG282" i="8"/>
  <c r="G209" i="8"/>
  <c r="D185" i="8"/>
  <c r="D182" i="8" s="1"/>
  <c r="D188" i="8"/>
  <c r="C127" i="8"/>
  <c r="G103" i="8"/>
  <c r="F103" i="8"/>
  <c r="E100" i="8"/>
  <c r="D106" i="8"/>
  <c r="D103" i="8"/>
  <c r="D100" i="8" s="1"/>
  <c r="B100" i="8"/>
  <c r="AG100" i="8" s="1"/>
  <c r="B64" i="8"/>
  <c r="F67" i="8"/>
  <c r="AG67" i="8"/>
  <c r="F57" i="8"/>
  <c r="G57" i="8"/>
  <c r="G44" i="8"/>
  <c r="D280" i="8"/>
  <c r="D279" i="8"/>
  <c r="D304" i="8" s="1"/>
  <c r="D290" i="8"/>
  <c r="G280" i="8"/>
  <c r="F280" i="8"/>
  <c r="G288" i="8"/>
  <c r="F288" i="8"/>
  <c r="B279" i="8"/>
  <c r="AG29" i="8"/>
  <c r="M278" i="8"/>
  <c r="M275" i="8" s="1"/>
  <c r="E276" i="8"/>
  <c r="F26" i="8"/>
  <c r="E25" i="8"/>
  <c r="G26" i="8"/>
  <c r="AD93" i="9"/>
  <c r="AG81" i="9"/>
  <c r="AE79" i="9"/>
  <c r="AA79" i="9"/>
  <c r="AA89" i="9" s="1"/>
  <c r="W79" i="9"/>
  <c r="W89" i="9" s="1"/>
  <c r="S79" i="9"/>
  <c r="S89" i="9" s="1"/>
  <c r="O79" i="9"/>
  <c r="O89" i="9" s="1"/>
  <c r="K79" i="9"/>
  <c r="K89" i="9" s="1"/>
  <c r="Y286" i="8"/>
  <c r="I286" i="8"/>
  <c r="X278" i="8"/>
  <c r="H278" i="8"/>
  <c r="AG154" i="8"/>
  <c r="AG151" i="8"/>
  <c r="G27" i="8"/>
  <c r="E277" i="8"/>
  <c r="F27" i="8"/>
  <c r="G50" i="8"/>
  <c r="F50" i="8"/>
  <c r="G31" i="8"/>
  <c r="F31" i="8"/>
  <c r="AE293" i="8"/>
  <c r="Y293" i="8"/>
  <c r="Q293" i="8"/>
  <c r="M293" i="8"/>
  <c r="I293" i="8"/>
  <c r="C293" i="8"/>
  <c r="B86" i="9"/>
  <c r="AG86" i="9" s="1"/>
  <c r="M286" i="8"/>
  <c r="L278" i="8"/>
  <c r="G264" i="8"/>
  <c r="F264" i="8"/>
  <c r="D223" i="8"/>
  <c r="D220" i="8" s="1"/>
  <c r="D226" i="8"/>
  <c r="G220" i="8"/>
  <c r="G212" i="8"/>
  <c r="F212" i="8"/>
  <c r="B182" i="8"/>
  <c r="AG182" i="8" s="1"/>
  <c r="AG47" i="8"/>
  <c r="B44" i="8"/>
  <c r="AG44" i="8" s="1"/>
  <c r="B289" i="8"/>
  <c r="D287" i="8"/>
  <c r="D26" i="8"/>
  <c r="C301" i="8"/>
  <c r="H296" i="8"/>
  <c r="AG20" i="9"/>
  <c r="G61" i="17"/>
  <c r="F61" i="17"/>
  <c r="G25" i="17"/>
  <c r="F25" i="17"/>
  <c r="D115" i="17"/>
  <c r="E126" i="17"/>
  <c r="D113" i="17"/>
  <c r="G113" i="17"/>
  <c r="F113" i="17"/>
  <c r="C22" i="15"/>
  <c r="Z369" i="14"/>
  <c r="R369" i="14"/>
  <c r="J369" i="14"/>
  <c r="AC368" i="14"/>
  <c r="U368" i="14"/>
  <c r="M368" i="14"/>
  <c r="X367" i="14"/>
  <c r="X351" i="14"/>
  <c r="P367" i="14"/>
  <c r="P351" i="14"/>
  <c r="G292" i="14"/>
  <c r="F292" i="14"/>
  <c r="G280" i="14"/>
  <c r="F280" i="14"/>
  <c r="D256" i="14"/>
  <c r="D255" i="14" s="1"/>
  <c r="D261" i="14"/>
  <c r="AE361" i="14"/>
  <c r="W361" i="14"/>
  <c r="O361" i="14"/>
  <c r="F18" i="17"/>
  <c r="G18" i="17"/>
  <c r="B125" i="17"/>
  <c r="AG125" i="17" s="1"/>
  <c r="AG108" i="17"/>
  <c r="AG112" i="17"/>
  <c r="B111" i="17"/>
  <c r="AG111" i="17" s="1"/>
  <c r="G28" i="15"/>
  <c r="F28" i="15"/>
  <c r="T361" i="14"/>
  <c r="AG360" i="14"/>
  <c r="AC370" i="14"/>
  <c r="M370" i="14"/>
  <c r="T369" i="14"/>
  <c r="AA368" i="14"/>
  <c r="K368" i="14"/>
  <c r="Z367" i="14"/>
  <c r="J367" i="14"/>
  <c r="G322" i="14"/>
  <c r="F322" i="14"/>
  <c r="D241" i="14"/>
  <c r="D237" i="14"/>
  <c r="D235" i="14" s="1"/>
  <c r="F208" i="14"/>
  <c r="AG208" i="14"/>
  <c r="F190" i="14"/>
  <c r="AG190" i="14"/>
  <c r="G180" i="14"/>
  <c r="F180" i="14"/>
  <c r="F163" i="14"/>
  <c r="E162" i="14"/>
  <c r="G163" i="14"/>
  <c r="C127" i="14"/>
  <c r="G127" i="14" s="1"/>
  <c r="G129" i="14"/>
  <c r="D103" i="14"/>
  <c r="D87" i="14"/>
  <c r="F35" i="14"/>
  <c r="D35" i="14"/>
  <c r="G35" i="14"/>
  <c r="E31" i="14"/>
  <c r="F15" i="14"/>
  <c r="E359" i="14"/>
  <c r="G15" i="14"/>
  <c r="F14" i="14"/>
  <c r="B12" i="14"/>
  <c r="AG12" i="14" s="1"/>
  <c r="AG14" i="14"/>
  <c r="F152" i="12"/>
  <c r="G99" i="12"/>
  <c r="F99" i="12"/>
  <c r="G85" i="12"/>
  <c r="F85" i="12"/>
  <c r="F64" i="12"/>
  <c r="AG64" i="12"/>
  <c r="G37" i="12"/>
  <c r="F37" i="12"/>
  <c r="D31" i="12"/>
  <c r="D12" i="12"/>
  <c r="C281" i="8"/>
  <c r="X361" i="14"/>
  <c r="Y370" i="14"/>
  <c r="I370" i="14"/>
  <c r="P369" i="14"/>
  <c r="AE368" i="14"/>
  <c r="O368" i="14"/>
  <c r="V367" i="14"/>
  <c r="AG336" i="14"/>
  <c r="B334" i="14"/>
  <c r="AG334" i="14" s="1"/>
  <c r="G316" i="14"/>
  <c r="F316" i="14"/>
  <c r="F311" i="14"/>
  <c r="D311" i="14"/>
  <c r="G311" i="14"/>
  <c r="F229" i="14"/>
  <c r="F217" i="14"/>
  <c r="G168" i="14"/>
  <c r="F168" i="14"/>
  <c r="D162" i="14"/>
  <c r="B61" i="14"/>
  <c r="G24" i="14"/>
  <c r="F24" i="14"/>
  <c r="D15" i="14"/>
  <c r="D13" i="14"/>
  <c r="AD355" i="14"/>
  <c r="AD375" i="14" s="1"/>
  <c r="AB370" i="14"/>
  <c r="V355" i="14"/>
  <c r="T370" i="14"/>
  <c r="N355" i="14"/>
  <c r="N375" i="14" s="1"/>
  <c r="L370" i="14"/>
  <c r="AD356" i="14"/>
  <c r="Z356" i="14"/>
  <c r="V356" i="14"/>
  <c r="R356" i="14"/>
  <c r="N356" i="14"/>
  <c r="J356" i="14"/>
  <c r="AC367" i="14"/>
  <c r="AC351" i="14"/>
  <c r="AA367" i="14"/>
  <c r="Y356" i="14"/>
  <c r="U367" i="14"/>
  <c r="U351" i="14"/>
  <c r="S367" i="14"/>
  <c r="Q356" i="14"/>
  <c r="M367" i="14"/>
  <c r="M351" i="14"/>
  <c r="K367" i="14"/>
  <c r="I356" i="14"/>
  <c r="F142" i="12"/>
  <c r="E162" i="12"/>
  <c r="X161" i="12"/>
  <c r="X156" i="12"/>
  <c r="P161" i="12"/>
  <c r="P156" i="12"/>
  <c r="G79" i="12"/>
  <c r="G49" i="12"/>
  <c r="F49" i="12"/>
  <c r="B162" i="12"/>
  <c r="D168" i="14"/>
  <c r="F148" i="14"/>
  <c r="AD11" i="11"/>
  <c r="F85" i="9"/>
  <c r="G85" i="9"/>
  <c r="D80" i="9"/>
  <c r="G80" i="9"/>
  <c r="G91" i="9" s="1"/>
  <c r="AD93" i="11"/>
  <c r="AD45" i="11"/>
  <c r="AB93" i="11"/>
  <c r="Z99" i="11"/>
  <c r="X99" i="11"/>
  <c r="V93" i="11"/>
  <c r="T93" i="11"/>
  <c r="P99" i="11"/>
  <c r="N93" i="11"/>
  <c r="L93" i="11"/>
  <c r="H45" i="11"/>
  <c r="AG53" i="9"/>
  <c r="G86" i="9"/>
  <c r="AD91" i="9"/>
  <c r="AD79" i="9"/>
  <c r="AB91" i="9"/>
  <c r="AB79" i="9"/>
  <c r="AB89" i="9" s="1"/>
  <c r="V91" i="9"/>
  <c r="V79" i="9"/>
  <c r="V89" i="9" s="1"/>
  <c r="T91" i="9"/>
  <c r="T79" i="9"/>
  <c r="T89" i="9" s="1"/>
  <c r="N91" i="9"/>
  <c r="N79" i="9"/>
  <c r="N89" i="9" s="1"/>
  <c r="L91" i="9"/>
  <c r="L79" i="9"/>
  <c r="L89" i="9" s="1"/>
  <c r="AA286" i="8"/>
  <c r="S286" i="8"/>
  <c r="K286" i="8"/>
  <c r="F285" i="8"/>
  <c r="G285" i="8"/>
  <c r="G112" i="8"/>
  <c r="F112" i="8"/>
  <c r="G106" i="8"/>
  <c r="F106" i="8"/>
  <c r="G29" i="8"/>
  <c r="F29" i="8"/>
  <c r="O278" i="8"/>
  <c r="O275" i="8" s="1"/>
  <c r="B277" i="8"/>
  <c r="AG27" i="8"/>
  <c r="D285" i="8"/>
  <c r="D283" i="8"/>
  <c r="D281" i="8" s="1"/>
  <c r="D12" i="8"/>
  <c r="AG12" i="9"/>
  <c r="C289" i="8"/>
  <c r="C286" i="8" s="1"/>
  <c r="Q286" i="8"/>
  <c r="P278" i="8"/>
  <c r="G232" i="8"/>
  <c r="F232" i="8"/>
  <c r="C185" i="8"/>
  <c r="C278" i="8" s="1"/>
  <c r="K303" i="8"/>
  <c r="D277" i="8"/>
  <c r="D302" i="8" s="1"/>
  <c r="G38" i="8"/>
  <c r="F38" i="8"/>
  <c r="D28" i="8"/>
  <c r="AE278" i="8"/>
  <c r="C25" i="8"/>
  <c r="AC79" i="9"/>
  <c r="AC89" i="9" s="1"/>
  <c r="Y79" i="9"/>
  <c r="Y89" i="9" s="1"/>
  <c r="U79" i="9"/>
  <c r="U89" i="9" s="1"/>
  <c r="Q79" i="9"/>
  <c r="Q89" i="9" s="1"/>
  <c r="M79" i="9"/>
  <c r="M89" i="9" s="1"/>
  <c r="I79" i="9"/>
  <c r="I89" i="9" s="1"/>
  <c r="F287" i="8"/>
  <c r="G287" i="8"/>
  <c r="AB278" i="8"/>
  <c r="G270" i="8"/>
  <c r="F270" i="8"/>
  <c r="D261" i="8"/>
  <c r="D258" i="8" s="1"/>
  <c r="D264" i="8"/>
  <c r="G250" i="8"/>
  <c r="F250" i="8"/>
  <c r="G226" i="8"/>
  <c r="F226" i="8"/>
  <c r="F206" i="8"/>
  <c r="AE301" i="8"/>
  <c r="M301" i="8"/>
  <c r="I301" i="8"/>
  <c r="G118" i="8"/>
  <c r="F118" i="8"/>
  <c r="T278" i="8"/>
  <c r="T25" i="8"/>
  <c r="T286" i="8"/>
  <c r="W278" i="8"/>
  <c r="W275" i="8" s="1"/>
  <c r="E278" i="8"/>
  <c r="AA275" i="8"/>
  <c r="AA293" i="8"/>
  <c r="W293" i="8"/>
  <c r="S293" i="8"/>
  <c r="O293" i="8"/>
  <c r="K275" i="8"/>
  <c r="K293" i="8"/>
  <c r="AG26" i="9"/>
  <c r="P296" i="8"/>
  <c r="D288" i="8"/>
  <c r="U369" i="14" l="1"/>
  <c r="V303" i="8"/>
  <c r="G310" i="14"/>
  <c r="D102" i="11"/>
  <c r="D99" i="11" s="1"/>
  <c r="D96" i="11"/>
  <c r="D93" i="11" s="1"/>
  <c r="D116" i="17"/>
  <c r="F145" i="8"/>
  <c r="G145" i="8"/>
  <c r="C356" i="14"/>
  <c r="G274" i="14"/>
  <c r="C364" i="14"/>
  <c r="C369" i="14" s="1"/>
  <c r="D105" i="17"/>
  <c r="E354" i="14"/>
  <c r="E374" i="14" s="1"/>
  <c r="N361" i="14"/>
  <c r="K370" i="14"/>
  <c r="C298" i="14"/>
  <c r="B278" i="8"/>
  <c r="B275" i="8" s="1"/>
  <c r="C367" i="14"/>
  <c r="C351" i="14"/>
  <c r="B355" i="14"/>
  <c r="B375" i="14" s="1"/>
  <c r="B352" i="14"/>
  <c r="AG352" i="14" s="1"/>
  <c r="B353" i="14"/>
  <c r="B373" i="14" s="1"/>
  <c r="E93" i="11"/>
  <c r="G61" i="12"/>
  <c r="G205" i="14"/>
  <c r="V275" i="8"/>
  <c r="V292" i="8" s="1"/>
  <c r="K351" i="14"/>
  <c r="U278" i="8"/>
  <c r="U275" i="8" s="1"/>
  <c r="U292" i="8" s="1"/>
  <c r="B364" i="14"/>
  <c r="AG364" i="14" s="1"/>
  <c r="H369" i="14"/>
  <c r="D310" i="14"/>
  <c r="W370" i="14"/>
  <c r="B354" i="14"/>
  <c r="B374" i="14" s="1"/>
  <c r="S275" i="8"/>
  <c r="S292" i="8" s="1"/>
  <c r="G258" i="8"/>
  <c r="E279" i="8"/>
  <c r="F279" i="8" s="1"/>
  <c r="F304" i="8" s="1"/>
  <c r="F79" i="12"/>
  <c r="H351" i="14"/>
  <c r="F289" i="8"/>
  <c r="F220" i="8"/>
  <c r="Z303" i="8"/>
  <c r="B362" i="14"/>
  <c r="I369" i="14"/>
  <c r="H361" i="14"/>
  <c r="C304" i="8"/>
  <c r="F290" i="8"/>
  <c r="AG80" i="9"/>
  <c r="F80" i="9"/>
  <c r="F91" i="9" s="1"/>
  <c r="N275" i="8"/>
  <c r="N292" i="8" s="1"/>
  <c r="Q303" i="8"/>
  <c r="N303" i="8"/>
  <c r="H89" i="9"/>
  <c r="AB351" i="14"/>
  <c r="AB366" i="14" s="1"/>
  <c r="F301" i="14"/>
  <c r="D289" i="8"/>
  <c r="D286" i="8" s="1"/>
  <c r="E79" i="9"/>
  <c r="E89" i="9" s="1"/>
  <c r="U293" i="8"/>
  <c r="D334" i="14"/>
  <c r="B363" i="14"/>
  <c r="AG363" i="14" s="1"/>
  <c r="F310" i="14"/>
  <c r="G334" i="14"/>
  <c r="K292" i="8"/>
  <c r="AA292" i="8"/>
  <c r="W292" i="8"/>
  <c r="S303" i="8"/>
  <c r="F86" i="9"/>
  <c r="H367" i="14"/>
  <c r="Q275" i="8"/>
  <c r="Q292" i="8" s="1"/>
  <c r="AC293" i="8"/>
  <c r="I295" i="8"/>
  <c r="B124" i="8"/>
  <c r="F124" i="8" s="1"/>
  <c r="AG83" i="9"/>
  <c r="W351" i="14"/>
  <c r="W366" i="14" s="1"/>
  <c r="H368" i="14"/>
  <c r="I368" i="14"/>
  <c r="E364" i="14"/>
  <c r="J351" i="14"/>
  <c r="J366" i="14" s="1"/>
  <c r="J375" i="14"/>
  <c r="Z351" i="14"/>
  <c r="Z366" i="14" s="1"/>
  <c r="Z375" i="14"/>
  <c r="O351" i="14"/>
  <c r="O366" i="14" s="1"/>
  <c r="O375" i="14"/>
  <c r="AE370" i="14"/>
  <c r="AE375" i="14"/>
  <c r="G301" i="14"/>
  <c r="R351" i="14"/>
  <c r="R366" i="14" s="1"/>
  <c r="R375" i="14"/>
  <c r="S351" i="14"/>
  <c r="S375" i="14"/>
  <c r="V351" i="14"/>
  <c r="V366" i="14" s="1"/>
  <c r="V375" i="14"/>
  <c r="AA351" i="14"/>
  <c r="AA366" i="14" s="1"/>
  <c r="AA375" i="14"/>
  <c r="AD351" i="14"/>
  <c r="AD366" i="14" s="1"/>
  <c r="Z293" i="8"/>
  <c r="Z301" i="8"/>
  <c r="Z275" i="8"/>
  <c r="Z292" i="8" s="1"/>
  <c r="AG130" i="8"/>
  <c r="D85" i="14"/>
  <c r="Y275" i="8"/>
  <c r="Y292" i="8" s="1"/>
  <c r="G22" i="15"/>
  <c r="G27" i="15" s="1"/>
  <c r="AG127" i="8"/>
  <c r="AG50" i="9"/>
  <c r="AG49" i="9"/>
  <c r="B291" i="8"/>
  <c r="AG291" i="8" s="1"/>
  <c r="W291" i="8" s="1"/>
  <c r="AG174" i="14"/>
  <c r="G85" i="14"/>
  <c r="F274" i="14"/>
  <c r="AB368" i="14"/>
  <c r="E355" i="14"/>
  <c r="E370" i="14" s="1"/>
  <c r="AG358" i="14"/>
  <c r="P366" i="14"/>
  <c r="C368" i="14"/>
  <c r="M366" i="14"/>
  <c r="D31" i="14"/>
  <c r="S370" i="14"/>
  <c r="D79" i="14"/>
  <c r="F85" i="14"/>
  <c r="G235" i="14"/>
  <c r="G187" i="14"/>
  <c r="D364" i="14"/>
  <c r="G363" i="14"/>
  <c r="O370" i="14"/>
  <c r="AC366" i="14"/>
  <c r="AA370" i="14"/>
  <c r="D111" i="17"/>
  <c r="I275" i="8"/>
  <c r="I292" i="8" s="1"/>
  <c r="AH30" i="15"/>
  <c r="C27" i="15"/>
  <c r="AH27" i="15" s="1"/>
  <c r="AH22" i="15"/>
  <c r="AC278" i="8"/>
  <c r="AC275" i="8" s="1"/>
  <c r="AC292" i="8" s="1"/>
  <c r="D291" i="8"/>
  <c r="O292" i="8"/>
  <c r="K361" i="14"/>
  <c r="AG22" i="15"/>
  <c r="F79" i="14"/>
  <c r="E368" i="14"/>
  <c r="G353" i="14"/>
  <c r="G373" i="14" s="1"/>
  <c r="U366" i="14"/>
  <c r="G79" i="14"/>
  <c r="N293" i="8"/>
  <c r="N301" i="8"/>
  <c r="AD124" i="8"/>
  <c r="AD278" i="8"/>
  <c r="F30" i="15"/>
  <c r="F22" i="15"/>
  <c r="F27" i="15" s="1"/>
  <c r="D125" i="17"/>
  <c r="S361" i="14"/>
  <c r="C65" i="11"/>
  <c r="J124" i="8"/>
  <c r="J278" i="8"/>
  <c r="R124" i="8"/>
  <c r="R278" i="8"/>
  <c r="D87" i="9"/>
  <c r="D84" i="9" s="1"/>
  <c r="D82" i="9"/>
  <c r="D93" i="9" s="1"/>
  <c r="D278" i="8"/>
  <c r="D124" i="17"/>
  <c r="AG276" i="8"/>
  <c r="B301" i="8"/>
  <c r="AE295" i="8"/>
  <c r="AE303" i="8"/>
  <c r="G289" i="8"/>
  <c r="E295" i="8"/>
  <c r="E303" i="8"/>
  <c r="T295" i="8"/>
  <c r="T303" i="8"/>
  <c r="T275" i="8"/>
  <c r="T292" i="8" s="1"/>
  <c r="AB295" i="8"/>
  <c r="AB303" i="8"/>
  <c r="AB275" i="8"/>
  <c r="AB292" i="8" s="1"/>
  <c r="G286" i="8"/>
  <c r="D294" i="8"/>
  <c r="AG25" i="8"/>
  <c r="O295" i="8"/>
  <c r="O303" i="8"/>
  <c r="D91" i="9"/>
  <c r="AD89" i="9"/>
  <c r="B82" i="9"/>
  <c r="B87" i="9"/>
  <c r="AG35" i="9"/>
  <c r="G45" i="11"/>
  <c r="V370" i="14"/>
  <c r="D363" i="14"/>
  <c r="F31" i="14"/>
  <c r="G31" i="14"/>
  <c r="D123" i="17"/>
  <c r="D126" i="17"/>
  <c r="L295" i="8"/>
  <c r="L303" i="8"/>
  <c r="L275" i="8"/>
  <c r="L292" i="8" s="1"/>
  <c r="AE275" i="8"/>
  <c r="AE292" i="8" s="1"/>
  <c r="AG148" i="8"/>
  <c r="X295" i="8"/>
  <c r="X303" i="8"/>
  <c r="X275" i="8"/>
  <c r="X292" i="8" s="1"/>
  <c r="G25" i="8"/>
  <c r="F25" i="8"/>
  <c r="G276" i="8"/>
  <c r="G301" i="8" s="1"/>
  <c r="E293" i="8"/>
  <c r="F276" i="8"/>
  <c r="F301" i="8" s="1"/>
  <c r="E275" i="8"/>
  <c r="E301" i="8"/>
  <c r="AG279" i="8"/>
  <c r="B296" i="8"/>
  <c r="AG296" i="8" s="1"/>
  <c r="B304" i="8"/>
  <c r="D296" i="8"/>
  <c r="F44" i="8"/>
  <c r="AG64" i="8"/>
  <c r="F64" i="8"/>
  <c r="F100" i="8"/>
  <c r="G100" i="8"/>
  <c r="C124" i="8"/>
  <c r="G124" i="8" s="1"/>
  <c r="G127" i="8"/>
  <c r="I351" i="14"/>
  <c r="I366" i="14" s="1"/>
  <c r="I367" i="14"/>
  <c r="Q366" i="14"/>
  <c r="AE366" i="14"/>
  <c r="J370" i="14"/>
  <c r="Z370" i="14"/>
  <c r="F257" i="14"/>
  <c r="B255" i="14"/>
  <c r="AG257" i="14"/>
  <c r="D299" i="14"/>
  <c r="D352" i="14" s="1"/>
  <c r="D372" i="14" s="1"/>
  <c r="E298" i="14"/>
  <c r="E362" i="14"/>
  <c r="AG302" i="14"/>
  <c r="B298" i="14"/>
  <c r="AG298" i="14" s="1"/>
  <c r="AG365" i="14"/>
  <c r="F281" i="8"/>
  <c r="G281" i="8"/>
  <c r="G12" i="14"/>
  <c r="F12" i="14"/>
  <c r="F357" i="14"/>
  <c r="E356" i="14"/>
  <c r="G357" i="14"/>
  <c r="AG187" i="14"/>
  <c r="F187" i="14"/>
  <c r="B122" i="17"/>
  <c r="AG122" i="17" s="1"/>
  <c r="AG105" i="17"/>
  <c r="L366" i="14"/>
  <c r="F116" i="17"/>
  <c r="G116" i="17"/>
  <c r="E122" i="17"/>
  <c r="F105" i="17"/>
  <c r="G105" i="17"/>
  <c r="W295" i="8"/>
  <c r="W303" i="8"/>
  <c r="C182" i="8"/>
  <c r="G185" i="8"/>
  <c r="P295" i="8"/>
  <c r="P303" i="8"/>
  <c r="P275" i="8"/>
  <c r="P292" i="8" s="1"/>
  <c r="AG277" i="8"/>
  <c r="B294" i="8"/>
  <c r="AG294" i="8" s="1"/>
  <c r="B302" i="8"/>
  <c r="N370" i="14"/>
  <c r="AD370" i="14"/>
  <c r="D357" i="14"/>
  <c r="D12" i="14"/>
  <c r="D359" i="14"/>
  <c r="D354" i="14"/>
  <c r="D374" i="14" s="1"/>
  <c r="AG61" i="14"/>
  <c r="F61" i="14"/>
  <c r="F359" i="14"/>
  <c r="G359" i="14"/>
  <c r="G365" i="14"/>
  <c r="G162" i="14"/>
  <c r="F162" i="14"/>
  <c r="F334" i="14"/>
  <c r="X366" i="14"/>
  <c r="D276" i="8"/>
  <c r="D25" i="8"/>
  <c r="AG289" i="8"/>
  <c r="B286" i="8"/>
  <c r="AG286" i="8" s="1"/>
  <c r="AG28" i="8"/>
  <c r="F28" i="8"/>
  <c r="M292" i="8"/>
  <c r="E294" i="8"/>
  <c r="F277" i="8"/>
  <c r="F302" i="8" s="1"/>
  <c r="G277" i="8"/>
  <c r="G302" i="8" s="1"/>
  <c r="E302" i="8"/>
  <c r="H295" i="8"/>
  <c r="H303" i="8"/>
  <c r="H275" i="8"/>
  <c r="H292" i="8" s="1"/>
  <c r="C82" i="9"/>
  <c r="C87" i="9"/>
  <c r="M295" i="8"/>
  <c r="M303" i="8"/>
  <c r="F83" i="14"/>
  <c r="D83" i="14"/>
  <c r="D365" i="14" s="1"/>
  <c r="G83" i="14"/>
  <c r="Y366" i="14"/>
  <c r="R370" i="14"/>
  <c r="AG127" i="14"/>
  <c r="F127" i="14"/>
  <c r="N351" i="14"/>
  <c r="N366" i="14" s="1"/>
  <c r="E372" i="14"/>
  <c r="D353" i="14"/>
  <c r="D373" i="14" s="1"/>
  <c r="AG205" i="14"/>
  <c r="F205" i="14"/>
  <c r="AG235" i="14"/>
  <c r="F235" i="14"/>
  <c r="B356" i="14"/>
  <c r="AG356" i="14" s="1"/>
  <c r="F358" i="14"/>
  <c r="F261" i="14"/>
  <c r="T366" i="14"/>
  <c r="G111" i="17"/>
  <c r="F111" i="17"/>
  <c r="C122" i="17"/>
  <c r="U295" i="8" l="1"/>
  <c r="G364" i="14"/>
  <c r="C361" i="14"/>
  <c r="B367" i="14"/>
  <c r="AG367" i="14" s="1"/>
  <c r="B372" i="14"/>
  <c r="F364" i="14"/>
  <c r="U303" i="8"/>
  <c r="B369" i="14"/>
  <c r="AG369" i="14" s="1"/>
  <c r="F354" i="14"/>
  <c r="F374" i="14" s="1"/>
  <c r="K366" i="14"/>
  <c r="AG362" i="14"/>
  <c r="E296" i="8"/>
  <c r="D295" i="8"/>
  <c r="G279" i="8"/>
  <c r="G304" i="8" s="1"/>
  <c r="F363" i="14"/>
  <c r="S366" i="14"/>
  <c r="AG354" i="14"/>
  <c r="H366" i="14"/>
  <c r="AA291" i="8"/>
  <c r="U291" i="8" s="1"/>
  <c r="AG293" i="8"/>
  <c r="E369" i="14"/>
  <c r="E304" i="8"/>
  <c r="AG124" i="8"/>
  <c r="Y291" i="8"/>
  <c r="G354" i="14"/>
  <c r="G374" i="14" s="1"/>
  <c r="B351" i="14"/>
  <c r="AG351" i="14" s="1"/>
  <c r="G355" i="14"/>
  <c r="G375" i="14" s="1"/>
  <c r="E375" i="14"/>
  <c r="F353" i="14"/>
  <c r="F373" i="14" s="1"/>
  <c r="AG353" i="14"/>
  <c r="B368" i="14"/>
  <c r="AG368" i="14" s="1"/>
  <c r="C366" i="14"/>
  <c r="F365" i="14"/>
  <c r="B361" i="14"/>
  <c r="AG361" i="14" s="1"/>
  <c r="AC303" i="8"/>
  <c r="AC295" i="8"/>
  <c r="D79" i="9"/>
  <c r="D89" i="9" s="1"/>
  <c r="AD303" i="8"/>
  <c r="AD275" i="8"/>
  <c r="AD292" i="8" s="1"/>
  <c r="AD295" i="8"/>
  <c r="D303" i="8"/>
  <c r="R295" i="8"/>
  <c r="R303" i="8"/>
  <c r="R275" i="8"/>
  <c r="R292" i="8" s="1"/>
  <c r="J295" i="8"/>
  <c r="J275" i="8"/>
  <c r="J292" i="8" s="1"/>
  <c r="J303" i="8"/>
  <c r="D355" i="14"/>
  <c r="D375" i="14" s="1"/>
  <c r="D368" i="14"/>
  <c r="C295" i="8"/>
  <c r="C275" i="8"/>
  <c r="C292" i="8" s="1"/>
  <c r="C303" i="8"/>
  <c r="G82" i="9"/>
  <c r="G93" i="9" s="1"/>
  <c r="C79" i="9"/>
  <c r="C93" i="9"/>
  <c r="B295" i="8"/>
  <c r="AG278" i="8"/>
  <c r="B303" i="8"/>
  <c r="D351" i="14"/>
  <c r="F275" i="8"/>
  <c r="G356" i="14"/>
  <c r="F356" i="14"/>
  <c r="AG355" i="14"/>
  <c r="B370" i="14"/>
  <c r="AG370" i="14" s="1"/>
  <c r="G298" i="14"/>
  <c r="F298" i="14"/>
  <c r="AG31" i="9"/>
  <c r="AG32" i="9"/>
  <c r="D122" i="17"/>
  <c r="F286" i="8"/>
  <c r="G352" i="14"/>
  <c r="G372" i="14" s="1"/>
  <c r="E367" i="14"/>
  <c r="F352" i="14"/>
  <c r="F372" i="14" s="1"/>
  <c r="E351" i="14"/>
  <c r="G87" i="9"/>
  <c r="C84" i="9"/>
  <c r="G84" i="9" s="1"/>
  <c r="D293" i="8"/>
  <c r="D275" i="8"/>
  <c r="D292" i="8" s="1"/>
  <c r="D301" i="8"/>
  <c r="D369" i="14"/>
  <c r="D356" i="14"/>
  <c r="G362" i="14"/>
  <c r="F362" i="14"/>
  <c r="E361" i="14"/>
  <c r="D298" i="14"/>
  <c r="D362" i="14"/>
  <c r="D361" i="14" s="1"/>
  <c r="AG255" i="14"/>
  <c r="F255" i="14"/>
  <c r="E292" i="8"/>
  <c r="AG145" i="8"/>
  <c r="F355" i="14"/>
  <c r="F375" i="14" s="1"/>
  <c r="B84" i="9"/>
  <c r="F87" i="9"/>
  <c r="AG87" i="9"/>
  <c r="F82" i="9"/>
  <c r="F93" i="9" s="1"/>
  <c r="B93" i="9"/>
  <c r="AG82" i="9"/>
  <c r="B79" i="9"/>
  <c r="F278" i="8"/>
  <c r="F303" i="8" s="1"/>
  <c r="G278" i="8"/>
  <c r="G303" i="8" s="1"/>
  <c r="O291" i="8" l="1"/>
  <c r="S291" i="8"/>
  <c r="M291" i="8" s="1"/>
  <c r="AG295" i="8"/>
  <c r="Q291" i="8"/>
  <c r="K291" i="8" s="1"/>
  <c r="D370" i="14"/>
  <c r="G275" i="8"/>
  <c r="B89" i="9"/>
  <c r="B90" i="9"/>
  <c r="AG79" i="9"/>
  <c r="F79" i="9"/>
  <c r="F89" i="9" s="1"/>
  <c r="AG84" i="9"/>
  <c r="F84" i="9"/>
  <c r="B366" i="14"/>
  <c r="AG366" i="14" s="1"/>
  <c r="F361" i="14"/>
  <c r="G361" i="14"/>
  <c r="E366" i="14"/>
  <c r="F351" i="14"/>
  <c r="G351" i="14"/>
  <c r="D366" i="14"/>
  <c r="B299" i="8"/>
  <c r="AG275" i="8"/>
  <c r="B292" i="8"/>
  <c r="AG292" i="8" s="1"/>
  <c r="D367" i="14"/>
  <c r="C89" i="9"/>
  <c r="G79" i="9"/>
  <c r="G89" i="9" s="1"/>
  <c r="E291" i="8" l="1"/>
  <c r="F291" i="8" s="1"/>
  <c r="I291" i="8"/>
  <c r="C291" i="8" s="1"/>
  <c r="I28" i="7"/>
  <c r="J28" i="7"/>
  <c r="K28" i="7"/>
  <c r="L28" i="7"/>
  <c r="M28" i="7"/>
  <c r="N28" i="7"/>
  <c r="O28" i="7"/>
  <c r="P28" i="7"/>
  <c r="Q28" i="7"/>
  <c r="R28" i="7"/>
  <c r="S28" i="7"/>
  <c r="T28" i="7"/>
  <c r="U28" i="7"/>
  <c r="V28" i="7"/>
  <c r="W28" i="7"/>
  <c r="X28" i="7"/>
  <c r="Y28" i="7"/>
  <c r="Z28" i="7"/>
  <c r="AA28" i="7"/>
  <c r="AB28" i="7"/>
  <c r="AC28" i="7"/>
  <c r="AD28" i="7"/>
  <c r="AE28" i="7"/>
  <c r="H28" i="7"/>
  <c r="I113" i="7"/>
  <c r="J113" i="7"/>
  <c r="K113" i="7"/>
  <c r="L113" i="7"/>
  <c r="M113" i="7"/>
  <c r="N113" i="7"/>
  <c r="O113" i="7"/>
  <c r="P113" i="7"/>
  <c r="Q113" i="7"/>
  <c r="R113" i="7"/>
  <c r="S113" i="7"/>
  <c r="T113" i="7"/>
  <c r="U113" i="7"/>
  <c r="V113" i="7"/>
  <c r="W113" i="7"/>
  <c r="X113" i="7"/>
  <c r="Y113" i="7"/>
  <c r="Z113" i="7"/>
  <c r="AA113" i="7"/>
  <c r="AB113" i="7"/>
  <c r="AC113" i="7"/>
  <c r="AD113" i="7"/>
  <c r="AE113" i="7"/>
  <c r="H113" i="7"/>
  <c r="I107" i="7"/>
  <c r="K107" i="7"/>
  <c r="L107" i="7"/>
  <c r="M107" i="7"/>
  <c r="N107" i="7"/>
  <c r="O107" i="7"/>
  <c r="R107" i="7"/>
  <c r="S107" i="7"/>
  <c r="T107" i="7"/>
  <c r="U107" i="7"/>
  <c r="V107" i="7"/>
  <c r="W107" i="7"/>
  <c r="X107" i="7"/>
  <c r="Y107" i="7"/>
  <c r="Z107" i="7"/>
  <c r="AA107" i="7"/>
  <c r="AB107" i="7"/>
  <c r="AC107" i="7"/>
  <c r="AD107" i="7"/>
  <c r="AE107" i="7"/>
  <c r="H107" i="7"/>
  <c r="B108" i="7"/>
  <c r="B107" i="7" s="1"/>
  <c r="I93" i="7"/>
  <c r="J93" i="7"/>
  <c r="K93" i="7"/>
  <c r="L93" i="7"/>
  <c r="M93" i="7"/>
  <c r="N93" i="7"/>
  <c r="O93" i="7"/>
  <c r="P93" i="7"/>
  <c r="Q93" i="7"/>
  <c r="R93" i="7"/>
  <c r="S93" i="7"/>
  <c r="T93" i="7"/>
  <c r="U93" i="7"/>
  <c r="V93" i="7"/>
  <c r="W93" i="7"/>
  <c r="X93" i="7"/>
  <c r="Y93" i="7"/>
  <c r="Z93" i="7"/>
  <c r="AA93" i="7"/>
  <c r="AB93" i="7"/>
  <c r="AC93" i="7"/>
  <c r="AD93" i="7"/>
  <c r="AE93" i="7"/>
  <c r="H93" i="7"/>
  <c r="I91" i="7"/>
  <c r="I90" i="7" s="1"/>
  <c r="J91" i="7"/>
  <c r="J90" i="7" s="1"/>
  <c r="K90" i="7"/>
  <c r="L91" i="7"/>
  <c r="L90" i="7" s="1"/>
  <c r="M91" i="7"/>
  <c r="M90" i="7" s="1"/>
  <c r="N91" i="7"/>
  <c r="N90" i="7" s="1"/>
  <c r="O91" i="7"/>
  <c r="O90" i="7" s="1"/>
  <c r="P91" i="7"/>
  <c r="P90" i="7" s="1"/>
  <c r="Q91" i="7"/>
  <c r="Q90" i="7" s="1"/>
  <c r="R91" i="7"/>
  <c r="R90" i="7" s="1"/>
  <c r="S91" i="7"/>
  <c r="S90" i="7" s="1"/>
  <c r="T91" i="7"/>
  <c r="T90" i="7" s="1"/>
  <c r="U91" i="7"/>
  <c r="U90" i="7" s="1"/>
  <c r="V90" i="7"/>
  <c r="W90" i="7"/>
  <c r="X91" i="7"/>
  <c r="X90" i="7" s="1"/>
  <c r="Y91" i="7"/>
  <c r="Y90" i="7" s="1"/>
  <c r="Z91" i="7"/>
  <c r="Z90" i="7" s="1"/>
  <c r="AA91" i="7"/>
  <c r="AA90" i="7" s="1"/>
  <c r="AB91" i="7"/>
  <c r="AB90" i="7" s="1"/>
  <c r="AC91" i="7"/>
  <c r="AC90" i="7" s="1"/>
  <c r="AD91" i="7"/>
  <c r="AD90" i="7" s="1"/>
  <c r="AE91" i="7"/>
  <c r="AE90" i="7" s="1"/>
  <c r="H90" i="7"/>
  <c r="D91" i="7"/>
  <c r="I87" i="7"/>
  <c r="J87" i="7"/>
  <c r="K87" i="7"/>
  <c r="L87" i="7"/>
  <c r="M87" i="7"/>
  <c r="N87" i="7"/>
  <c r="O87" i="7"/>
  <c r="P87" i="7"/>
  <c r="Q87" i="7"/>
  <c r="R87" i="7"/>
  <c r="S87" i="7"/>
  <c r="T87" i="7"/>
  <c r="U87" i="7"/>
  <c r="V87" i="7"/>
  <c r="W87" i="7"/>
  <c r="X87" i="7"/>
  <c r="Y87" i="7"/>
  <c r="Z87" i="7"/>
  <c r="AA87" i="7"/>
  <c r="AB87" i="7"/>
  <c r="AC87" i="7"/>
  <c r="AD87" i="7"/>
  <c r="AE87" i="7"/>
  <c r="H87" i="7"/>
  <c r="I84" i="7"/>
  <c r="J84" i="7"/>
  <c r="K84" i="7"/>
  <c r="L84" i="7"/>
  <c r="M84" i="7"/>
  <c r="N84" i="7"/>
  <c r="O84" i="7"/>
  <c r="P84" i="7"/>
  <c r="Q84" i="7"/>
  <c r="R84" i="7"/>
  <c r="S84" i="7"/>
  <c r="T84" i="7"/>
  <c r="U84" i="7"/>
  <c r="V84" i="7"/>
  <c r="W84" i="7"/>
  <c r="X84" i="7"/>
  <c r="Y84" i="7"/>
  <c r="Z84" i="7"/>
  <c r="AA84" i="7"/>
  <c r="AB84" i="7"/>
  <c r="AC84" i="7"/>
  <c r="AD84" i="7"/>
  <c r="AE84" i="7"/>
  <c r="H84" i="7"/>
  <c r="I82" i="7"/>
  <c r="I81" i="7" s="1"/>
  <c r="I80" i="7" s="1"/>
  <c r="J82" i="7"/>
  <c r="J81" i="7" s="1"/>
  <c r="J80" i="7" s="1"/>
  <c r="H81" i="7"/>
  <c r="H80" i="7" s="1"/>
  <c r="I64" i="7"/>
  <c r="I63" i="7" s="1"/>
  <c r="J64" i="7"/>
  <c r="J63" i="7" s="1"/>
  <c r="K64" i="7"/>
  <c r="K63" i="7" s="1"/>
  <c r="L63" i="7"/>
  <c r="M63" i="7"/>
  <c r="R63" i="7"/>
  <c r="S63" i="7"/>
  <c r="T63" i="7"/>
  <c r="U63" i="7"/>
  <c r="V63" i="7"/>
  <c r="W63" i="7"/>
  <c r="X63" i="7"/>
  <c r="Y63" i="7"/>
  <c r="Z63" i="7"/>
  <c r="AA63" i="7"/>
  <c r="AB63" i="7"/>
  <c r="AC63" i="7"/>
  <c r="AD63" i="7"/>
  <c r="AE63" i="7"/>
  <c r="H63" i="7"/>
  <c r="I52" i="7"/>
  <c r="J52" i="7"/>
  <c r="J57" i="7" s="1"/>
  <c r="K52" i="7"/>
  <c r="L52" i="7"/>
  <c r="L57" i="7" s="1"/>
  <c r="M52" i="7"/>
  <c r="N52" i="7"/>
  <c r="N57" i="7" s="1"/>
  <c r="O52" i="7"/>
  <c r="P52" i="7"/>
  <c r="P57" i="7" s="1"/>
  <c r="Q52" i="7"/>
  <c r="R52" i="7"/>
  <c r="R57" i="7" s="1"/>
  <c r="S52" i="7"/>
  <c r="T52" i="7"/>
  <c r="T57" i="7" s="1"/>
  <c r="U52" i="7"/>
  <c r="V52" i="7"/>
  <c r="V57" i="7" s="1"/>
  <c r="W52" i="7"/>
  <c r="X52" i="7"/>
  <c r="X57" i="7" s="1"/>
  <c r="Y52" i="7"/>
  <c r="Z52" i="7"/>
  <c r="Z57" i="7" s="1"/>
  <c r="AA52" i="7"/>
  <c r="AB52" i="7"/>
  <c r="AB57" i="7" s="1"/>
  <c r="AC52" i="7"/>
  <c r="AD52" i="7"/>
  <c r="AD57" i="7" s="1"/>
  <c r="AE52" i="7"/>
  <c r="I54" i="7"/>
  <c r="J54" i="7"/>
  <c r="J59" i="7" s="1"/>
  <c r="K54" i="7"/>
  <c r="K59" i="7" s="1"/>
  <c r="L54" i="7"/>
  <c r="L59" i="7" s="1"/>
  <c r="M54" i="7"/>
  <c r="M59" i="7" s="1"/>
  <c r="N54" i="7"/>
  <c r="N59" i="7" s="1"/>
  <c r="O54" i="7"/>
  <c r="O59" i="7" s="1"/>
  <c r="P54" i="7"/>
  <c r="P59" i="7" s="1"/>
  <c r="Q54" i="7"/>
  <c r="R54" i="7"/>
  <c r="R59" i="7" s="1"/>
  <c r="S54" i="7"/>
  <c r="S59" i="7" s="1"/>
  <c r="T54" i="7"/>
  <c r="T59" i="7" s="1"/>
  <c r="U54" i="7"/>
  <c r="U59" i="7" s="1"/>
  <c r="V54" i="7"/>
  <c r="V59" i="7" s="1"/>
  <c r="W54" i="7"/>
  <c r="W59" i="7" s="1"/>
  <c r="X54" i="7"/>
  <c r="X59" i="7" s="1"/>
  <c r="Y54" i="7"/>
  <c r="Y59" i="7" s="1"/>
  <c r="Z54" i="7"/>
  <c r="Z59" i="7" s="1"/>
  <c r="AA54" i="7"/>
  <c r="AA59" i="7" s="1"/>
  <c r="AB54" i="7"/>
  <c r="AB59" i="7" s="1"/>
  <c r="AC54" i="7"/>
  <c r="AC59" i="7" s="1"/>
  <c r="AD54" i="7"/>
  <c r="AD59" i="7" s="1"/>
  <c r="AE54" i="7"/>
  <c r="AE59" i="7" s="1"/>
  <c r="H54" i="7"/>
  <c r="H59" i="7" s="1"/>
  <c r="H52" i="7"/>
  <c r="C52" i="7"/>
  <c r="C57" i="7" s="1"/>
  <c r="D52" i="7"/>
  <c r="D57" i="7" s="1"/>
  <c r="E52" i="7"/>
  <c r="D54" i="7"/>
  <c r="D59" i="7" s="1"/>
  <c r="I40" i="7"/>
  <c r="J40" i="7"/>
  <c r="K40" i="7"/>
  <c r="M40" i="7"/>
  <c r="N40" i="7"/>
  <c r="O40" i="7"/>
  <c r="P40" i="7"/>
  <c r="Q40" i="7"/>
  <c r="R40" i="7"/>
  <c r="S40" i="7"/>
  <c r="T40" i="7"/>
  <c r="U40" i="7"/>
  <c r="V40" i="7"/>
  <c r="W40" i="7"/>
  <c r="X40" i="7"/>
  <c r="Y40" i="7"/>
  <c r="Z40" i="7"/>
  <c r="AA40" i="7"/>
  <c r="AB40" i="7"/>
  <c r="AC40" i="7"/>
  <c r="AD40" i="7"/>
  <c r="AE40" i="7"/>
  <c r="H40" i="7"/>
  <c r="B43" i="7"/>
  <c r="B54" i="7" s="1"/>
  <c r="B59" i="7" s="1"/>
  <c r="C32" i="7"/>
  <c r="B32" i="7"/>
  <c r="I26" i="7"/>
  <c r="I25" i="7" s="1"/>
  <c r="J25" i="7"/>
  <c r="L26" i="7"/>
  <c r="M26" i="7"/>
  <c r="M25" i="7" s="1"/>
  <c r="N26" i="7"/>
  <c r="N25" i="7" s="1"/>
  <c r="O26" i="7"/>
  <c r="O25" i="7" s="1"/>
  <c r="P26" i="7"/>
  <c r="P25" i="7" s="1"/>
  <c r="Q26" i="7"/>
  <c r="Q25" i="7" s="1"/>
  <c r="R26" i="7"/>
  <c r="R25" i="7" s="1"/>
  <c r="S26" i="7"/>
  <c r="S25" i="7" s="1"/>
  <c r="T26" i="7"/>
  <c r="T25" i="7" s="1"/>
  <c r="U26" i="7"/>
  <c r="U25" i="7" s="1"/>
  <c r="V26" i="7"/>
  <c r="V25" i="7" s="1"/>
  <c r="W26" i="7"/>
  <c r="W25" i="7" s="1"/>
  <c r="X26" i="7"/>
  <c r="X25" i="7" s="1"/>
  <c r="Y26" i="7"/>
  <c r="Y25" i="7" s="1"/>
  <c r="Z26" i="7"/>
  <c r="Z25" i="7" s="1"/>
  <c r="AA26" i="7"/>
  <c r="AA25" i="7" s="1"/>
  <c r="AB26" i="7"/>
  <c r="AC26" i="7"/>
  <c r="AC25" i="7" s="1"/>
  <c r="AD26" i="7"/>
  <c r="AD25" i="7" s="1"/>
  <c r="AE26" i="7"/>
  <c r="AE25" i="7" s="1"/>
  <c r="H26" i="7"/>
  <c r="H25" i="7" s="1"/>
  <c r="D26" i="7"/>
  <c r="D25" i="7" s="1"/>
  <c r="C20" i="7"/>
  <c r="C19" i="7" s="1"/>
  <c r="B20" i="7"/>
  <c r="B19" i="7" s="1"/>
  <c r="C17" i="7"/>
  <c r="C16" i="7" s="1"/>
  <c r="D16" i="7"/>
  <c r="C14" i="7"/>
  <c r="B14" i="7"/>
  <c r="E11" i="7"/>
  <c r="E10" i="7" s="1"/>
  <c r="E9" i="7" s="1"/>
  <c r="C11" i="7"/>
  <c r="C10" i="7" s="1"/>
  <c r="B11" i="7"/>
  <c r="B10" i="7" s="1"/>
  <c r="B9" i="7" s="1"/>
  <c r="B41" i="7"/>
  <c r="B42" i="7"/>
  <c r="E54" i="7"/>
  <c r="E59" i="7" s="1"/>
  <c r="C54" i="7"/>
  <c r="C59" i="7" s="1"/>
  <c r="C46" i="7"/>
  <c r="E88" i="7"/>
  <c r="E87" i="7" s="1"/>
  <c r="C88" i="7"/>
  <c r="C87" i="7" s="1"/>
  <c r="B88" i="7"/>
  <c r="F88" i="7" s="1"/>
  <c r="D87" i="7"/>
  <c r="B85" i="7"/>
  <c r="E78" i="7"/>
  <c r="C78" i="7"/>
  <c r="B79" i="7"/>
  <c r="F79" i="7" s="1"/>
  <c r="D78" i="7"/>
  <c r="E76" i="7"/>
  <c r="C76" i="7"/>
  <c r="C75" i="7" s="1"/>
  <c r="B76" i="7"/>
  <c r="F76" i="7" s="1"/>
  <c r="D75" i="7"/>
  <c r="B52" i="7" l="1"/>
  <c r="B57" i="7" s="1"/>
  <c r="F41" i="7"/>
  <c r="Q59" i="7"/>
  <c r="Q118" i="7"/>
  <c r="Q122" i="7" s="1"/>
  <c r="I59" i="7"/>
  <c r="I118" i="7"/>
  <c r="H116" i="7"/>
  <c r="E57" i="7"/>
  <c r="E116" i="7"/>
  <c r="E120" i="7" s="1"/>
  <c r="G291" i="8"/>
  <c r="B82" i="7"/>
  <c r="B81" i="7" s="1"/>
  <c r="B78" i="7"/>
  <c r="F78" i="7" s="1"/>
  <c r="AB25" i="7"/>
  <c r="AB53" i="7"/>
  <c r="AB117" i="7" s="1"/>
  <c r="AB121" i="7" s="1"/>
  <c r="L25" i="7"/>
  <c r="L53" i="7"/>
  <c r="AE57" i="7"/>
  <c r="AE116" i="7"/>
  <c r="AE120" i="7" s="1"/>
  <c r="AC57" i="7"/>
  <c r="AC116" i="7"/>
  <c r="AC120" i="7" s="1"/>
  <c r="AA57" i="7"/>
  <c r="AA116" i="7"/>
  <c r="AA120" i="7" s="1"/>
  <c r="Y57" i="7"/>
  <c r="Y116" i="7"/>
  <c r="Y120" i="7" s="1"/>
  <c r="W57" i="7"/>
  <c r="W116" i="7"/>
  <c r="W120" i="7" s="1"/>
  <c r="U57" i="7"/>
  <c r="U116" i="7"/>
  <c r="U120" i="7" s="1"/>
  <c r="S57" i="7"/>
  <c r="S116" i="7"/>
  <c r="S120" i="7" s="1"/>
  <c r="Q57" i="7"/>
  <c r="Q116" i="7"/>
  <c r="Q120" i="7" s="1"/>
  <c r="O57" i="7"/>
  <c r="O116" i="7"/>
  <c r="O120" i="7" s="1"/>
  <c r="M57" i="7"/>
  <c r="M116" i="7"/>
  <c r="M120" i="7" s="1"/>
  <c r="K57" i="7"/>
  <c r="K116" i="7"/>
  <c r="K120" i="7" s="1"/>
  <c r="I57" i="7"/>
  <c r="I116" i="7"/>
  <c r="I120" i="7" s="1"/>
  <c r="B116" i="7"/>
  <c r="B120" i="7" s="1"/>
  <c r="C116" i="7"/>
  <c r="C120" i="7" s="1"/>
  <c r="T53" i="7"/>
  <c r="T117" i="7" s="1"/>
  <c r="T121" i="7" s="1"/>
  <c r="D116" i="7"/>
  <c r="D120" i="7" s="1"/>
  <c r="AD116" i="7"/>
  <c r="AD120" i="7" s="1"/>
  <c r="AB116" i="7"/>
  <c r="Z116" i="7"/>
  <c r="Z120" i="7" s="1"/>
  <c r="X116" i="7"/>
  <c r="X120" i="7" s="1"/>
  <c r="V116" i="7"/>
  <c r="V120" i="7" s="1"/>
  <c r="T116" i="7"/>
  <c r="T120" i="7" s="1"/>
  <c r="R116" i="7"/>
  <c r="R120" i="7" s="1"/>
  <c r="P116" i="7"/>
  <c r="P120" i="7" s="1"/>
  <c r="N116" i="7"/>
  <c r="N120" i="7" s="1"/>
  <c r="L116" i="7"/>
  <c r="L120" i="7" s="1"/>
  <c r="J116" i="7"/>
  <c r="J120" i="7" s="1"/>
  <c r="B118" i="7"/>
  <c r="B122" i="7" s="1"/>
  <c r="H57" i="7"/>
  <c r="G59" i="7"/>
  <c r="H53" i="7"/>
  <c r="H117" i="7" s="1"/>
  <c r="X53" i="7"/>
  <c r="X51" i="7" s="1"/>
  <c r="P53" i="7"/>
  <c r="P117" i="7" s="1"/>
  <c r="F59" i="7"/>
  <c r="AD53" i="7"/>
  <c r="AD117" i="7" s="1"/>
  <c r="Z53" i="7"/>
  <c r="Z117" i="7" s="1"/>
  <c r="V53" i="7"/>
  <c r="V117" i="7" s="1"/>
  <c r="R53" i="7"/>
  <c r="R117" i="7" s="1"/>
  <c r="N53" i="7"/>
  <c r="N117" i="7" s="1"/>
  <c r="J53" i="7"/>
  <c r="J117" i="7" s="1"/>
  <c r="B111" i="7"/>
  <c r="AE53" i="7"/>
  <c r="AE117" i="7" s="1"/>
  <c r="AC53" i="7"/>
  <c r="AC117" i="7" s="1"/>
  <c r="AA53" i="7"/>
  <c r="AA117" i="7" s="1"/>
  <c r="Y53" i="7"/>
  <c r="Y117" i="7" s="1"/>
  <c r="W53" i="7"/>
  <c r="W117" i="7" s="1"/>
  <c r="U53" i="7"/>
  <c r="U117" i="7" s="1"/>
  <c r="S53" i="7"/>
  <c r="S117" i="7" s="1"/>
  <c r="Q53" i="7"/>
  <c r="Q117" i="7" s="1"/>
  <c r="Q121" i="7" s="1"/>
  <c r="O53" i="7"/>
  <c r="O117" i="7" s="1"/>
  <c r="O121" i="7" s="1"/>
  <c r="O119" i="7" s="1"/>
  <c r="M53" i="7"/>
  <c r="M117" i="7" s="1"/>
  <c r="K53" i="7"/>
  <c r="K117" i="7" s="1"/>
  <c r="I53" i="7"/>
  <c r="I117" i="7" s="1"/>
  <c r="B40" i="7"/>
  <c r="F43" i="7"/>
  <c r="G76" i="7"/>
  <c r="B87" i="7"/>
  <c r="F87" i="7" s="1"/>
  <c r="G43" i="7"/>
  <c r="B75" i="7"/>
  <c r="G79" i="7"/>
  <c r="E75" i="7"/>
  <c r="G88" i="7"/>
  <c r="G87" i="7"/>
  <c r="G78" i="7"/>
  <c r="E23" i="7"/>
  <c r="C23" i="7"/>
  <c r="C22" i="7" s="1"/>
  <c r="B23" i="7"/>
  <c r="B22" i="7" s="1"/>
  <c r="E111" i="7"/>
  <c r="E94" i="7"/>
  <c r="E91" i="7" s="1"/>
  <c r="C94" i="7"/>
  <c r="B94" i="7"/>
  <c r="B91" i="7" s="1"/>
  <c r="D93" i="7"/>
  <c r="F85" i="7"/>
  <c r="E85" i="7"/>
  <c r="E82" i="7" s="1"/>
  <c r="C85" i="7"/>
  <c r="C82" i="7" s="1"/>
  <c r="C81" i="7" s="1"/>
  <c r="D84" i="7"/>
  <c r="B84" i="7"/>
  <c r="D82" i="7"/>
  <c r="D81" i="7" s="1"/>
  <c r="E73" i="7"/>
  <c r="C73" i="7"/>
  <c r="C72" i="7" s="1"/>
  <c r="B73" i="7"/>
  <c r="F73" i="7" s="1"/>
  <c r="D72" i="7"/>
  <c r="E70" i="7"/>
  <c r="E69" i="7" s="1"/>
  <c r="D70" i="7"/>
  <c r="D64" i="7" s="1"/>
  <c r="D63" i="7" s="1"/>
  <c r="C70" i="7"/>
  <c r="C69" i="7" s="1"/>
  <c r="B70" i="7"/>
  <c r="B69" i="7" s="1"/>
  <c r="E67" i="7"/>
  <c r="C67" i="7"/>
  <c r="B67" i="7"/>
  <c r="D66" i="7"/>
  <c r="AE118" i="7"/>
  <c r="AE122" i="7" s="1"/>
  <c r="AD118" i="7"/>
  <c r="AD122" i="7" s="1"/>
  <c r="AC118" i="7"/>
  <c r="AC122" i="7" s="1"/>
  <c r="AB118" i="7"/>
  <c r="AB122" i="7" s="1"/>
  <c r="AA118" i="7"/>
  <c r="AA122" i="7" s="1"/>
  <c r="Z118" i="7"/>
  <c r="Z122" i="7" s="1"/>
  <c r="Y118" i="7"/>
  <c r="Y122" i="7" s="1"/>
  <c r="X118" i="7"/>
  <c r="X122" i="7" s="1"/>
  <c r="W118" i="7"/>
  <c r="W122" i="7" s="1"/>
  <c r="V118" i="7"/>
  <c r="V122" i="7" s="1"/>
  <c r="U118" i="7"/>
  <c r="U122" i="7" s="1"/>
  <c r="T118" i="7"/>
  <c r="T122" i="7" s="1"/>
  <c r="S118" i="7"/>
  <c r="S122" i="7" s="1"/>
  <c r="R118" i="7"/>
  <c r="R122" i="7" s="1"/>
  <c r="P118" i="7"/>
  <c r="P122" i="7" s="1"/>
  <c r="O118" i="7"/>
  <c r="O122" i="7" s="1"/>
  <c r="N118" i="7"/>
  <c r="N122" i="7" s="1"/>
  <c r="M118" i="7"/>
  <c r="M122" i="7" s="1"/>
  <c r="L118" i="7"/>
  <c r="L122" i="7" s="1"/>
  <c r="K118" i="7"/>
  <c r="K122" i="7" s="1"/>
  <c r="J118" i="7"/>
  <c r="J122" i="7" s="1"/>
  <c r="I122" i="7"/>
  <c r="H118" i="7"/>
  <c r="H122" i="7" s="1"/>
  <c r="D118" i="7"/>
  <c r="D122" i="7" s="1"/>
  <c r="E49" i="7"/>
  <c r="C49" i="7"/>
  <c r="C48" i="7" s="1"/>
  <c r="B49" i="7"/>
  <c r="B48" i="7" s="1"/>
  <c r="AE48" i="7"/>
  <c r="E46" i="7"/>
  <c r="C45" i="7"/>
  <c r="B46" i="7"/>
  <c r="AE45" i="7"/>
  <c r="D40" i="7"/>
  <c r="E38" i="7"/>
  <c r="C38" i="7"/>
  <c r="C37" i="7" s="1"/>
  <c r="B38" i="7"/>
  <c r="B37" i="7" s="1"/>
  <c r="D37" i="7"/>
  <c r="E35" i="7"/>
  <c r="C35" i="7"/>
  <c r="C34" i="7" s="1"/>
  <c r="B35" i="7"/>
  <c r="D34" i="7"/>
  <c r="E32" i="7"/>
  <c r="E31" i="7" s="1"/>
  <c r="C31" i="7"/>
  <c r="E29" i="7"/>
  <c r="C29" i="7"/>
  <c r="C28" i="7" s="1"/>
  <c r="B29" i="7"/>
  <c r="E20" i="7"/>
  <c r="E17" i="7"/>
  <c r="B17" i="7"/>
  <c r="B16" i="7" s="1"/>
  <c r="E14" i="7"/>
  <c r="B13" i="7"/>
  <c r="C13" i="7"/>
  <c r="C118" i="7"/>
  <c r="C122" i="7" s="1"/>
  <c r="D9" i="7"/>
  <c r="I56" i="6"/>
  <c r="I134" i="6" s="1"/>
  <c r="I139" i="6" s="1"/>
  <c r="J56" i="6"/>
  <c r="J134" i="6" s="1"/>
  <c r="J139" i="6" s="1"/>
  <c r="K56" i="6"/>
  <c r="K134" i="6" s="1"/>
  <c r="K139" i="6" s="1"/>
  <c r="L56" i="6"/>
  <c r="L134" i="6" s="1"/>
  <c r="L139" i="6" s="1"/>
  <c r="M56" i="6"/>
  <c r="M134" i="6" s="1"/>
  <c r="M139" i="6" s="1"/>
  <c r="N56" i="6"/>
  <c r="N134" i="6" s="1"/>
  <c r="N139" i="6" s="1"/>
  <c r="O56" i="6"/>
  <c r="O134" i="6" s="1"/>
  <c r="O139" i="6" s="1"/>
  <c r="P56" i="6"/>
  <c r="P134" i="6" s="1"/>
  <c r="P139" i="6" s="1"/>
  <c r="Q56" i="6"/>
  <c r="Q134" i="6" s="1"/>
  <c r="Q139" i="6" s="1"/>
  <c r="R56" i="6"/>
  <c r="R134" i="6" s="1"/>
  <c r="R139" i="6" s="1"/>
  <c r="S56" i="6"/>
  <c r="S134" i="6" s="1"/>
  <c r="S139" i="6" s="1"/>
  <c r="T56" i="6"/>
  <c r="T134" i="6" s="1"/>
  <c r="T139" i="6" s="1"/>
  <c r="U56" i="6"/>
  <c r="U134" i="6" s="1"/>
  <c r="U139" i="6" s="1"/>
  <c r="V56" i="6"/>
  <c r="V134" i="6" s="1"/>
  <c r="V139" i="6" s="1"/>
  <c r="W56" i="6"/>
  <c r="W134" i="6" s="1"/>
  <c r="W139" i="6" s="1"/>
  <c r="X56" i="6"/>
  <c r="X134" i="6" s="1"/>
  <c r="X139" i="6" s="1"/>
  <c r="Y56" i="6"/>
  <c r="Y134" i="6" s="1"/>
  <c r="Y139" i="6" s="1"/>
  <c r="Z56" i="6"/>
  <c r="Z134" i="6" s="1"/>
  <c r="Z139" i="6" s="1"/>
  <c r="AA56" i="6"/>
  <c r="AA134" i="6" s="1"/>
  <c r="AA139" i="6" s="1"/>
  <c r="AB56" i="6"/>
  <c r="AB134" i="6" s="1"/>
  <c r="AB139" i="6" s="1"/>
  <c r="AC56" i="6"/>
  <c r="AC134" i="6" s="1"/>
  <c r="AC139" i="6" s="1"/>
  <c r="AD56" i="6"/>
  <c r="AD134" i="6" s="1"/>
  <c r="AD139" i="6" s="1"/>
  <c r="AE56" i="6"/>
  <c r="AE134" i="6" s="1"/>
  <c r="AE139" i="6" s="1"/>
  <c r="H56" i="6"/>
  <c r="H134" i="6" s="1"/>
  <c r="H139" i="6" s="1"/>
  <c r="B13" i="6"/>
  <c r="B56" i="6" s="1"/>
  <c r="C134" i="6"/>
  <c r="C139" i="6" s="1"/>
  <c r="B12" i="6"/>
  <c r="I53" i="6"/>
  <c r="J53" i="6"/>
  <c r="K53" i="6"/>
  <c r="L53" i="6"/>
  <c r="M53" i="6"/>
  <c r="N53" i="6"/>
  <c r="O53" i="6"/>
  <c r="P53" i="6"/>
  <c r="Q53" i="6"/>
  <c r="R53" i="6"/>
  <c r="S53" i="6"/>
  <c r="T53" i="6"/>
  <c r="U53" i="6"/>
  <c r="V53" i="6"/>
  <c r="W53" i="6"/>
  <c r="X53" i="6"/>
  <c r="Y53" i="6"/>
  <c r="Z53" i="6"/>
  <c r="AA53" i="6"/>
  <c r="AB53" i="6"/>
  <c r="AC53" i="6"/>
  <c r="AD53" i="6"/>
  <c r="AE53" i="6"/>
  <c r="I54" i="6"/>
  <c r="J54" i="6"/>
  <c r="K54" i="6"/>
  <c r="L54" i="6"/>
  <c r="M54" i="6"/>
  <c r="N54" i="6"/>
  <c r="O54" i="6"/>
  <c r="P54" i="6"/>
  <c r="Q54" i="6"/>
  <c r="R54" i="6"/>
  <c r="S54" i="6"/>
  <c r="T54" i="6"/>
  <c r="U54" i="6"/>
  <c r="V54" i="6"/>
  <c r="W54" i="6"/>
  <c r="X54" i="6"/>
  <c r="Y54" i="6"/>
  <c r="Z54" i="6"/>
  <c r="AA54" i="6"/>
  <c r="AB54" i="6"/>
  <c r="AC54" i="6"/>
  <c r="AD54" i="6"/>
  <c r="AE54" i="6"/>
  <c r="H54" i="6"/>
  <c r="H53" i="6"/>
  <c r="C49" i="6"/>
  <c r="B50" i="6"/>
  <c r="B49" i="6" s="1"/>
  <c r="AE49" i="6"/>
  <c r="AD49" i="6"/>
  <c r="AC49" i="6"/>
  <c r="AB49" i="6"/>
  <c r="AA49" i="6"/>
  <c r="Z49" i="6"/>
  <c r="Y49" i="6"/>
  <c r="X49" i="6"/>
  <c r="W49" i="6"/>
  <c r="V49" i="6"/>
  <c r="U49" i="6"/>
  <c r="T49" i="6"/>
  <c r="S49" i="6"/>
  <c r="R49" i="6"/>
  <c r="Q49" i="6"/>
  <c r="P49" i="6"/>
  <c r="O49" i="6"/>
  <c r="N49" i="6"/>
  <c r="M49" i="6"/>
  <c r="L49" i="6"/>
  <c r="K49" i="6"/>
  <c r="J49" i="6"/>
  <c r="I49" i="6"/>
  <c r="H49" i="6"/>
  <c r="G69" i="7" l="1"/>
  <c r="H115" i="7"/>
  <c r="Q119" i="7"/>
  <c r="L117" i="7"/>
  <c r="L115" i="7" s="1"/>
  <c r="H120" i="7"/>
  <c r="B134" i="6"/>
  <c r="B139" i="6" s="1"/>
  <c r="F75" i="7"/>
  <c r="AB58" i="7"/>
  <c r="AB56" i="7" s="1"/>
  <c r="AB51" i="7"/>
  <c r="L58" i="7"/>
  <c r="L56" i="7" s="1"/>
  <c r="T51" i="7"/>
  <c r="L51" i="7"/>
  <c r="E84" i="7"/>
  <c r="F84" i="7" s="1"/>
  <c r="T58" i="7"/>
  <c r="T56" i="7" s="1"/>
  <c r="F32" i="7"/>
  <c r="P51" i="7"/>
  <c r="I115" i="7"/>
  <c r="I121" i="7"/>
  <c r="I119" i="7" s="1"/>
  <c r="K115" i="7"/>
  <c r="K121" i="7"/>
  <c r="K119" i="7" s="1"/>
  <c r="M115" i="7"/>
  <c r="M121" i="7"/>
  <c r="M119" i="7" s="1"/>
  <c r="O115" i="7"/>
  <c r="Q115" i="7"/>
  <c r="S115" i="7"/>
  <c r="S121" i="7"/>
  <c r="S119" i="7" s="1"/>
  <c r="U115" i="7"/>
  <c r="U121" i="7"/>
  <c r="U119" i="7" s="1"/>
  <c r="W121" i="7"/>
  <c r="W119" i="7" s="1"/>
  <c r="Y115" i="7"/>
  <c r="Y121" i="7"/>
  <c r="Y119" i="7" s="1"/>
  <c r="AA115" i="7"/>
  <c r="AA121" i="7"/>
  <c r="AA119" i="7" s="1"/>
  <c r="AC115" i="7"/>
  <c r="AC121" i="7"/>
  <c r="AC119" i="7" s="1"/>
  <c r="AE115" i="7"/>
  <c r="AE121" i="7"/>
  <c r="AE119" i="7" s="1"/>
  <c r="J115" i="7"/>
  <c r="J121" i="7"/>
  <c r="J119" i="7" s="1"/>
  <c r="N115" i="7"/>
  <c r="N121" i="7"/>
  <c r="N119" i="7" s="1"/>
  <c r="R115" i="7"/>
  <c r="R121" i="7"/>
  <c r="R119" i="7" s="1"/>
  <c r="V121" i="7"/>
  <c r="V119" i="7" s="1"/>
  <c r="Z115" i="7"/>
  <c r="Z121" i="7"/>
  <c r="Z119" i="7" s="1"/>
  <c r="AD121" i="7"/>
  <c r="AD119" i="7" s="1"/>
  <c r="P115" i="7"/>
  <c r="P121" i="7"/>
  <c r="P119" i="7" s="1"/>
  <c r="AB115" i="7"/>
  <c r="AB120" i="7"/>
  <c r="AB119" i="7" s="1"/>
  <c r="T119" i="7"/>
  <c r="B110" i="7"/>
  <c r="H58" i="7"/>
  <c r="H56" i="7" s="1"/>
  <c r="P58" i="7"/>
  <c r="P56" i="7" s="1"/>
  <c r="X58" i="7"/>
  <c r="X56" i="7" s="1"/>
  <c r="X117" i="7"/>
  <c r="H51" i="7"/>
  <c r="T115" i="7"/>
  <c r="C64" i="7"/>
  <c r="C63" i="7" s="1"/>
  <c r="I51" i="7"/>
  <c r="I58" i="7"/>
  <c r="I56" i="7" s="1"/>
  <c r="M51" i="7"/>
  <c r="M58" i="7"/>
  <c r="M56" i="7" s="1"/>
  <c r="Q51" i="7"/>
  <c r="Q58" i="7"/>
  <c r="Q56" i="7" s="1"/>
  <c r="U51" i="7"/>
  <c r="U58" i="7"/>
  <c r="U56" i="7" s="1"/>
  <c r="Y51" i="7"/>
  <c r="Y58" i="7"/>
  <c r="Y56" i="7" s="1"/>
  <c r="AC51" i="7"/>
  <c r="AC58" i="7"/>
  <c r="AC56" i="7" s="1"/>
  <c r="N51" i="7"/>
  <c r="N58" i="7"/>
  <c r="N56" i="7" s="1"/>
  <c r="V51" i="7"/>
  <c r="V58" i="7"/>
  <c r="V56" i="7" s="1"/>
  <c r="AD51" i="7"/>
  <c r="AD58" i="7"/>
  <c r="AD56" i="7" s="1"/>
  <c r="B66" i="7"/>
  <c r="B64" i="7"/>
  <c r="E64" i="7"/>
  <c r="E63" i="7" s="1"/>
  <c r="C93" i="7"/>
  <c r="C91" i="7"/>
  <c r="C90" i="7" s="1"/>
  <c r="E107" i="7"/>
  <c r="K51" i="7"/>
  <c r="K58" i="7"/>
  <c r="K56" i="7" s="1"/>
  <c r="O51" i="7"/>
  <c r="O58" i="7"/>
  <c r="O56" i="7" s="1"/>
  <c r="S51" i="7"/>
  <c r="S58" i="7"/>
  <c r="S56" i="7" s="1"/>
  <c r="W51" i="7"/>
  <c r="W58" i="7"/>
  <c r="W56" i="7" s="1"/>
  <c r="AA51" i="7"/>
  <c r="AA58" i="7"/>
  <c r="AA56" i="7" s="1"/>
  <c r="AE51" i="7"/>
  <c r="AE58" i="7"/>
  <c r="AE56" i="7" s="1"/>
  <c r="J51" i="7"/>
  <c r="J58" i="7"/>
  <c r="J56" i="7" s="1"/>
  <c r="R51" i="7"/>
  <c r="R58" i="7"/>
  <c r="R56" i="7" s="1"/>
  <c r="Z51" i="7"/>
  <c r="Z58" i="7"/>
  <c r="Z56" i="7" s="1"/>
  <c r="G75" i="7"/>
  <c r="D53" i="7"/>
  <c r="B28" i="7"/>
  <c r="B26" i="7"/>
  <c r="B25" i="7" s="1"/>
  <c r="E28" i="7"/>
  <c r="E26" i="7"/>
  <c r="E25" i="7" s="1"/>
  <c r="C26" i="7"/>
  <c r="C40" i="7"/>
  <c r="C84" i="7"/>
  <c r="C9" i="7"/>
  <c r="G82" i="7"/>
  <c r="E81" i="7"/>
  <c r="G81" i="7" s="1"/>
  <c r="F38" i="7"/>
  <c r="F46" i="7"/>
  <c r="F49" i="7"/>
  <c r="B31" i="7"/>
  <c r="B45" i="7"/>
  <c r="G29" i="7"/>
  <c r="E37" i="7"/>
  <c r="F37" i="7" s="1"/>
  <c r="E40" i="7"/>
  <c r="E45" i="7"/>
  <c r="E48" i="7"/>
  <c r="F11" i="7"/>
  <c r="B34" i="7"/>
  <c r="F35" i="7"/>
  <c r="F67" i="7"/>
  <c r="E66" i="7"/>
  <c r="E72" i="7"/>
  <c r="G73" i="7"/>
  <c r="F81" i="7"/>
  <c r="F14" i="7"/>
  <c r="F17" i="7"/>
  <c r="F29" i="7"/>
  <c r="B72" i="7"/>
  <c r="F82" i="7"/>
  <c r="C111" i="7"/>
  <c r="C110" i="7" s="1"/>
  <c r="C107" i="7"/>
  <c r="G23" i="7"/>
  <c r="F23" i="7"/>
  <c r="E22" i="7"/>
  <c r="F22" i="7" s="1"/>
  <c r="G32" i="7"/>
  <c r="G38" i="7"/>
  <c r="G46" i="7"/>
  <c r="G49" i="7"/>
  <c r="G70" i="7"/>
  <c r="G85" i="7"/>
  <c r="F107" i="7"/>
  <c r="E16" i="7"/>
  <c r="F54" i="7"/>
  <c r="E118" i="7"/>
  <c r="E122" i="7" s="1"/>
  <c r="G54" i="7"/>
  <c r="G14" i="7"/>
  <c r="G17" i="7"/>
  <c r="G20" i="7"/>
  <c r="G35" i="7"/>
  <c r="F52" i="7"/>
  <c r="F69" i="7"/>
  <c r="D69" i="7"/>
  <c r="F70" i="7"/>
  <c r="D90" i="7"/>
  <c r="F94" i="7"/>
  <c r="B90" i="7"/>
  <c r="E93" i="7"/>
  <c r="G94" i="7"/>
  <c r="G11" i="7"/>
  <c r="E13" i="7"/>
  <c r="E19" i="7"/>
  <c r="F20" i="7"/>
  <c r="E34" i="7"/>
  <c r="C66" i="7"/>
  <c r="B93" i="7"/>
  <c r="D111" i="7"/>
  <c r="D107" i="7"/>
  <c r="F108" i="7"/>
  <c r="G67" i="7"/>
  <c r="E114" i="7"/>
  <c r="E110" i="7"/>
  <c r="G108" i="7"/>
  <c r="I131" i="6"/>
  <c r="J131" i="6"/>
  <c r="J136" i="6" s="1"/>
  <c r="K131" i="6"/>
  <c r="L131" i="6"/>
  <c r="L136" i="6" s="1"/>
  <c r="M131" i="6"/>
  <c r="N131" i="6"/>
  <c r="N136" i="6" s="1"/>
  <c r="O131" i="6"/>
  <c r="P131" i="6"/>
  <c r="P136" i="6" s="1"/>
  <c r="Q131" i="6"/>
  <c r="R131" i="6"/>
  <c r="R136" i="6" s="1"/>
  <c r="S131" i="6"/>
  <c r="T131" i="6"/>
  <c r="T136" i="6" s="1"/>
  <c r="U131" i="6"/>
  <c r="V131" i="6"/>
  <c r="V136" i="6" s="1"/>
  <c r="W131" i="6"/>
  <c r="X131" i="6"/>
  <c r="X136" i="6" s="1"/>
  <c r="Y131" i="6"/>
  <c r="Z131" i="6"/>
  <c r="Z136" i="6" s="1"/>
  <c r="AA131" i="6"/>
  <c r="AB131" i="6"/>
  <c r="AB136" i="6" s="1"/>
  <c r="AC131" i="6"/>
  <c r="AD131" i="6"/>
  <c r="AD136" i="6" s="1"/>
  <c r="AE131" i="6"/>
  <c r="I132" i="6"/>
  <c r="K137" i="6"/>
  <c r="M137" i="6"/>
  <c r="O137" i="6"/>
  <c r="P137" i="6"/>
  <c r="Q137" i="6"/>
  <c r="S137" i="6"/>
  <c r="T137" i="6"/>
  <c r="U137" i="6"/>
  <c r="W137" i="6"/>
  <c r="X137" i="6"/>
  <c r="Y137" i="6"/>
  <c r="AA137" i="6"/>
  <c r="AB137" i="6"/>
  <c r="AC137" i="6"/>
  <c r="AE137" i="6"/>
  <c r="H131" i="6"/>
  <c r="H136" i="6" s="1"/>
  <c r="D131" i="6"/>
  <c r="D136" i="6" s="1"/>
  <c r="I124" i="6"/>
  <c r="J124" i="6"/>
  <c r="J128" i="6" s="1"/>
  <c r="K124" i="6"/>
  <c r="L124" i="6"/>
  <c r="L128" i="6" s="1"/>
  <c r="M124" i="6"/>
  <c r="N124" i="6"/>
  <c r="N128" i="6" s="1"/>
  <c r="O124" i="6"/>
  <c r="P124" i="6"/>
  <c r="P128" i="6" s="1"/>
  <c r="Q124" i="6"/>
  <c r="R124" i="6"/>
  <c r="R128" i="6" s="1"/>
  <c r="S124" i="6"/>
  <c r="T124" i="6"/>
  <c r="T128" i="6" s="1"/>
  <c r="U124" i="6"/>
  <c r="V124" i="6"/>
  <c r="V128" i="6" s="1"/>
  <c r="W124" i="6"/>
  <c r="X124" i="6"/>
  <c r="X128" i="6" s="1"/>
  <c r="Y124" i="6"/>
  <c r="Z124" i="6"/>
  <c r="Z128" i="6" s="1"/>
  <c r="AA124" i="6"/>
  <c r="AB124" i="6"/>
  <c r="AB128" i="6" s="1"/>
  <c r="AC124" i="6"/>
  <c r="AD124" i="6"/>
  <c r="AD128" i="6" s="1"/>
  <c r="AE124" i="6"/>
  <c r="I125" i="6"/>
  <c r="I129" i="6" s="1"/>
  <c r="J125" i="6"/>
  <c r="K125" i="6"/>
  <c r="K129" i="6" s="1"/>
  <c r="L125" i="6"/>
  <c r="M125" i="6"/>
  <c r="M129" i="6" s="1"/>
  <c r="N125" i="6"/>
  <c r="O125" i="6"/>
  <c r="O129" i="6" s="1"/>
  <c r="P125" i="6"/>
  <c r="Q125" i="6"/>
  <c r="Q129" i="6" s="1"/>
  <c r="R125" i="6"/>
  <c r="S125" i="6"/>
  <c r="S129" i="6" s="1"/>
  <c r="T125" i="6"/>
  <c r="U125" i="6"/>
  <c r="U129" i="6" s="1"/>
  <c r="V125" i="6"/>
  <c r="W125" i="6"/>
  <c r="W129" i="6" s="1"/>
  <c r="X125" i="6"/>
  <c r="Y125" i="6"/>
  <c r="Y129" i="6" s="1"/>
  <c r="Z125" i="6"/>
  <c r="AA125" i="6"/>
  <c r="AA129" i="6" s="1"/>
  <c r="AB125" i="6"/>
  <c r="AC125" i="6"/>
  <c r="AC129" i="6" s="1"/>
  <c r="AD125" i="6"/>
  <c r="AD129" i="6" s="1"/>
  <c r="AE125" i="6"/>
  <c r="AE129" i="6" s="1"/>
  <c r="H125" i="6"/>
  <c r="H129" i="6" s="1"/>
  <c r="H124" i="6"/>
  <c r="H132" i="6" s="1"/>
  <c r="H137" i="6" s="1"/>
  <c r="H120" i="6"/>
  <c r="B121" i="6"/>
  <c r="B120" i="6" s="1"/>
  <c r="D124" i="6"/>
  <c r="D128" i="6" s="1"/>
  <c r="C72" i="6"/>
  <c r="D72" i="6"/>
  <c r="D68" i="6"/>
  <c r="D66" i="6" s="1"/>
  <c r="E66" i="6" s="1"/>
  <c r="H68" i="6"/>
  <c r="H66" i="6" s="1"/>
  <c r="C43" i="6"/>
  <c r="H60" i="6"/>
  <c r="C37" i="6"/>
  <c r="L121" i="7" l="1"/>
  <c r="L119" i="7" s="1"/>
  <c r="F124" i="7"/>
  <c r="H65" i="6"/>
  <c r="H99" i="6"/>
  <c r="H98" i="6" s="1"/>
  <c r="H102" i="6"/>
  <c r="H101" i="6" s="1"/>
  <c r="I137" i="6"/>
  <c r="E132" i="6"/>
  <c r="C78" i="6"/>
  <c r="C71" i="6"/>
  <c r="F66" i="7"/>
  <c r="E100" i="7"/>
  <c r="G84" i="7"/>
  <c r="G64" i="7"/>
  <c r="AB123" i="6"/>
  <c r="X123" i="6"/>
  <c r="T123" i="6"/>
  <c r="P123" i="6"/>
  <c r="L123" i="6"/>
  <c r="G107" i="7"/>
  <c r="G22" i="7"/>
  <c r="Z123" i="6"/>
  <c r="Z129" i="6"/>
  <c r="Z127" i="6" s="1"/>
  <c r="V123" i="6"/>
  <c r="V129" i="6"/>
  <c r="V127" i="6" s="1"/>
  <c r="R123" i="6"/>
  <c r="R129" i="6"/>
  <c r="R127" i="6" s="1"/>
  <c r="N123" i="6"/>
  <c r="N129" i="6"/>
  <c r="N127" i="6" s="1"/>
  <c r="J123" i="6"/>
  <c r="J129" i="6"/>
  <c r="J127" i="6" s="1"/>
  <c r="AE123" i="6"/>
  <c r="F28" i="7"/>
  <c r="G28" i="7"/>
  <c r="X121" i="7"/>
  <c r="X119" i="7" s="1"/>
  <c r="H121" i="7"/>
  <c r="H119" i="7" s="1"/>
  <c r="D51" i="7"/>
  <c r="D58" i="7"/>
  <c r="D56" i="7" s="1"/>
  <c r="B100" i="7"/>
  <c r="B63" i="7"/>
  <c r="F63" i="7" s="1"/>
  <c r="B53" i="7"/>
  <c r="F53" i="7" s="1"/>
  <c r="C53" i="7"/>
  <c r="E53" i="7"/>
  <c r="E117" i="7" s="1"/>
  <c r="F45" i="7"/>
  <c r="G45" i="7"/>
  <c r="C114" i="7"/>
  <c r="C113" i="7" s="1"/>
  <c r="G37" i="7"/>
  <c r="G40" i="7"/>
  <c r="F42" i="7"/>
  <c r="G66" i="7"/>
  <c r="F64" i="7"/>
  <c r="G26" i="7"/>
  <c r="F16" i="7"/>
  <c r="G111" i="7"/>
  <c r="F40" i="7"/>
  <c r="G16" i="7"/>
  <c r="G42" i="7"/>
  <c r="F26" i="7"/>
  <c r="G72" i="7"/>
  <c r="F72" i="7"/>
  <c r="G110" i="7"/>
  <c r="E113" i="7"/>
  <c r="D114" i="7"/>
  <c r="D113" i="7" s="1"/>
  <c r="D110" i="7"/>
  <c r="E103" i="7"/>
  <c r="E99" i="7"/>
  <c r="G34" i="7"/>
  <c r="F34" i="7"/>
  <c r="G19" i="7"/>
  <c r="F19" i="7"/>
  <c r="G91" i="7"/>
  <c r="E90" i="7"/>
  <c r="G118" i="7"/>
  <c r="F118" i="7"/>
  <c r="F110" i="7"/>
  <c r="B114" i="7"/>
  <c r="B113" i="7" s="1"/>
  <c r="F111" i="7"/>
  <c r="C100" i="7"/>
  <c r="G63" i="7"/>
  <c r="G52" i="7"/>
  <c r="G13" i="7"/>
  <c r="F13" i="7"/>
  <c r="G10" i="7"/>
  <c r="F10" i="7"/>
  <c r="G93" i="7"/>
  <c r="F93" i="7"/>
  <c r="F91" i="7"/>
  <c r="D100" i="7"/>
  <c r="D117" i="7" s="1"/>
  <c r="D121" i="7" s="1"/>
  <c r="D119" i="7" s="1"/>
  <c r="C68" i="6"/>
  <c r="C66" i="6" s="1"/>
  <c r="D71" i="6"/>
  <c r="AC123" i="6"/>
  <c r="AC128" i="6"/>
  <c r="AC127" i="6" s="1"/>
  <c r="AA123" i="6"/>
  <c r="AA128" i="6"/>
  <c r="AA127" i="6" s="1"/>
  <c r="Y123" i="6"/>
  <c r="Y128" i="6"/>
  <c r="Y127" i="6" s="1"/>
  <c r="W123" i="6"/>
  <c r="W128" i="6"/>
  <c r="W127" i="6" s="1"/>
  <c r="U123" i="6"/>
  <c r="U128" i="6"/>
  <c r="U127" i="6" s="1"/>
  <c r="S123" i="6"/>
  <c r="S128" i="6"/>
  <c r="S127" i="6" s="1"/>
  <c r="Q123" i="6"/>
  <c r="Q128" i="6"/>
  <c r="Q127" i="6" s="1"/>
  <c r="O123" i="6"/>
  <c r="O128" i="6"/>
  <c r="O127" i="6" s="1"/>
  <c r="M123" i="6"/>
  <c r="M128" i="6"/>
  <c r="M127" i="6" s="1"/>
  <c r="K123" i="6"/>
  <c r="K128" i="6"/>
  <c r="K127" i="6" s="1"/>
  <c r="I123" i="6"/>
  <c r="I128" i="6"/>
  <c r="I127" i="6" s="1"/>
  <c r="AB129" i="6"/>
  <c r="AB127" i="6" s="1"/>
  <c r="X129" i="6"/>
  <c r="X127" i="6" s="1"/>
  <c r="T129" i="6"/>
  <c r="T127" i="6" s="1"/>
  <c r="P129" i="6"/>
  <c r="P127" i="6" s="1"/>
  <c r="L129" i="6"/>
  <c r="L127" i="6" s="1"/>
  <c r="AE128" i="6"/>
  <c r="AE127" i="6" s="1"/>
  <c r="Z137" i="6"/>
  <c r="V137" i="6"/>
  <c r="R137" i="6"/>
  <c r="N137" i="6"/>
  <c r="L137" i="6"/>
  <c r="J137" i="6"/>
  <c r="AE136" i="6"/>
  <c r="AC136" i="6"/>
  <c r="AA136" i="6"/>
  <c r="Y136" i="6"/>
  <c r="W136" i="6"/>
  <c r="U136" i="6"/>
  <c r="S136" i="6"/>
  <c r="Q136" i="6"/>
  <c r="O136" i="6"/>
  <c r="M136" i="6"/>
  <c r="K136" i="6"/>
  <c r="I136" i="6"/>
  <c r="H123" i="6"/>
  <c r="H128" i="6"/>
  <c r="H127" i="6" s="1"/>
  <c r="C136" i="6"/>
  <c r="AD127" i="6"/>
  <c r="B124" i="6"/>
  <c r="B128" i="6" s="1"/>
  <c r="AD123" i="6"/>
  <c r="AD137" i="6"/>
  <c r="J59" i="6"/>
  <c r="L59" i="6"/>
  <c r="N59" i="6"/>
  <c r="P59" i="6"/>
  <c r="R59" i="6"/>
  <c r="T59" i="6"/>
  <c r="V59" i="6"/>
  <c r="X59" i="6"/>
  <c r="Z59" i="6"/>
  <c r="AB59" i="6"/>
  <c r="AD59" i="6"/>
  <c r="I60" i="6"/>
  <c r="K60" i="6"/>
  <c r="M60" i="6"/>
  <c r="O60" i="6"/>
  <c r="Q60" i="6"/>
  <c r="S60" i="6"/>
  <c r="U60" i="6"/>
  <c r="W60" i="6"/>
  <c r="Y60" i="6"/>
  <c r="AA60" i="6"/>
  <c r="AC60" i="6"/>
  <c r="AE60" i="6"/>
  <c r="V60" i="6"/>
  <c r="X60" i="6"/>
  <c r="AB60" i="6"/>
  <c r="AD60" i="6"/>
  <c r="C53" i="6"/>
  <c r="C59" i="6" s="1"/>
  <c r="D59" i="6"/>
  <c r="C60" i="6"/>
  <c r="I18" i="6"/>
  <c r="J18" i="6"/>
  <c r="K18" i="6"/>
  <c r="L18" i="6"/>
  <c r="M18" i="6"/>
  <c r="N18" i="6"/>
  <c r="O18" i="6"/>
  <c r="P18" i="6"/>
  <c r="Q18" i="6"/>
  <c r="R18" i="6"/>
  <c r="S18" i="6"/>
  <c r="U18" i="6"/>
  <c r="V18" i="6"/>
  <c r="W18" i="6"/>
  <c r="X18" i="6"/>
  <c r="Y18" i="6"/>
  <c r="AA18" i="6"/>
  <c r="AB18" i="6"/>
  <c r="AC18" i="6"/>
  <c r="AD18" i="6"/>
  <c r="AE18" i="6"/>
  <c r="H18" i="6"/>
  <c r="C18" i="6"/>
  <c r="I41" i="6"/>
  <c r="I40" i="6" s="1"/>
  <c r="J41" i="6"/>
  <c r="J40" i="6" s="1"/>
  <c r="K41" i="6"/>
  <c r="K40" i="6" s="1"/>
  <c r="L41" i="6"/>
  <c r="L40" i="6" s="1"/>
  <c r="M41" i="6"/>
  <c r="M40" i="6" s="1"/>
  <c r="N41" i="6"/>
  <c r="N40" i="6" s="1"/>
  <c r="O41" i="6"/>
  <c r="O40" i="6" s="1"/>
  <c r="P41" i="6"/>
  <c r="P40" i="6" s="1"/>
  <c r="Q41" i="6"/>
  <c r="Q40" i="6" s="1"/>
  <c r="R41" i="6"/>
  <c r="R40" i="6" s="1"/>
  <c r="S41" i="6"/>
  <c r="S40" i="6" s="1"/>
  <c r="T41" i="6"/>
  <c r="T40" i="6" s="1"/>
  <c r="U41" i="6"/>
  <c r="U40" i="6" s="1"/>
  <c r="V41" i="6"/>
  <c r="V40" i="6" s="1"/>
  <c r="W41" i="6"/>
  <c r="W40" i="6" s="1"/>
  <c r="X41" i="6"/>
  <c r="X40" i="6" s="1"/>
  <c r="Y41" i="6"/>
  <c r="Y40" i="6" s="1"/>
  <c r="Z41" i="6"/>
  <c r="Z40" i="6" s="1"/>
  <c r="AA41" i="6"/>
  <c r="AA40" i="6" s="1"/>
  <c r="AB41" i="6"/>
  <c r="AB40" i="6" s="1"/>
  <c r="AC41" i="6"/>
  <c r="AC40" i="6" s="1"/>
  <c r="AD41" i="6"/>
  <c r="AD40" i="6" s="1"/>
  <c r="AE41" i="6"/>
  <c r="AE40" i="6" s="1"/>
  <c r="H41" i="6"/>
  <c r="H40" i="6" s="1"/>
  <c r="E34" i="6"/>
  <c r="D34" i="6"/>
  <c r="I26" i="6"/>
  <c r="J26" i="6"/>
  <c r="K26" i="6"/>
  <c r="L26" i="6"/>
  <c r="M26" i="6"/>
  <c r="N26" i="6"/>
  <c r="O26" i="6"/>
  <c r="O55" i="6" s="1"/>
  <c r="P26" i="6"/>
  <c r="Q26" i="6"/>
  <c r="R26" i="6"/>
  <c r="S26" i="6"/>
  <c r="T26" i="6"/>
  <c r="U26" i="6"/>
  <c r="V26" i="6"/>
  <c r="W26" i="6"/>
  <c r="W55" i="6" s="1"/>
  <c r="X26" i="6"/>
  <c r="Y26" i="6"/>
  <c r="Z26" i="6"/>
  <c r="AA26" i="6"/>
  <c r="AB26" i="6"/>
  <c r="AC26" i="6"/>
  <c r="AD26" i="6"/>
  <c r="AE26" i="6"/>
  <c r="H26" i="6"/>
  <c r="D26" i="6"/>
  <c r="B11" i="6"/>
  <c r="I120" i="6"/>
  <c r="J120" i="6"/>
  <c r="K120" i="6"/>
  <c r="L120" i="6"/>
  <c r="M120" i="6"/>
  <c r="N120" i="6"/>
  <c r="O120" i="6"/>
  <c r="P120" i="6"/>
  <c r="Q120" i="6"/>
  <c r="R120" i="6"/>
  <c r="S120" i="6"/>
  <c r="T120" i="6"/>
  <c r="U120" i="6"/>
  <c r="V120" i="6"/>
  <c r="W120" i="6"/>
  <c r="X120" i="6"/>
  <c r="Y120" i="6"/>
  <c r="Z120" i="6"/>
  <c r="AA120" i="6"/>
  <c r="AB120" i="6"/>
  <c r="AC120" i="6"/>
  <c r="AD120" i="6"/>
  <c r="AE120" i="6"/>
  <c r="I116" i="6"/>
  <c r="J116" i="6"/>
  <c r="K116" i="6"/>
  <c r="L116" i="6"/>
  <c r="M116" i="6"/>
  <c r="N116" i="6"/>
  <c r="O116" i="6"/>
  <c r="P116" i="6"/>
  <c r="R116" i="6"/>
  <c r="S116" i="6"/>
  <c r="T116" i="6"/>
  <c r="U116" i="6"/>
  <c r="V116" i="6"/>
  <c r="W116" i="6"/>
  <c r="X116" i="6"/>
  <c r="Y116" i="6"/>
  <c r="Z116" i="6"/>
  <c r="AA116" i="6"/>
  <c r="AB116" i="6"/>
  <c r="AC116" i="6"/>
  <c r="AD116" i="6"/>
  <c r="AE116" i="6"/>
  <c r="H116" i="6"/>
  <c r="I95" i="6"/>
  <c r="J95" i="6"/>
  <c r="K95" i="6"/>
  <c r="L95" i="6"/>
  <c r="M95" i="6"/>
  <c r="N95" i="6"/>
  <c r="O95" i="6"/>
  <c r="P95" i="6"/>
  <c r="Q95" i="6"/>
  <c r="R95" i="6"/>
  <c r="S95" i="6"/>
  <c r="T95" i="6"/>
  <c r="U95" i="6"/>
  <c r="V95" i="6"/>
  <c r="W95" i="6"/>
  <c r="X95" i="6"/>
  <c r="Y95" i="6"/>
  <c r="Z95" i="6"/>
  <c r="AA95" i="6"/>
  <c r="AB95" i="6"/>
  <c r="AC95" i="6"/>
  <c r="AD95" i="6"/>
  <c r="AE95" i="6"/>
  <c r="H95" i="6"/>
  <c r="I92" i="6"/>
  <c r="J92" i="6"/>
  <c r="K92" i="6"/>
  <c r="L92" i="6"/>
  <c r="M92" i="6"/>
  <c r="N92" i="6"/>
  <c r="O92" i="6"/>
  <c r="P92" i="6"/>
  <c r="Q92" i="6"/>
  <c r="R92" i="6"/>
  <c r="S92" i="6"/>
  <c r="T92" i="6"/>
  <c r="U92" i="6"/>
  <c r="V92" i="6"/>
  <c r="W92" i="6"/>
  <c r="X92" i="6"/>
  <c r="Y92" i="6"/>
  <c r="Z92" i="6"/>
  <c r="AA92" i="6"/>
  <c r="AB92" i="6"/>
  <c r="AC92" i="6"/>
  <c r="AD92" i="6"/>
  <c r="AE92" i="6"/>
  <c r="H92" i="6"/>
  <c r="I89" i="6"/>
  <c r="J89" i="6"/>
  <c r="K89" i="6"/>
  <c r="L89" i="6"/>
  <c r="M89" i="6"/>
  <c r="N89" i="6"/>
  <c r="O89" i="6"/>
  <c r="P89" i="6"/>
  <c r="Q89" i="6"/>
  <c r="R89" i="6"/>
  <c r="S89" i="6"/>
  <c r="T89" i="6"/>
  <c r="U89" i="6"/>
  <c r="V89" i="6"/>
  <c r="W89" i="6"/>
  <c r="X89" i="6"/>
  <c r="Y89" i="6"/>
  <c r="Z89" i="6"/>
  <c r="AA89" i="6"/>
  <c r="AB89" i="6"/>
  <c r="AC89" i="6"/>
  <c r="AD89" i="6"/>
  <c r="AE89" i="6"/>
  <c r="H89" i="6"/>
  <c r="I83" i="6"/>
  <c r="J83" i="6"/>
  <c r="K83" i="6"/>
  <c r="L83" i="6"/>
  <c r="M83" i="6"/>
  <c r="N83" i="6"/>
  <c r="O83" i="6"/>
  <c r="P83" i="6"/>
  <c r="Q83" i="6"/>
  <c r="R83" i="6"/>
  <c r="S83" i="6"/>
  <c r="T83" i="6"/>
  <c r="U83" i="6"/>
  <c r="V83" i="6"/>
  <c r="W83" i="6"/>
  <c r="X83" i="6"/>
  <c r="Y83" i="6"/>
  <c r="Z83" i="6"/>
  <c r="AA83" i="6"/>
  <c r="AB83" i="6"/>
  <c r="AC83" i="6"/>
  <c r="AD83" i="6"/>
  <c r="AE83" i="6"/>
  <c r="H83" i="6"/>
  <c r="F81" i="6"/>
  <c r="I74" i="6"/>
  <c r="J74" i="6"/>
  <c r="K74" i="6"/>
  <c r="L74" i="6"/>
  <c r="M74" i="6"/>
  <c r="N74" i="6"/>
  <c r="O74" i="6"/>
  <c r="P74" i="6"/>
  <c r="Q74" i="6"/>
  <c r="R74" i="6"/>
  <c r="S74" i="6"/>
  <c r="T74" i="6"/>
  <c r="U74" i="6"/>
  <c r="W74" i="6"/>
  <c r="X74" i="6"/>
  <c r="Y74" i="6"/>
  <c r="Z74" i="6"/>
  <c r="AA74" i="6"/>
  <c r="AB74" i="6"/>
  <c r="AC74" i="6"/>
  <c r="AD74" i="6"/>
  <c r="AE74" i="6"/>
  <c r="H74" i="6"/>
  <c r="I68" i="6"/>
  <c r="I66" i="6" s="1"/>
  <c r="J68" i="6"/>
  <c r="J66" i="6" s="1"/>
  <c r="J65" i="6" s="1"/>
  <c r="K68" i="6"/>
  <c r="K66" i="6" s="1"/>
  <c r="L68" i="6"/>
  <c r="L66" i="6" s="1"/>
  <c r="L65" i="6" s="1"/>
  <c r="M66" i="6"/>
  <c r="M65" i="6" s="1"/>
  <c r="N66" i="6"/>
  <c r="O66" i="6"/>
  <c r="P66" i="6"/>
  <c r="Q66" i="6"/>
  <c r="R66" i="6"/>
  <c r="S66" i="6"/>
  <c r="T66" i="6"/>
  <c r="U66" i="6"/>
  <c r="V66" i="6"/>
  <c r="W66" i="6"/>
  <c r="X66" i="6"/>
  <c r="Y66" i="6"/>
  <c r="Z66" i="6"/>
  <c r="AA66" i="6"/>
  <c r="AB66" i="6"/>
  <c r="AC66" i="6"/>
  <c r="AD66" i="6"/>
  <c r="AE66" i="6"/>
  <c r="I46" i="6"/>
  <c r="J46" i="6"/>
  <c r="K46" i="6"/>
  <c r="L46" i="6"/>
  <c r="M46" i="6"/>
  <c r="N46" i="6"/>
  <c r="O46" i="6"/>
  <c r="P46" i="6"/>
  <c r="Q46" i="6"/>
  <c r="R46" i="6"/>
  <c r="S46" i="6"/>
  <c r="T46" i="6"/>
  <c r="U46" i="6"/>
  <c r="V46" i="6"/>
  <c r="W46" i="6"/>
  <c r="X46" i="6"/>
  <c r="Y46" i="6"/>
  <c r="Z46" i="6"/>
  <c r="AA46" i="6"/>
  <c r="AB46" i="6"/>
  <c r="AC46" i="6"/>
  <c r="AD46" i="6"/>
  <c r="AE46" i="6"/>
  <c r="H46" i="6"/>
  <c r="B47" i="6"/>
  <c r="B46" i="6" s="1"/>
  <c r="C46" i="6"/>
  <c r="I43" i="6"/>
  <c r="J43" i="6"/>
  <c r="K43" i="6"/>
  <c r="L43" i="6"/>
  <c r="M43" i="6"/>
  <c r="N43" i="6"/>
  <c r="O43" i="6"/>
  <c r="P43" i="6"/>
  <c r="Q43" i="6"/>
  <c r="R43" i="6"/>
  <c r="S43" i="6"/>
  <c r="T43" i="6"/>
  <c r="U43" i="6"/>
  <c r="V43" i="6"/>
  <c r="W43" i="6"/>
  <c r="X43" i="6"/>
  <c r="Y43" i="6"/>
  <c r="Z43" i="6"/>
  <c r="AA43" i="6"/>
  <c r="AB43" i="6"/>
  <c r="AC43" i="6"/>
  <c r="AD43" i="6"/>
  <c r="AE43" i="6"/>
  <c r="H43" i="6"/>
  <c r="D37" i="6"/>
  <c r="B44" i="6"/>
  <c r="I37" i="6"/>
  <c r="J37" i="6"/>
  <c r="K37" i="6"/>
  <c r="L37" i="6"/>
  <c r="M37" i="6"/>
  <c r="N37" i="6"/>
  <c r="O37" i="6"/>
  <c r="P37" i="6"/>
  <c r="Q37" i="6"/>
  <c r="R37" i="6"/>
  <c r="S37" i="6"/>
  <c r="T37" i="6"/>
  <c r="U37" i="6"/>
  <c r="V37" i="6"/>
  <c r="W37" i="6"/>
  <c r="X37" i="6"/>
  <c r="Y37" i="6"/>
  <c r="Z37" i="6"/>
  <c r="AA37" i="6"/>
  <c r="AB37" i="6"/>
  <c r="AC37" i="6"/>
  <c r="AD37" i="6"/>
  <c r="AE37" i="6"/>
  <c r="H37" i="6"/>
  <c r="F38" i="6"/>
  <c r="E37" i="6"/>
  <c r="I31" i="6"/>
  <c r="J31" i="6"/>
  <c r="K31" i="6"/>
  <c r="L31" i="6"/>
  <c r="M31" i="6"/>
  <c r="N31" i="6"/>
  <c r="O31" i="6"/>
  <c r="P31" i="6"/>
  <c r="Q31" i="6"/>
  <c r="R31" i="6"/>
  <c r="S31" i="6"/>
  <c r="T31" i="6"/>
  <c r="U31" i="6"/>
  <c r="V31" i="6"/>
  <c r="W31" i="6"/>
  <c r="X31" i="6"/>
  <c r="Y31" i="6"/>
  <c r="Z31" i="6"/>
  <c r="AA31" i="6"/>
  <c r="AB31" i="6"/>
  <c r="AC31" i="6"/>
  <c r="AD31" i="6"/>
  <c r="AE31" i="6"/>
  <c r="H31" i="6"/>
  <c r="C31" i="6"/>
  <c r="B32" i="6"/>
  <c r="B31" i="6" s="1"/>
  <c r="C28" i="6"/>
  <c r="B29" i="6"/>
  <c r="B28" i="6" s="1"/>
  <c r="H28" i="6"/>
  <c r="I28" i="6"/>
  <c r="J28" i="6"/>
  <c r="K28" i="6"/>
  <c r="L28" i="6"/>
  <c r="M28" i="6"/>
  <c r="N28" i="6"/>
  <c r="O28" i="6"/>
  <c r="P28" i="6"/>
  <c r="Q28" i="6"/>
  <c r="R28" i="6"/>
  <c r="S28" i="6"/>
  <c r="T28" i="6"/>
  <c r="U28" i="6"/>
  <c r="V28" i="6"/>
  <c r="W28" i="6"/>
  <c r="X28" i="6"/>
  <c r="Y28" i="6"/>
  <c r="Z28" i="6"/>
  <c r="AA28" i="6"/>
  <c r="AB28" i="6"/>
  <c r="AC28" i="6"/>
  <c r="AD28" i="6"/>
  <c r="I22" i="6"/>
  <c r="J22" i="6"/>
  <c r="K22" i="6"/>
  <c r="L22" i="6"/>
  <c r="M22" i="6"/>
  <c r="N22" i="6"/>
  <c r="O22" i="6"/>
  <c r="P22" i="6"/>
  <c r="Q22" i="6"/>
  <c r="R22" i="6"/>
  <c r="S22" i="6"/>
  <c r="T22" i="6"/>
  <c r="U22" i="6"/>
  <c r="V22" i="6"/>
  <c r="W22" i="6"/>
  <c r="X22" i="6"/>
  <c r="Y22" i="6"/>
  <c r="Z22" i="6"/>
  <c r="AA22" i="6"/>
  <c r="AB22" i="6"/>
  <c r="AC22" i="6"/>
  <c r="AD22" i="6"/>
  <c r="AE22" i="6"/>
  <c r="H22" i="6"/>
  <c r="C22" i="6"/>
  <c r="B23" i="6"/>
  <c r="B19" i="6"/>
  <c r="I10" i="6"/>
  <c r="J10" i="6"/>
  <c r="K10" i="6"/>
  <c r="L10" i="6"/>
  <c r="M10" i="6"/>
  <c r="O10" i="6"/>
  <c r="P10" i="6"/>
  <c r="Q10" i="6"/>
  <c r="R10" i="6"/>
  <c r="S10" i="6"/>
  <c r="T10" i="6"/>
  <c r="U10" i="6"/>
  <c r="V10" i="6"/>
  <c r="W10" i="6"/>
  <c r="X10" i="6"/>
  <c r="Y10" i="6"/>
  <c r="Z10" i="6"/>
  <c r="AA10" i="6"/>
  <c r="AB10" i="6"/>
  <c r="AC10" i="6"/>
  <c r="AD10" i="6"/>
  <c r="AE10" i="6"/>
  <c r="H10" i="6"/>
  <c r="I15" i="6"/>
  <c r="J15" i="6"/>
  <c r="K15" i="6"/>
  <c r="L15" i="6"/>
  <c r="M15" i="6"/>
  <c r="N15" i="6"/>
  <c r="O15" i="6"/>
  <c r="P15" i="6"/>
  <c r="Q15" i="6"/>
  <c r="R15" i="6"/>
  <c r="S15" i="6"/>
  <c r="T15" i="6"/>
  <c r="U15" i="6"/>
  <c r="V15" i="6"/>
  <c r="W15" i="6"/>
  <c r="X15" i="6"/>
  <c r="Y15" i="6"/>
  <c r="Z15" i="6"/>
  <c r="AA15" i="6"/>
  <c r="AB15" i="6"/>
  <c r="AC15" i="6"/>
  <c r="AD15" i="6"/>
  <c r="AE15" i="6"/>
  <c r="H15" i="6"/>
  <c r="C15" i="6"/>
  <c r="B16" i="6"/>
  <c r="E124" i="6"/>
  <c r="D120" i="6"/>
  <c r="C95" i="6"/>
  <c r="B96" i="6"/>
  <c r="F96" i="6" s="1"/>
  <c r="D95" i="6"/>
  <c r="E92" i="6"/>
  <c r="C92" i="6"/>
  <c r="B93" i="6"/>
  <c r="F93" i="6" s="1"/>
  <c r="D92" i="6"/>
  <c r="E89" i="6"/>
  <c r="B90" i="6"/>
  <c r="F90" i="6" s="1"/>
  <c r="D89" i="6"/>
  <c r="C89" i="6"/>
  <c r="E86" i="6"/>
  <c r="B87" i="6"/>
  <c r="B86" i="6" s="1"/>
  <c r="D86" i="6"/>
  <c r="C86" i="6"/>
  <c r="E83" i="6"/>
  <c r="B84" i="6"/>
  <c r="F84" i="6" s="1"/>
  <c r="D83" i="6"/>
  <c r="C83" i="6"/>
  <c r="R36" i="5"/>
  <c r="I69" i="5"/>
  <c r="J69" i="5"/>
  <c r="K69" i="5"/>
  <c r="L69" i="5"/>
  <c r="M69" i="5"/>
  <c r="N69" i="5"/>
  <c r="O69" i="5"/>
  <c r="P69" i="5"/>
  <c r="Q69" i="5"/>
  <c r="R69" i="5"/>
  <c r="S69" i="5"/>
  <c r="T69" i="5"/>
  <c r="U69" i="5"/>
  <c r="V69" i="5"/>
  <c r="W69" i="5"/>
  <c r="X69" i="5"/>
  <c r="Y69" i="5"/>
  <c r="Z69" i="5"/>
  <c r="AA69" i="5"/>
  <c r="AB69" i="5"/>
  <c r="AC69" i="5"/>
  <c r="AD69" i="5"/>
  <c r="AE69" i="5"/>
  <c r="H69" i="5"/>
  <c r="J64" i="5"/>
  <c r="K64" i="5"/>
  <c r="L64" i="5"/>
  <c r="M64" i="5"/>
  <c r="N64" i="5"/>
  <c r="O64" i="5"/>
  <c r="P64" i="5"/>
  <c r="Q64" i="5"/>
  <c r="R64" i="5"/>
  <c r="S64" i="5"/>
  <c r="T64" i="5"/>
  <c r="U64" i="5"/>
  <c r="V64" i="5"/>
  <c r="W64" i="5"/>
  <c r="X64" i="5"/>
  <c r="Y64" i="5"/>
  <c r="Z64" i="5"/>
  <c r="AA64" i="5"/>
  <c r="AB64" i="5"/>
  <c r="AC64" i="5"/>
  <c r="AD64" i="5"/>
  <c r="AE64" i="5"/>
  <c r="H64" i="5"/>
  <c r="H67" i="5" s="1"/>
  <c r="H66" i="5" s="1"/>
  <c r="I60" i="5"/>
  <c r="J60" i="5"/>
  <c r="K60" i="5"/>
  <c r="L60" i="5"/>
  <c r="M60" i="5"/>
  <c r="N60" i="5"/>
  <c r="O60" i="5"/>
  <c r="P60" i="5"/>
  <c r="Q60" i="5"/>
  <c r="R60" i="5"/>
  <c r="S60" i="5"/>
  <c r="T60" i="5"/>
  <c r="U60" i="5"/>
  <c r="V60" i="5"/>
  <c r="W60" i="5"/>
  <c r="X60" i="5"/>
  <c r="Y60" i="5"/>
  <c r="Z60" i="5"/>
  <c r="AA60" i="5"/>
  <c r="AB60" i="5"/>
  <c r="AC60" i="5"/>
  <c r="AD60" i="5"/>
  <c r="AE60" i="5"/>
  <c r="H60" i="5"/>
  <c r="B61" i="5"/>
  <c r="H57" i="5"/>
  <c r="H56" i="5" s="1"/>
  <c r="I50" i="5"/>
  <c r="J50" i="5"/>
  <c r="K50" i="5"/>
  <c r="L50" i="5"/>
  <c r="M50" i="5"/>
  <c r="N50" i="5"/>
  <c r="O50" i="5"/>
  <c r="P50" i="5"/>
  <c r="Q50" i="5"/>
  <c r="R50" i="5"/>
  <c r="S50" i="5"/>
  <c r="T50" i="5"/>
  <c r="U50" i="5"/>
  <c r="V50" i="5"/>
  <c r="W50" i="5"/>
  <c r="X50" i="5"/>
  <c r="Y50" i="5"/>
  <c r="Z50" i="5"/>
  <c r="AA50" i="5"/>
  <c r="AB50" i="5"/>
  <c r="AC50" i="5"/>
  <c r="AD50" i="5"/>
  <c r="AE50" i="5"/>
  <c r="H50" i="5"/>
  <c r="B51" i="5"/>
  <c r="I39" i="5"/>
  <c r="J39" i="5"/>
  <c r="K39" i="5"/>
  <c r="L39" i="5"/>
  <c r="M39" i="5"/>
  <c r="N39" i="5"/>
  <c r="O39" i="5"/>
  <c r="P39" i="5"/>
  <c r="Q39" i="5"/>
  <c r="R39" i="5"/>
  <c r="S39" i="5"/>
  <c r="T39" i="5"/>
  <c r="U39" i="5"/>
  <c r="V39" i="5"/>
  <c r="W39" i="5"/>
  <c r="X39" i="5"/>
  <c r="Y39" i="5"/>
  <c r="Z39" i="5"/>
  <c r="AA39" i="5"/>
  <c r="AB39" i="5"/>
  <c r="AC39" i="5"/>
  <c r="AD39" i="5"/>
  <c r="AE39" i="5"/>
  <c r="H39" i="5"/>
  <c r="I36" i="5"/>
  <c r="J36" i="5"/>
  <c r="K36" i="5"/>
  <c r="L36" i="5"/>
  <c r="M36" i="5"/>
  <c r="N36" i="5"/>
  <c r="O36" i="5"/>
  <c r="P36" i="5"/>
  <c r="Q36" i="5"/>
  <c r="S36" i="5"/>
  <c r="T36" i="5"/>
  <c r="U36" i="5"/>
  <c r="V36" i="5"/>
  <c r="W36" i="5"/>
  <c r="X36" i="5"/>
  <c r="Y36" i="5"/>
  <c r="Z36" i="5"/>
  <c r="AA36" i="5"/>
  <c r="AB36" i="5"/>
  <c r="AC36" i="5"/>
  <c r="AD36" i="5"/>
  <c r="AE36" i="5"/>
  <c r="H36" i="5"/>
  <c r="I30" i="5"/>
  <c r="J30" i="5"/>
  <c r="K30" i="5"/>
  <c r="L30" i="5"/>
  <c r="M30" i="5"/>
  <c r="N30" i="5"/>
  <c r="O30" i="5"/>
  <c r="P30" i="5"/>
  <c r="Q30" i="5"/>
  <c r="R30" i="5"/>
  <c r="S30" i="5"/>
  <c r="T30" i="5"/>
  <c r="U30" i="5"/>
  <c r="V30" i="5"/>
  <c r="W30" i="5"/>
  <c r="X30" i="5"/>
  <c r="Y30" i="5"/>
  <c r="Z30" i="5"/>
  <c r="AA30" i="5"/>
  <c r="AB30" i="5"/>
  <c r="AC30" i="5"/>
  <c r="AD30" i="5"/>
  <c r="AE30" i="5"/>
  <c r="H30" i="5"/>
  <c r="B31" i="5"/>
  <c r="B30" i="5" s="1"/>
  <c r="J28" i="5"/>
  <c r="K28" i="5"/>
  <c r="L28" i="5"/>
  <c r="M28" i="5"/>
  <c r="N28" i="5"/>
  <c r="O28" i="5"/>
  <c r="P28" i="5"/>
  <c r="Q28" i="5"/>
  <c r="R28" i="5"/>
  <c r="S28" i="5"/>
  <c r="T28" i="5"/>
  <c r="U28" i="5"/>
  <c r="V28" i="5"/>
  <c r="W28" i="5"/>
  <c r="X28" i="5"/>
  <c r="Y28" i="5"/>
  <c r="Z28" i="5"/>
  <c r="AA28" i="5"/>
  <c r="AB28" i="5"/>
  <c r="AC28" i="5"/>
  <c r="AD28" i="5"/>
  <c r="AE28" i="5"/>
  <c r="H28" i="5"/>
  <c r="I14" i="5"/>
  <c r="J14" i="5"/>
  <c r="K14" i="5"/>
  <c r="L14" i="5"/>
  <c r="M14" i="5"/>
  <c r="N14" i="5"/>
  <c r="O14" i="5"/>
  <c r="P14" i="5"/>
  <c r="Q14" i="5"/>
  <c r="R14" i="5"/>
  <c r="S14" i="5"/>
  <c r="T14" i="5"/>
  <c r="U14" i="5"/>
  <c r="V14" i="5"/>
  <c r="W14" i="5"/>
  <c r="X14" i="5"/>
  <c r="Y14" i="5"/>
  <c r="Z14" i="5"/>
  <c r="AA14" i="5"/>
  <c r="AB14" i="5"/>
  <c r="AC14" i="5"/>
  <c r="AD14" i="5"/>
  <c r="AE14" i="5"/>
  <c r="H14" i="5"/>
  <c r="H17" i="5" s="1"/>
  <c r="H16" i="5" s="1"/>
  <c r="E34" i="5"/>
  <c r="E33" i="5" s="1"/>
  <c r="C34" i="5"/>
  <c r="B34" i="5"/>
  <c r="B33" i="5" s="1"/>
  <c r="D33" i="5"/>
  <c r="B125" i="6"/>
  <c r="B129" i="6" s="1"/>
  <c r="C74" i="6"/>
  <c r="B75" i="6"/>
  <c r="B74" i="6" s="1"/>
  <c r="D74" i="6"/>
  <c r="E68" i="6"/>
  <c r="B68" i="6"/>
  <c r="C26" i="6" l="1"/>
  <c r="AC55" i="6"/>
  <c r="Y55" i="6"/>
  <c r="U55" i="6"/>
  <c r="U133" i="6" s="1"/>
  <c r="Q55" i="6"/>
  <c r="Q52" i="6" s="1"/>
  <c r="M55" i="6"/>
  <c r="M133" i="6" s="1"/>
  <c r="I55" i="6"/>
  <c r="I133" i="6" s="1"/>
  <c r="AD55" i="6"/>
  <c r="V55" i="6"/>
  <c r="V61" i="6" s="1"/>
  <c r="V58" i="6" s="1"/>
  <c r="N55" i="6"/>
  <c r="D28" i="5"/>
  <c r="X65" i="6"/>
  <c r="X102" i="6"/>
  <c r="X101" i="6" s="1"/>
  <c r="X99" i="6" s="1"/>
  <c r="X98" i="6" s="1"/>
  <c r="P65" i="6"/>
  <c r="P102" i="6"/>
  <c r="P101" i="6" s="1"/>
  <c r="P99" i="6" s="1"/>
  <c r="P98" i="6" s="1"/>
  <c r="AE65" i="6"/>
  <c r="AE102" i="6"/>
  <c r="AE101" i="6" s="1"/>
  <c r="AE99" i="6" s="1"/>
  <c r="AE98" i="6" s="1"/>
  <c r="W65" i="6"/>
  <c r="W102" i="6"/>
  <c r="W101" i="6" s="1"/>
  <c r="W99" i="6" s="1"/>
  <c r="W98" i="6" s="1"/>
  <c r="O65" i="6"/>
  <c r="O102" i="6"/>
  <c r="O101" i="6" s="1"/>
  <c r="O99" i="6" s="1"/>
  <c r="O98" i="6" s="1"/>
  <c r="AD65" i="6"/>
  <c r="AD102" i="6"/>
  <c r="AD101" i="6" s="1"/>
  <c r="AD99" i="6" s="1"/>
  <c r="AD98" i="6" s="1"/>
  <c r="V65" i="6"/>
  <c r="V102" i="6"/>
  <c r="V101" i="6" s="1"/>
  <c r="V99" i="6" s="1"/>
  <c r="V98" i="6" s="1"/>
  <c r="N65" i="6"/>
  <c r="N102" i="6"/>
  <c r="N101" i="6" s="1"/>
  <c r="N99" i="6" s="1"/>
  <c r="N98" i="6" s="1"/>
  <c r="AC65" i="6"/>
  <c r="AC102" i="6"/>
  <c r="AC101" i="6" s="1"/>
  <c r="AC99" i="6" s="1"/>
  <c r="AC98" i="6" s="1"/>
  <c r="U65" i="6"/>
  <c r="U102" i="6"/>
  <c r="U101" i="6" s="1"/>
  <c r="U99" i="6" s="1"/>
  <c r="U98" i="6" s="1"/>
  <c r="AD52" i="6"/>
  <c r="V52" i="6"/>
  <c r="N52" i="6"/>
  <c r="AB65" i="6"/>
  <c r="AB102" i="6"/>
  <c r="AB101" i="6" s="1"/>
  <c r="AB99" i="6" s="1"/>
  <c r="AB98" i="6" s="1"/>
  <c r="T65" i="6"/>
  <c r="T102" i="6"/>
  <c r="T101" i="6" s="1"/>
  <c r="T99" i="6" s="1"/>
  <c r="T98" i="6" s="1"/>
  <c r="AA65" i="6"/>
  <c r="AA102" i="6"/>
  <c r="AA101" i="6" s="1"/>
  <c r="AA99" i="6" s="1"/>
  <c r="AA98" i="6" s="1"/>
  <c r="S65" i="6"/>
  <c r="S102" i="6"/>
  <c r="S101" i="6" s="1"/>
  <c r="S99" i="6" s="1"/>
  <c r="S98" i="6" s="1"/>
  <c r="K65" i="6"/>
  <c r="K102" i="6"/>
  <c r="K101" i="6" s="1"/>
  <c r="K99" i="6" s="1"/>
  <c r="Z65" i="6"/>
  <c r="Z102" i="6"/>
  <c r="Z101" i="6" s="1"/>
  <c r="Z99" i="6" s="1"/>
  <c r="Z98" i="6" s="1"/>
  <c r="R65" i="6"/>
  <c r="R102" i="6"/>
  <c r="R101" i="6" s="1"/>
  <c r="R99" i="6" s="1"/>
  <c r="R98" i="6" s="1"/>
  <c r="AA55" i="6"/>
  <c r="S55" i="6"/>
  <c r="S133" i="6" s="1"/>
  <c r="K55" i="6"/>
  <c r="K52" i="6" s="1"/>
  <c r="Y65" i="6"/>
  <c r="Y102" i="6"/>
  <c r="Y101" i="6" s="1"/>
  <c r="Y99" i="6" s="1"/>
  <c r="Y98" i="6" s="1"/>
  <c r="Q65" i="6"/>
  <c r="Q102" i="6"/>
  <c r="Q101" i="6" s="1"/>
  <c r="Q99" i="6" s="1"/>
  <c r="Q98" i="6" s="1"/>
  <c r="I65" i="6"/>
  <c r="I102" i="6"/>
  <c r="I101" i="6" s="1"/>
  <c r="Z55" i="6"/>
  <c r="Z61" i="6" s="1"/>
  <c r="R55" i="6"/>
  <c r="J55" i="6"/>
  <c r="J61" i="6" s="1"/>
  <c r="C77" i="6"/>
  <c r="B66" i="6"/>
  <c r="B65" i="6" s="1"/>
  <c r="D117" i="6"/>
  <c r="F117" i="6" s="1"/>
  <c r="C33" i="5"/>
  <c r="G33" i="5" s="1"/>
  <c r="H55" i="6"/>
  <c r="AB55" i="6"/>
  <c r="X55" i="6"/>
  <c r="X61" i="6" s="1"/>
  <c r="X58" i="6" s="1"/>
  <c r="T55" i="6"/>
  <c r="T61" i="6" s="1"/>
  <c r="P55" i="6"/>
  <c r="L55" i="6"/>
  <c r="D22" i="6"/>
  <c r="C80" i="6"/>
  <c r="C124" i="6"/>
  <c r="B127" i="6"/>
  <c r="H22" i="5"/>
  <c r="H43" i="5" s="1"/>
  <c r="B80" i="6"/>
  <c r="F80" i="6" s="1"/>
  <c r="AE55" i="6"/>
  <c r="H63" i="5"/>
  <c r="H71" i="5"/>
  <c r="H70" i="5" s="1"/>
  <c r="H68" i="5"/>
  <c r="H27" i="5"/>
  <c r="H13" i="5"/>
  <c r="B92" i="6"/>
  <c r="F92" i="6" s="1"/>
  <c r="B89" i="6"/>
  <c r="F89" i="6" s="1"/>
  <c r="F33" i="5"/>
  <c r="B28" i="5"/>
  <c r="F34" i="5"/>
  <c r="G34" i="5"/>
  <c r="AE13" i="5"/>
  <c r="AE17" i="5"/>
  <c r="AE16" i="5" s="1"/>
  <c r="AD13" i="5"/>
  <c r="AD17" i="5"/>
  <c r="AD16" i="5" s="1"/>
  <c r="AC13" i="5"/>
  <c r="AC17" i="5"/>
  <c r="AC16" i="5" s="1"/>
  <c r="AB13" i="5"/>
  <c r="AB17" i="5"/>
  <c r="AB16" i="5" s="1"/>
  <c r="AA13" i="5"/>
  <c r="AA17" i="5"/>
  <c r="AA16" i="5" s="1"/>
  <c r="Z13" i="5"/>
  <c r="Z17" i="5"/>
  <c r="Z16" i="5" s="1"/>
  <c r="Y13" i="5"/>
  <c r="Y17" i="5"/>
  <c r="Y16" i="5" s="1"/>
  <c r="X13" i="5"/>
  <c r="X17" i="5"/>
  <c r="X16" i="5" s="1"/>
  <c r="W13" i="5"/>
  <c r="W17" i="5"/>
  <c r="W16" i="5" s="1"/>
  <c r="V13" i="5"/>
  <c r="V17" i="5"/>
  <c r="V16" i="5" s="1"/>
  <c r="U13" i="5"/>
  <c r="U17" i="5"/>
  <c r="U16" i="5" s="1"/>
  <c r="T13" i="5"/>
  <c r="T17" i="5"/>
  <c r="T16" i="5" s="1"/>
  <c r="S13" i="5"/>
  <c r="S17" i="5"/>
  <c r="S16" i="5" s="1"/>
  <c r="R13" i="5"/>
  <c r="R17" i="5"/>
  <c r="R16" i="5" s="1"/>
  <c r="Q13" i="5"/>
  <c r="Q17" i="5"/>
  <c r="Q16" i="5" s="1"/>
  <c r="P13" i="5"/>
  <c r="P17" i="5"/>
  <c r="P16" i="5" s="1"/>
  <c r="O13" i="5"/>
  <c r="O17" i="5"/>
  <c r="O16" i="5" s="1"/>
  <c r="N13" i="5"/>
  <c r="N17" i="5"/>
  <c r="N16" i="5" s="1"/>
  <c r="M13" i="5"/>
  <c r="M17" i="5"/>
  <c r="M16" i="5" s="1"/>
  <c r="L13" i="5"/>
  <c r="L17" i="5"/>
  <c r="L16" i="5" s="1"/>
  <c r="K13" i="5"/>
  <c r="K17" i="5"/>
  <c r="K16" i="5" s="1"/>
  <c r="J13" i="5"/>
  <c r="J17" i="5"/>
  <c r="J16" i="5" s="1"/>
  <c r="I13" i="5"/>
  <c r="I17" i="5"/>
  <c r="I16" i="5" s="1"/>
  <c r="AE27" i="5"/>
  <c r="AE22" i="5"/>
  <c r="AD27" i="5"/>
  <c r="AD22" i="5"/>
  <c r="AC27" i="5"/>
  <c r="AC22" i="5"/>
  <c r="AB27" i="5"/>
  <c r="AB22" i="5"/>
  <c r="AA27" i="5"/>
  <c r="AA22" i="5"/>
  <c r="Z27" i="5"/>
  <c r="Z22" i="5"/>
  <c r="Y27" i="5"/>
  <c r="Y22" i="5"/>
  <c r="X27" i="5"/>
  <c r="X22" i="5"/>
  <c r="W27" i="5"/>
  <c r="W22" i="5"/>
  <c r="V27" i="5"/>
  <c r="V22" i="5"/>
  <c r="U27" i="5"/>
  <c r="U22" i="5"/>
  <c r="T27" i="5"/>
  <c r="T22" i="5"/>
  <c r="T21" i="5" s="1"/>
  <c r="S27" i="5"/>
  <c r="S22" i="5"/>
  <c r="R27" i="5"/>
  <c r="R22" i="5"/>
  <c r="R21" i="5" s="1"/>
  <c r="Q27" i="5"/>
  <c r="Q22" i="5"/>
  <c r="P27" i="5"/>
  <c r="P22" i="5"/>
  <c r="O27" i="5"/>
  <c r="O22" i="5"/>
  <c r="N27" i="5"/>
  <c r="N22" i="5"/>
  <c r="M27" i="5"/>
  <c r="M22" i="5"/>
  <c r="L27" i="5"/>
  <c r="L22" i="5"/>
  <c r="K27" i="5"/>
  <c r="K22" i="5"/>
  <c r="J27" i="5"/>
  <c r="J22" i="5"/>
  <c r="I27" i="5"/>
  <c r="B50" i="5"/>
  <c r="B54" i="5"/>
  <c r="B53" i="5" s="1"/>
  <c r="AE53" i="5"/>
  <c r="AE57" i="5"/>
  <c r="AE56" i="5" s="1"/>
  <c r="AD57" i="5"/>
  <c r="AD56" i="5" s="1"/>
  <c r="AD53" i="5"/>
  <c r="AC53" i="5"/>
  <c r="AC57" i="5"/>
  <c r="AC56" i="5" s="1"/>
  <c r="AB57" i="5"/>
  <c r="AB56" i="5" s="1"/>
  <c r="AB53" i="5"/>
  <c r="AA53" i="5"/>
  <c r="AA57" i="5"/>
  <c r="AA56" i="5" s="1"/>
  <c r="Z57" i="5"/>
  <c r="Z56" i="5" s="1"/>
  <c r="Z53" i="5"/>
  <c r="Y53" i="5"/>
  <c r="Y57" i="5"/>
  <c r="Y56" i="5" s="1"/>
  <c r="X57" i="5"/>
  <c r="X56" i="5" s="1"/>
  <c r="X53" i="5"/>
  <c r="W53" i="5"/>
  <c r="W57" i="5"/>
  <c r="W56" i="5" s="1"/>
  <c r="V57" i="5"/>
  <c r="V56" i="5" s="1"/>
  <c r="V53" i="5"/>
  <c r="U53" i="5"/>
  <c r="U57" i="5"/>
  <c r="U56" i="5" s="1"/>
  <c r="T57" i="5"/>
  <c r="T56" i="5" s="1"/>
  <c r="T53" i="5"/>
  <c r="S53" i="5"/>
  <c r="S57" i="5"/>
  <c r="S56" i="5" s="1"/>
  <c r="R57" i="5"/>
  <c r="R56" i="5" s="1"/>
  <c r="R53" i="5"/>
  <c r="Q53" i="5"/>
  <c r="Q57" i="5"/>
  <c r="Q56" i="5" s="1"/>
  <c r="P57" i="5"/>
  <c r="P56" i="5" s="1"/>
  <c r="P53" i="5"/>
  <c r="O53" i="5"/>
  <c r="O57" i="5"/>
  <c r="O56" i="5" s="1"/>
  <c r="N57" i="5"/>
  <c r="N56" i="5" s="1"/>
  <c r="N53" i="5"/>
  <c r="M53" i="5"/>
  <c r="M57" i="5"/>
  <c r="M56" i="5" s="1"/>
  <c r="L57" i="5"/>
  <c r="L56" i="5" s="1"/>
  <c r="L53" i="5"/>
  <c r="K53" i="5"/>
  <c r="K57" i="5"/>
  <c r="K56" i="5" s="1"/>
  <c r="J57" i="5"/>
  <c r="J56" i="5" s="1"/>
  <c r="J53" i="5"/>
  <c r="I53" i="5"/>
  <c r="I57" i="5"/>
  <c r="I56" i="5" s="1"/>
  <c r="B64" i="5"/>
  <c r="B63" i="5" s="1"/>
  <c r="B60" i="5"/>
  <c r="AE63" i="5"/>
  <c r="AE67" i="5"/>
  <c r="AE66" i="5" s="1"/>
  <c r="AD67" i="5"/>
  <c r="AD66" i="5" s="1"/>
  <c r="AD63" i="5"/>
  <c r="AC63" i="5"/>
  <c r="AC67" i="5"/>
  <c r="AC66" i="5" s="1"/>
  <c r="AB67" i="5"/>
  <c r="AB66" i="5" s="1"/>
  <c r="AB63" i="5"/>
  <c r="AA63" i="5"/>
  <c r="AA67" i="5"/>
  <c r="AA66" i="5" s="1"/>
  <c r="Z67" i="5"/>
  <c r="Z66" i="5" s="1"/>
  <c r="Z63" i="5"/>
  <c r="Y63" i="5"/>
  <c r="Y67" i="5"/>
  <c r="Y66" i="5" s="1"/>
  <c r="X67" i="5"/>
  <c r="X66" i="5" s="1"/>
  <c r="X63" i="5"/>
  <c r="W63" i="5"/>
  <c r="W67" i="5"/>
  <c r="W66" i="5" s="1"/>
  <c r="V67" i="5"/>
  <c r="V66" i="5" s="1"/>
  <c r="V63" i="5"/>
  <c r="U63" i="5"/>
  <c r="U67" i="5"/>
  <c r="U66" i="5" s="1"/>
  <c r="T67" i="5"/>
  <c r="T66" i="5" s="1"/>
  <c r="T63" i="5"/>
  <c r="S63" i="5"/>
  <c r="S67" i="5"/>
  <c r="S66" i="5" s="1"/>
  <c r="R67" i="5"/>
  <c r="R66" i="5" s="1"/>
  <c r="R63" i="5"/>
  <c r="Q63" i="5"/>
  <c r="Q67" i="5"/>
  <c r="Q66" i="5" s="1"/>
  <c r="P67" i="5"/>
  <c r="P66" i="5" s="1"/>
  <c r="P63" i="5"/>
  <c r="O63" i="5"/>
  <c r="O67" i="5"/>
  <c r="O66" i="5" s="1"/>
  <c r="N67" i="5"/>
  <c r="N66" i="5" s="1"/>
  <c r="N63" i="5"/>
  <c r="M63" i="5"/>
  <c r="M67" i="5"/>
  <c r="M66" i="5" s="1"/>
  <c r="L67" i="5"/>
  <c r="L66" i="5" s="1"/>
  <c r="L63" i="5"/>
  <c r="K63" i="5"/>
  <c r="K67" i="5"/>
  <c r="K66" i="5" s="1"/>
  <c r="J67" i="5"/>
  <c r="J66" i="5" s="1"/>
  <c r="J63" i="5"/>
  <c r="I63" i="5"/>
  <c r="I67" i="5"/>
  <c r="I66" i="5" s="1"/>
  <c r="AE68" i="5"/>
  <c r="AE71" i="5"/>
  <c r="AE70" i="5" s="1"/>
  <c r="AD71" i="5"/>
  <c r="AD70" i="5" s="1"/>
  <c r="AD68" i="5"/>
  <c r="AC68" i="5"/>
  <c r="AC71" i="5"/>
  <c r="AC70" i="5" s="1"/>
  <c r="AB71" i="5"/>
  <c r="AB70" i="5" s="1"/>
  <c r="AB68" i="5"/>
  <c r="AA68" i="5"/>
  <c r="AA71" i="5"/>
  <c r="AA70" i="5" s="1"/>
  <c r="Z71" i="5"/>
  <c r="Z70" i="5" s="1"/>
  <c r="Z68" i="5"/>
  <c r="Y68" i="5"/>
  <c r="Y71" i="5"/>
  <c r="Y70" i="5" s="1"/>
  <c r="X71" i="5"/>
  <c r="X70" i="5" s="1"/>
  <c r="X68" i="5"/>
  <c r="W68" i="5"/>
  <c r="W71" i="5"/>
  <c r="W70" i="5" s="1"/>
  <c r="V71" i="5"/>
  <c r="V70" i="5" s="1"/>
  <c r="V68" i="5"/>
  <c r="U68" i="5"/>
  <c r="U71" i="5"/>
  <c r="U70" i="5" s="1"/>
  <c r="T71" i="5"/>
  <c r="T70" i="5" s="1"/>
  <c r="T68" i="5"/>
  <c r="S68" i="5"/>
  <c r="S71" i="5"/>
  <c r="S70" i="5" s="1"/>
  <c r="R71" i="5"/>
  <c r="R70" i="5" s="1"/>
  <c r="R68" i="5"/>
  <c r="Q68" i="5"/>
  <c r="Q71" i="5"/>
  <c r="Q70" i="5" s="1"/>
  <c r="P71" i="5"/>
  <c r="P70" i="5" s="1"/>
  <c r="P68" i="5"/>
  <c r="O68" i="5"/>
  <c r="O71" i="5"/>
  <c r="O70" i="5" s="1"/>
  <c r="N71" i="5"/>
  <c r="N70" i="5" s="1"/>
  <c r="N68" i="5"/>
  <c r="M68" i="5"/>
  <c r="M71" i="5"/>
  <c r="M70" i="5" s="1"/>
  <c r="L71" i="5"/>
  <c r="L70" i="5" s="1"/>
  <c r="L68" i="5"/>
  <c r="K68" i="5"/>
  <c r="K71" i="5"/>
  <c r="K70" i="5" s="1"/>
  <c r="J71" i="5"/>
  <c r="J70" i="5" s="1"/>
  <c r="J68" i="5"/>
  <c r="I68" i="5"/>
  <c r="I71" i="5"/>
  <c r="I70" i="5" s="1"/>
  <c r="AC52" i="6"/>
  <c r="AC61" i="6"/>
  <c r="AA52" i="6"/>
  <c r="AA61" i="6"/>
  <c r="Y52" i="6"/>
  <c r="Y61" i="6"/>
  <c r="W52" i="6"/>
  <c r="W61" i="6"/>
  <c r="U52" i="6"/>
  <c r="U61" i="6"/>
  <c r="S52" i="6"/>
  <c r="O52" i="6"/>
  <c r="O61" i="6"/>
  <c r="M52" i="6"/>
  <c r="M61" i="6"/>
  <c r="I52" i="6"/>
  <c r="I61" i="6"/>
  <c r="B103" i="7"/>
  <c r="B102" i="7" s="1"/>
  <c r="B117" i="7"/>
  <c r="B121" i="7" s="1"/>
  <c r="B119" i="7" s="1"/>
  <c r="G53" i="7"/>
  <c r="D115" i="7"/>
  <c r="C117" i="7"/>
  <c r="G114" i="7"/>
  <c r="C51" i="7"/>
  <c r="C58" i="7"/>
  <c r="C56" i="7" s="1"/>
  <c r="E51" i="7"/>
  <c r="E58" i="7"/>
  <c r="E56" i="7" s="1"/>
  <c r="B58" i="7"/>
  <c r="B56" i="7" s="1"/>
  <c r="B51" i="7"/>
  <c r="F51" i="7" s="1"/>
  <c r="F25" i="7"/>
  <c r="G25" i="7"/>
  <c r="B99" i="7"/>
  <c r="D103" i="7"/>
  <c r="D102" i="7" s="1"/>
  <c r="F100" i="7"/>
  <c r="D99" i="7"/>
  <c r="E102" i="7"/>
  <c r="G113" i="7"/>
  <c r="F113" i="7"/>
  <c r="G57" i="7"/>
  <c r="F57" i="7"/>
  <c r="C103" i="7"/>
  <c r="C102" i="7" s="1"/>
  <c r="C99" i="7"/>
  <c r="G99" i="7" s="1"/>
  <c r="G122" i="7"/>
  <c r="F122" i="7"/>
  <c r="G90" i="7"/>
  <c r="F90" i="7"/>
  <c r="G100" i="7"/>
  <c r="F114" i="7"/>
  <c r="B54" i="6"/>
  <c r="E65" i="6"/>
  <c r="E74" i="6"/>
  <c r="B37" i="6"/>
  <c r="F37" i="6" s="1"/>
  <c r="H25" i="6"/>
  <c r="C55" i="6"/>
  <c r="AD25" i="6"/>
  <c r="AB25" i="6"/>
  <c r="Z25" i="6"/>
  <c r="X25" i="6"/>
  <c r="V25" i="6"/>
  <c r="T25" i="6"/>
  <c r="R25" i="6"/>
  <c r="P25" i="6"/>
  <c r="N25" i="6"/>
  <c r="L25" i="6"/>
  <c r="J25" i="6"/>
  <c r="F75" i="6"/>
  <c r="B72" i="6"/>
  <c r="B116" i="6"/>
  <c r="E116" i="6"/>
  <c r="E125" i="6"/>
  <c r="E128" i="6"/>
  <c r="B18" i="6"/>
  <c r="B53" i="6"/>
  <c r="B59" i="6" s="1"/>
  <c r="B131" i="6" s="1"/>
  <c r="H59" i="6"/>
  <c r="C65" i="6"/>
  <c r="C99" i="6"/>
  <c r="D65" i="6"/>
  <c r="C116" i="6"/>
  <c r="C125" i="6"/>
  <c r="C129" i="6" s="1"/>
  <c r="E77" i="6"/>
  <c r="B43" i="6"/>
  <c r="B78" i="6"/>
  <c r="D25" i="6"/>
  <c r="AE25" i="6"/>
  <c r="AC25" i="6"/>
  <c r="AA25" i="6"/>
  <c r="Y25" i="6"/>
  <c r="W25" i="6"/>
  <c r="U25" i="6"/>
  <c r="S25" i="6"/>
  <c r="Q25" i="6"/>
  <c r="O25" i="6"/>
  <c r="M25" i="6"/>
  <c r="K25" i="6"/>
  <c r="I25" i="6"/>
  <c r="H61" i="6"/>
  <c r="AD61" i="6"/>
  <c r="AD58" i="6" s="1"/>
  <c r="AB61" i="6"/>
  <c r="AB58" i="6" s="1"/>
  <c r="R61" i="6"/>
  <c r="P61" i="6"/>
  <c r="N61" i="6"/>
  <c r="L61" i="6"/>
  <c r="Z60" i="6"/>
  <c r="T60" i="6"/>
  <c r="R60" i="6"/>
  <c r="P60" i="6"/>
  <c r="N60" i="6"/>
  <c r="L60" i="6"/>
  <c r="J60" i="6"/>
  <c r="AE59" i="6"/>
  <c r="AC59" i="6"/>
  <c r="AA59" i="6"/>
  <c r="Y59" i="6"/>
  <c r="W59" i="6"/>
  <c r="U59" i="6"/>
  <c r="S59" i="6"/>
  <c r="Q59" i="6"/>
  <c r="O59" i="6"/>
  <c r="M59" i="6"/>
  <c r="K59" i="6"/>
  <c r="I59" i="6"/>
  <c r="F87" i="6"/>
  <c r="F86" i="6"/>
  <c r="B15" i="6"/>
  <c r="C120" i="6"/>
  <c r="F121" i="6"/>
  <c r="B123" i="6"/>
  <c r="B83" i="6"/>
  <c r="F83" i="6" s="1"/>
  <c r="B26" i="6"/>
  <c r="G37" i="6"/>
  <c r="C9" i="6"/>
  <c r="G96" i="6"/>
  <c r="B41" i="6"/>
  <c r="B40" i="6" s="1"/>
  <c r="G121" i="6"/>
  <c r="G38" i="6"/>
  <c r="B22" i="6"/>
  <c r="B10" i="6"/>
  <c r="B9" i="6" s="1"/>
  <c r="G93" i="6"/>
  <c r="B95" i="6"/>
  <c r="G92" i="6"/>
  <c r="F66" i="6"/>
  <c r="G81" i="6"/>
  <c r="G84" i="6"/>
  <c r="G87" i="6"/>
  <c r="G90" i="6"/>
  <c r="E95" i="6"/>
  <c r="E120" i="6"/>
  <c r="G89" i="6"/>
  <c r="G86" i="6"/>
  <c r="G83" i="6"/>
  <c r="G69" i="6"/>
  <c r="G117" i="6"/>
  <c r="G66" i="6"/>
  <c r="F68" i="6"/>
  <c r="F69" i="6"/>
  <c r="G68" i="6"/>
  <c r="G75" i="6"/>
  <c r="D66" i="5"/>
  <c r="E64" i="5"/>
  <c r="C64" i="5"/>
  <c r="D63" i="5"/>
  <c r="F40" i="5"/>
  <c r="D60" i="5"/>
  <c r="C39" i="5"/>
  <c r="D39" i="5" s="1"/>
  <c r="B36" i="5"/>
  <c r="E36" i="5"/>
  <c r="C36" i="5"/>
  <c r="D36" i="5" s="1"/>
  <c r="D30" i="5"/>
  <c r="F31" i="5"/>
  <c r="B14" i="5"/>
  <c r="K61" i="6" l="1"/>
  <c r="Q61" i="6"/>
  <c r="S61" i="6"/>
  <c r="O133" i="6"/>
  <c r="O138" i="6" s="1"/>
  <c r="O135" i="6" s="1"/>
  <c r="F65" i="6"/>
  <c r="E63" i="5"/>
  <c r="F64" i="5"/>
  <c r="N133" i="6"/>
  <c r="N138" i="6" s="1"/>
  <c r="N135" i="6" s="1"/>
  <c r="V133" i="6"/>
  <c r="V130" i="6" s="1"/>
  <c r="W133" i="6"/>
  <c r="W138" i="6" s="1"/>
  <c r="W135" i="6" s="1"/>
  <c r="AE52" i="6"/>
  <c r="AE133" i="6"/>
  <c r="AE138" i="6" s="1"/>
  <c r="AE135" i="6" s="1"/>
  <c r="AA133" i="6"/>
  <c r="AA130" i="6" s="1"/>
  <c r="L52" i="6"/>
  <c r="L133" i="6"/>
  <c r="L130" i="6" s="1"/>
  <c r="P52" i="6"/>
  <c r="P133" i="6"/>
  <c r="P130" i="6" s="1"/>
  <c r="Q133" i="6"/>
  <c r="Q138" i="6" s="1"/>
  <c r="Q135" i="6" s="1"/>
  <c r="T52" i="6"/>
  <c r="T133" i="6"/>
  <c r="T138" i="6" s="1"/>
  <c r="T135" i="6" s="1"/>
  <c r="Y133" i="6"/>
  <c r="Y138" i="6" s="1"/>
  <c r="Y135" i="6" s="1"/>
  <c r="X52" i="6"/>
  <c r="X133" i="6"/>
  <c r="AC133" i="6"/>
  <c r="AC138" i="6" s="1"/>
  <c r="AC135" i="6" s="1"/>
  <c r="B132" i="6"/>
  <c r="B137" i="6" s="1"/>
  <c r="AB52" i="6"/>
  <c r="AB133" i="6"/>
  <c r="J52" i="6"/>
  <c r="J133" i="6"/>
  <c r="J138" i="6" s="1"/>
  <c r="J135" i="6" s="1"/>
  <c r="K98" i="6"/>
  <c r="E99" i="6"/>
  <c r="E102" i="6" s="1"/>
  <c r="AD133" i="6"/>
  <c r="AD138" i="6" s="1"/>
  <c r="AD135" i="6" s="1"/>
  <c r="H52" i="6"/>
  <c r="H133" i="6"/>
  <c r="H130" i="6" s="1"/>
  <c r="R52" i="6"/>
  <c r="R133" i="6"/>
  <c r="R138" i="6" s="1"/>
  <c r="R135" i="6" s="1"/>
  <c r="K133" i="6"/>
  <c r="K130" i="6" s="1"/>
  <c r="Z52" i="6"/>
  <c r="Z133" i="6"/>
  <c r="Z130" i="6" s="1"/>
  <c r="G80" i="6"/>
  <c r="F120" i="6"/>
  <c r="E129" i="6"/>
  <c r="G95" i="6"/>
  <c r="G77" i="6"/>
  <c r="G74" i="6"/>
  <c r="C63" i="5"/>
  <c r="D125" i="6"/>
  <c r="F125" i="6" s="1"/>
  <c r="D116" i="6"/>
  <c r="H21" i="5"/>
  <c r="B77" i="6"/>
  <c r="F77" i="6" s="1"/>
  <c r="G116" i="6"/>
  <c r="G78" i="6"/>
  <c r="G65" i="6"/>
  <c r="C25" i="6"/>
  <c r="N58" i="6"/>
  <c r="AE61" i="6"/>
  <c r="AE58" i="6" s="1"/>
  <c r="D27" i="5"/>
  <c r="G129" i="6"/>
  <c r="F74" i="6"/>
  <c r="G125" i="6"/>
  <c r="K58" i="6"/>
  <c r="O58" i="6"/>
  <c r="S58" i="6"/>
  <c r="W58" i="6"/>
  <c r="AA58" i="6"/>
  <c r="E127" i="6"/>
  <c r="L58" i="6"/>
  <c r="I58" i="6"/>
  <c r="Q58" i="6"/>
  <c r="Y58" i="6"/>
  <c r="R58" i="6"/>
  <c r="R43" i="5"/>
  <c r="R42" i="5" s="1"/>
  <c r="M58" i="6"/>
  <c r="U58" i="6"/>
  <c r="AC58" i="6"/>
  <c r="H58" i="6"/>
  <c r="T43" i="5"/>
  <c r="T42" i="5" s="1"/>
  <c r="Z58" i="6"/>
  <c r="E123" i="6"/>
  <c r="F95" i="6"/>
  <c r="G51" i="7"/>
  <c r="F37" i="5"/>
  <c r="T58" i="6"/>
  <c r="F53" i="6"/>
  <c r="G58" i="7"/>
  <c r="B60" i="6"/>
  <c r="P58" i="6"/>
  <c r="C28" i="5"/>
  <c r="C22" i="5" s="1"/>
  <c r="C30" i="5"/>
  <c r="E28" i="5"/>
  <c r="E30" i="5"/>
  <c r="G31" i="5"/>
  <c r="G37" i="5"/>
  <c r="G64" i="5"/>
  <c r="B25" i="6"/>
  <c r="B52" i="6" s="1"/>
  <c r="B55" i="6"/>
  <c r="B136" i="6"/>
  <c r="C115" i="7"/>
  <c r="C121" i="7"/>
  <c r="C119" i="7" s="1"/>
  <c r="E115" i="7"/>
  <c r="E121" i="7"/>
  <c r="E119" i="7" s="1"/>
  <c r="I21" i="5"/>
  <c r="J43" i="5"/>
  <c r="J21" i="5"/>
  <c r="K43" i="5"/>
  <c r="K21" i="5"/>
  <c r="L43" i="5"/>
  <c r="L21" i="5"/>
  <c r="M43" i="5"/>
  <c r="M21" i="5"/>
  <c r="N43" i="5"/>
  <c r="N21" i="5"/>
  <c r="O43" i="5"/>
  <c r="O21" i="5"/>
  <c r="P43" i="5"/>
  <c r="P21" i="5"/>
  <c r="Q43" i="5"/>
  <c r="Q21" i="5"/>
  <c r="S43" i="5"/>
  <c r="S21" i="5"/>
  <c r="U43" i="5"/>
  <c r="U21" i="5"/>
  <c r="V43" i="5"/>
  <c r="V21" i="5"/>
  <c r="W43" i="5"/>
  <c r="W21" i="5"/>
  <c r="X43" i="5"/>
  <c r="X21" i="5"/>
  <c r="Y43" i="5"/>
  <c r="Y21" i="5"/>
  <c r="Z43" i="5"/>
  <c r="Z21" i="5"/>
  <c r="AA43" i="5"/>
  <c r="AA21" i="5"/>
  <c r="AB43" i="5"/>
  <c r="AB21" i="5"/>
  <c r="AC43" i="5"/>
  <c r="AC21" i="5"/>
  <c r="AD43" i="5"/>
  <c r="AD21" i="5"/>
  <c r="AE43" i="5"/>
  <c r="AE21" i="5"/>
  <c r="H46" i="5"/>
  <c r="H45" i="5" s="1"/>
  <c r="H42" i="5"/>
  <c r="B115" i="7"/>
  <c r="G117" i="7"/>
  <c r="F99" i="7"/>
  <c r="F58" i="7"/>
  <c r="G103" i="7"/>
  <c r="F103" i="7"/>
  <c r="G56" i="7"/>
  <c r="F56" i="7"/>
  <c r="F117" i="7"/>
  <c r="G102" i="7"/>
  <c r="F102" i="7"/>
  <c r="J58" i="6"/>
  <c r="C123" i="6"/>
  <c r="C128" i="6"/>
  <c r="C127" i="6" s="1"/>
  <c r="I138" i="6"/>
  <c r="I135" i="6" s="1"/>
  <c r="I130" i="6"/>
  <c r="K138" i="6"/>
  <c r="K135" i="6" s="1"/>
  <c r="M138" i="6"/>
  <c r="M135" i="6" s="1"/>
  <c r="M130" i="6"/>
  <c r="O130" i="6"/>
  <c r="S138" i="6"/>
  <c r="S135" i="6" s="1"/>
  <c r="S130" i="6"/>
  <c r="U138" i="6"/>
  <c r="U135" i="6" s="1"/>
  <c r="U130" i="6"/>
  <c r="W130" i="6"/>
  <c r="AA138" i="6"/>
  <c r="AA135" i="6" s="1"/>
  <c r="AC130" i="6"/>
  <c r="AE130" i="6"/>
  <c r="F116" i="6"/>
  <c r="H138" i="6"/>
  <c r="H135" i="6" s="1"/>
  <c r="C98" i="6"/>
  <c r="C102" i="6"/>
  <c r="C101" i="6" s="1"/>
  <c r="B71" i="6"/>
  <c r="F71" i="6" s="1"/>
  <c r="B99" i="6"/>
  <c r="F72" i="6"/>
  <c r="J130" i="6"/>
  <c r="N130" i="6"/>
  <c r="P138" i="6"/>
  <c r="P135" i="6" s="1"/>
  <c r="V138" i="6"/>
  <c r="V135" i="6" s="1"/>
  <c r="X138" i="6"/>
  <c r="X135" i="6" s="1"/>
  <c r="X130" i="6"/>
  <c r="AB138" i="6"/>
  <c r="AB135" i="6" s="1"/>
  <c r="AB130" i="6"/>
  <c r="E71" i="6"/>
  <c r="G72" i="6"/>
  <c r="G120" i="6"/>
  <c r="G40" i="5"/>
  <c r="B39" i="5"/>
  <c r="F39" i="5" s="1"/>
  <c r="G39" i="5"/>
  <c r="F36" i="5"/>
  <c r="G36" i="5"/>
  <c r="D54" i="5"/>
  <c r="B27" i="5"/>
  <c r="B25" i="5"/>
  <c r="B22" i="5" s="1"/>
  <c r="I57" i="4"/>
  <c r="J57" i="4"/>
  <c r="J60" i="4" s="1"/>
  <c r="J59" i="4" s="1"/>
  <c r="K57" i="4"/>
  <c r="K56" i="4" s="1"/>
  <c r="L57" i="4"/>
  <c r="M57" i="4"/>
  <c r="N57" i="4"/>
  <c r="N60" i="4" s="1"/>
  <c r="N59" i="4" s="1"/>
  <c r="O57" i="4"/>
  <c r="O56" i="4" s="1"/>
  <c r="P57" i="4"/>
  <c r="Q57" i="4"/>
  <c r="R57" i="4"/>
  <c r="R60" i="4" s="1"/>
  <c r="R59" i="4" s="1"/>
  <c r="S57" i="4"/>
  <c r="S56" i="4" s="1"/>
  <c r="T57" i="4"/>
  <c r="U57" i="4"/>
  <c r="V57" i="4"/>
  <c r="V60" i="4" s="1"/>
  <c r="V59" i="4" s="1"/>
  <c r="W57" i="4"/>
  <c r="W56" i="4" s="1"/>
  <c r="X57" i="4"/>
  <c r="Y57" i="4"/>
  <c r="Z57" i="4"/>
  <c r="Z60" i="4" s="1"/>
  <c r="Z59" i="4" s="1"/>
  <c r="AA57" i="4"/>
  <c r="AA56" i="4" s="1"/>
  <c r="AB57" i="4"/>
  <c r="AC57" i="4"/>
  <c r="AD57" i="4"/>
  <c r="AD60" i="4" s="1"/>
  <c r="AD59" i="4" s="1"/>
  <c r="AE57" i="4"/>
  <c r="AE56" i="4" s="1"/>
  <c r="H57" i="4"/>
  <c r="H60" i="4" s="1"/>
  <c r="H59" i="4" s="1"/>
  <c r="J53" i="4"/>
  <c r="K53" i="4"/>
  <c r="L53" i="4"/>
  <c r="M53" i="4"/>
  <c r="N53" i="4"/>
  <c r="O53" i="4"/>
  <c r="P53" i="4"/>
  <c r="Q53" i="4"/>
  <c r="R53" i="4"/>
  <c r="S53" i="4"/>
  <c r="T53" i="4"/>
  <c r="U53" i="4"/>
  <c r="V53" i="4"/>
  <c r="W53" i="4"/>
  <c r="X53" i="4"/>
  <c r="Y53" i="4"/>
  <c r="Z53" i="4"/>
  <c r="AA53" i="4"/>
  <c r="AB53" i="4"/>
  <c r="AC53" i="4"/>
  <c r="AD53" i="4"/>
  <c r="AE53" i="4"/>
  <c r="H53" i="4"/>
  <c r="I49" i="4"/>
  <c r="J49" i="4"/>
  <c r="K49" i="4"/>
  <c r="L49" i="4"/>
  <c r="M49" i="4"/>
  <c r="N49" i="4"/>
  <c r="O49" i="4"/>
  <c r="R49" i="4"/>
  <c r="S49" i="4"/>
  <c r="T49" i="4"/>
  <c r="U49" i="4"/>
  <c r="V49" i="4"/>
  <c r="W49" i="4"/>
  <c r="X49" i="4"/>
  <c r="Y49" i="4"/>
  <c r="Z49" i="4"/>
  <c r="AA49" i="4"/>
  <c r="AB49" i="4"/>
  <c r="AC49" i="4"/>
  <c r="AD49" i="4"/>
  <c r="AE49" i="4"/>
  <c r="H49" i="4"/>
  <c r="K40" i="4"/>
  <c r="L40" i="4"/>
  <c r="L44" i="4" s="1"/>
  <c r="M40" i="4"/>
  <c r="N40" i="4"/>
  <c r="N44" i="4" s="1"/>
  <c r="O40" i="4"/>
  <c r="P40" i="4"/>
  <c r="P44" i="4" s="1"/>
  <c r="Q40" i="4"/>
  <c r="R40" i="4"/>
  <c r="R44" i="4" s="1"/>
  <c r="S40" i="4"/>
  <c r="T40" i="4"/>
  <c r="T44" i="4" s="1"/>
  <c r="U40" i="4"/>
  <c r="V40" i="4"/>
  <c r="V44" i="4" s="1"/>
  <c r="W40" i="4"/>
  <c r="X40" i="4"/>
  <c r="X44" i="4" s="1"/>
  <c r="Y40" i="4"/>
  <c r="Z40" i="4"/>
  <c r="Z44" i="4" s="1"/>
  <c r="AA40" i="4"/>
  <c r="AB40" i="4"/>
  <c r="AB44" i="4" s="1"/>
  <c r="AC40" i="4"/>
  <c r="AD40" i="4"/>
  <c r="AD44" i="4" s="1"/>
  <c r="AE40" i="4"/>
  <c r="K41" i="4"/>
  <c r="L41" i="4"/>
  <c r="L64" i="4" s="1"/>
  <c r="L68" i="4" s="1"/>
  <c r="M41" i="4"/>
  <c r="N41" i="4"/>
  <c r="N64" i="4" s="1"/>
  <c r="N68" i="4" s="1"/>
  <c r="O41" i="4"/>
  <c r="P41" i="4"/>
  <c r="P64" i="4" s="1"/>
  <c r="P68" i="4" s="1"/>
  <c r="Q41" i="4"/>
  <c r="R41" i="4"/>
  <c r="R64" i="4" s="1"/>
  <c r="R68" i="4" s="1"/>
  <c r="S41" i="4"/>
  <c r="T41" i="4"/>
  <c r="T64" i="4" s="1"/>
  <c r="T68" i="4" s="1"/>
  <c r="U41" i="4"/>
  <c r="V41" i="4"/>
  <c r="V64" i="4" s="1"/>
  <c r="V68" i="4" s="1"/>
  <c r="W41" i="4"/>
  <c r="X41" i="4"/>
  <c r="X64" i="4" s="1"/>
  <c r="X68" i="4" s="1"/>
  <c r="Y41" i="4"/>
  <c r="Z41" i="4"/>
  <c r="Z64" i="4" s="1"/>
  <c r="Z68" i="4" s="1"/>
  <c r="AA41" i="4"/>
  <c r="AB41" i="4"/>
  <c r="AB64" i="4" s="1"/>
  <c r="AB68" i="4" s="1"/>
  <c r="AC41" i="4"/>
  <c r="AD41" i="4"/>
  <c r="AE41" i="4"/>
  <c r="I40" i="4"/>
  <c r="J40" i="4"/>
  <c r="I41" i="4"/>
  <c r="J41" i="4"/>
  <c r="H41" i="4"/>
  <c r="H40" i="4"/>
  <c r="I36" i="4"/>
  <c r="J36" i="4"/>
  <c r="K36" i="4"/>
  <c r="L36" i="4"/>
  <c r="M36" i="4"/>
  <c r="N36" i="4"/>
  <c r="O36" i="4"/>
  <c r="P36" i="4"/>
  <c r="Q36" i="4"/>
  <c r="R36" i="4"/>
  <c r="S36" i="4"/>
  <c r="T36" i="4"/>
  <c r="U36" i="4"/>
  <c r="V36" i="4"/>
  <c r="W36" i="4"/>
  <c r="X36" i="4"/>
  <c r="Y36" i="4"/>
  <c r="Z36" i="4"/>
  <c r="AA36" i="4"/>
  <c r="AB36" i="4"/>
  <c r="AC36" i="4"/>
  <c r="AD36" i="4"/>
  <c r="AE36" i="4"/>
  <c r="H36" i="4"/>
  <c r="I23" i="3"/>
  <c r="J23" i="3"/>
  <c r="K23" i="3"/>
  <c r="L23" i="3"/>
  <c r="M23" i="3"/>
  <c r="N23" i="3"/>
  <c r="O23" i="3"/>
  <c r="P23" i="3"/>
  <c r="Q23" i="3"/>
  <c r="R23" i="3"/>
  <c r="S23" i="3"/>
  <c r="T23" i="3"/>
  <c r="U23" i="3"/>
  <c r="V23" i="3"/>
  <c r="W23" i="3"/>
  <c r="X23" i="3"/>
  <c r="Y23" i="3"/>
  <c r="Z23" i="3"/>
  <c r="AA23" i="3"/>
  <c r="AB23" i="3"/>
  <c r="AC23" i="3"/>
  <c r="AD23" i="3"/>
  <c r="AE23" i="3"/>
  <c r="H23" i="3"/>
  <c r="I20" i="3"/>
  <c r="J20" i="3"/>
  <c r="K20" i="3"/>
  <c r="L20" i="3"/>
  <c r="M20" i="3"/>
  <c r="N20" i="3"/>
  <c r="O20" i="3"/>
  <c r="P20" i="3"/>
  <c r="Q20" i="3"/>
  <c r="R20" i="3"/>
  <c r="S20" i="3"/>
  <c r="T20" i="3"/>
  <c r="U20" i="3"/>
  <c r="V20" i="3"/>
  <c r="W20" i="3"/>
  <c r="X20" i="3"/>
  <c r="Y20" i="3"/>
  <c r="Z20" i="3"/>
  <c r="AA20" i="3"/>
  <c r="AB20" i="3"/>
  <c r="AC20" i="3"/>
  <c r="AD20" i="3"/>
  <c r="AE20" i="3"/>
  <c r="H20" i="3"/>
  <c r="D20" i="3"/>
  <c r="I17" i="3"/>
  <c r="J17" i="3"/>
  <c r="K17" i="3"/>
  <c r="L17" i="3"/>
  <c r="M17" i="3"/>
  <c r="N17" i="3"/>
  <c r="O17" i="3"/>
  <c r="P17" i="3"/>
  <c r="Q17" i="3"/>
  <c r="R17" i="3"/>
  <c r="S17" i="3"/>
  <c r="T17" i="3"/>
  <c r="U17" i="3"/>
  <c r="V17" i="3"/>
  <c r="W17" i="3"/>
  <c r="X17" i="3"/>
  <c r="Y17" i="3"/>
  <c r="Z17" i="3"/>
  <c r="AA17" i="3"/>
  <c r="AB17" i="3"/>
  <c r="AC17" i="3"/>
  <c r="AD17" i="3"/>
  <c r="AE17" i="3"/>
  <c r="H17" i="3"/>
  <c r="I14" i="3"/>
  <c r="J14" i="3"/>
  <c r="K14" i="3"/>
  <c r="L14" i="3"/>
  <c r="M14" i="3"/>
  <c r="O14" i="3"/>
  <c r="P14" i="3"/>
  <c r="Q14" i="3"/>
  <c r="R14" i="3"/>
  <c r="S14" i="3"/>
  <c r="T14" i="3"/>
  <c r="U14" i="3"/>
  <c r="V14" i="3"/>
  <c r="W14" i="3"/>
  <c r="X14" i="3"/>
  <c r="Y14" i="3"/>
  <c r="Z14" i="3"/>
  <c r="AA14" i="3"/>
  <c r="AB14" i="3"/>
  <c r="AC14" i="3"/>
  <c r="AD14" i="3"/>
  <c r="AE14" i="3"/>
  <c r="H14" i="3"/>
  <c r="I50" i="2"/>
  <c r="J50" i="2"/>
  <c r="K50" i="2"/>
  <c r="L50" i="2"/>
  <c r="M50" i="2"/>
  <c r="N50" i="2"/>
  <c r="O50" i="2"/>
  <c r="P50" i="2"/>
  <c r="Q50" i="2"/>
  <c r="R50" i="2"/>
  <c r="S50" i="2"/>
  <c r="T50" i="2"/>
  <c r="U50" i="2"/>
  <c r="V50" i="2"/>
  <c r="W50" i="2"/>
  <c r="X50" i="2"/>
  <c r="Y50" i="2"/>
  <c r="Z50" i="2"/>
  <c r="AA50" i="2"/>
  <c r="AB50" i="2"/>
  <c r="AC50" i="2"/>
  <c r="AD50" i="2"/>
  <c r="AE50" i="2"/>
  <c r="H50" i="2"/>
  <c r="D50" i="2"/>
  <c r="E50" i="2"/>
  <c r="I47" i="2"/>
  <c r="J47" i="2"/>
  <c r="K47" i="2"/>
  <c r="L47" i="2"/>
  <c r="M47" i="2"/>
  <c r="N47" i="2"/>
  <c r="O47" i="2"/>
  <c r="P47" i="2"/>
  <c r="Q47" i="2"/>
  <c r="R47" i="2"/>
  <c r="S47" i="2"/>
  <c r="T47" i="2"/>
  <c r="U47" i="2"/>
  <c r="V47" i="2"/>
  <c r="W47" i="2"/>
  <c r="X47" i="2"/>
  <c r="Y47" i="2"/>
  <c r="Z47" i="2"/>
  <c r="AA47" i="2"/>
  <c r="AB47" i="2"/>
  <c r="AC47" i="2"/>
  <c r="AD47" i="2"/>
  <c r="AE47" i="2"/>
  <c r="H47" i="2"/>
  <c r="D47" i="2"/>
  <c r="I33" i="2"/>
  <c r="J33" i="2"/>
  <c r="K33" i="2"/>
  <c r="L33" i="2"/>
  <c r="M33" i="2"/>
  <c r="N33" i="2"/>
  <c r="O33" i="2"/>
  <c r="P33" i="2"/>
  <c r="Q33" i="2"/>
  <c r="R33" i="2"/>
  <c r="S33" i="2"/>
  <c r="T33" i="2"/>
  <c r="U33" i="2"/>
  <c r="V33" i="2"/>
  <c r="W33" i="2"/>
  <c r="X33" i="2"/>
  <c r="Y33" i="2"/>
  <c r="Z33" i="2"/>
  <c r="AA33" i="2"/>
  <c r="AB33" i="2"/>
  <c r="AC33" i="2"/>
  <c r="AD33" i="2"/>
  <c r="AE33" i="2"/>
  <c r="H33" i="2"/>
  <c r="D33" i="2"/>
  <c r="I30" i="2"/>
  <c r="J30" i="2"/>
  <c r="K30" i="2"/>
  <c r="L30" i="2"/>
  <c r="M30" i="2"/>
  <c r="N30" i="2"/>
  <c r="O30" i="2"/>
  <c r="P30" i="2"/>
  <c r="Q30" i="2"/>
  <c r="R30" i="2"/>
  <c r="S30" i="2"/>
  <c r="T30" i="2"/>
  <c r="U30" i="2"/>
  <c r="V30" i="2"/>
  <c r="W30" i="2"/>
  <c r="X30" i="2"/>
  <c r="Y30" i="2"/>
  <c r="Z30" i="2"/>
  <c r="AA30" i="2"/>
  <c r="AB30" i="2"/>
  <c r="AC30" i="2"/>
  <c r="AD30" i="2"/>
  <c r="AE30" i="2"/>
  <c r="H30" i="2"/>
  <c r="I26" i="2"/>
  <c r="J26" i="2"/>
  <c r="K26" i="2"/>
  <c r="L26" i="2"/>
  <c r="M26" i="2"/>
  <c r="N26" i="2"/>
  <c r="O26" i="2"/>
  <c r="P26" i="2"/>
  <c r="Q26" i="2"/>
  <c r="R26" i="2"/>
  <c r="S26" i="2"/>
  <c r="T26" i="2"/>
  <c r="U26" i="2"/>
  <c r="V26" i="2"/>
  <c r="W26" i="2"/>
  <c r="X26" i="2"/>
  <c r="Y26" i="2"/>
  <c r="Z26" i="2"/>
  <c r="AA26" i="2"/>
  <c r="AB26" i="2"/>
  <c r="AC26" i="2"/>
  <c r="AD26" i="2"/>
  <c r="AE26" i="2"/>
  <c r="H26" i="2"/>
  <c r="D26" i="2"/>
  <c r="I22" i="2"/>
  <c r="J22" i="2"/>
  <c r="K22" i="2"/>
  <c r="L22" i="2"/>
  <c r="M22" i="2"/>
  <c r="N22" i="2"/>
  <c r="O22" i="2"/>
  <c r="P22" i="2"/>
  <c r="Q22" i="2"/>
  <c r="R22" i="2"/>
  <c r="S22" i="2"/>
  <c r="T22" i="2"/>
  <c r="U22" i="2"/>
  <c r="V22" i="2"/>
  <c r="W22" i="2"/>
  <c r="X22" i="2"/>
  <c r="Y22" i="2"/>
  <c r="Z22" i="2"/>
  <c r="AA22" i="2"/>
  <c r="AB22" i="2"/>
  <c r="AC22" i="2"/>
  <c r="AD22" i="2"/>
  <c r="AE22" i="2"/>
  <c r="H22" i="2"/>
  <c r="D22" i="2"/>
  <c r="I14" i="2"/>
  <c r="J14" i="2"/>
  <c r="K14" i="2"/>
  <c r="L14" i="2"/>
  <c r="M14" i="2"/>
  <c r="N14" i="2"/>
  <c r="O14" i="2"/>
  <c r="P14" i="2"/>
  <c r="Q14" i="2"/>
  <c r="R14" i="2"/>
  <c r="S14" i="2"/>
  <c r="T14" i="2"/>
  <c r="U14" i="2"/>
  <c r="V14" i="2"/>
  <c r="W14" i="2"/>
  <c r="X14" i="2"/>
  <c r="Y14" i="2"/>
  <c r="Z14" i="2"/>
  <c r="AA14" i="2"/>
  <c r="AB14" i="2"/>
  <c r="AC14" i="2"/>
  <c r="AD14" i="2"/>
  <c r="AE14" i="2"/>
  <c r="H14" i="2"/>
  <c r="AD23" i="4"/>
  <c r="I19" i="4"/>
  <c r="I18" i="4" s="1"/>
  <c r="J19" i="4"/>
  <c r="J18" i="4" s="1"/>
  <c r="K19" i="4"/>
  <c r="K18" i="4" s="1"/>
  <c r="L19" i="4"/>
  <c r="L18" i="4" s="1"/>
  <c r="M19" i="4"/>
  <c r="M18" i="4" s="1"/>
  <c r="N19" i="4"/>
  <c r="N18" i="4" s="1"/>
  <c r="O19" i="4"/>
  <c r="O18" i="4" s="1"/>
  <c r="P19" i="4"/>
  <c r="P18" i="4" s="1"/>
  <c r="Q19" i="4"/>
  <c r="Q18" i="4" s="1"/>
  <c r="R19" i="4"/>
  <c r="R18" i="4" s="1"/>
  <c r="S19" i="4"/>
  <c r="S18" i="4" s="1"/>
  <c r="T19" i="4"/>
  <c r="T18" i="4" s="1"/>
  <c r="U19" i="4"/>
  <c r="U18" i="4" s="1"/>
  <c r="V19" i="4"/>
  <c r="V18" i="4" s="1"/>
  <c r="W19" i="4"/>
  <c r="W18" i="4" s="1"/>
  <c r="X19" i="4"/>
  <c r="X18" i="4" s="1"/>
  <c r="Y19" i="4"/>
  <c r="Y18" i="4" s="1"/>
  <c r="Z19" i="4"/>
  <c r="Z18" i="4" s="1"/>
  <c r="AA19" i="4"/>
  <c r="AA18" i="4" s="1"/>
  <c r="AB19" i="4"/>
  <c r="AB18" i="4" s="1"/>
  <c r="AC19" i="4"/>
  <c r="AC18" i="4" s="1"/>
  <c r="AD19" i="4"/>
  <c r="AD18" i="4" s="1"/>
  <c r="AE19" i="4"/>
  <c r="AE18" i="4" s="1"/>
  <c r="H19" i="4"/>
  <c r="H18" i="4" s="1"/>
  <c r="AD16" i="4"/>
  <c r="AD15" i="4" s="1"/>
  <c r="I13" i="4"/>
  <c r="I12" i="4" s="1"/>
  <c r="J13" i="4"/>
  <c r="J12" i="4" s="1"/>
  <c r="K13" i="4"/>
  <c r="K12" i="4" s="1"/>
  <c r="L13" i="4"/>
  <c r="L12" i="4" s="1"/>
  <c r="M13" i="4"/>
  <c r="M12" i="4" s="1"/>
  <c r="N13" i="4"/>
  <c r="N12" i="4" s="1"/>
  <c r="O13" i="4"/>
  <c r="O12" i="4" s="1"/>
  <c r="P13" i="4"/>
  <c r="P12" i="4" s="1"/>
  <c r="Q13" i="4"/>
  <c r="Q12" i="4" s="1"/>
  <c r="R13" i="4"/>
  <c r="R12" i="4" s="1"/>
  <c r="S13" i="4"/>
  <c r="S12" i="4" s="1"/>
  <c r="T13" i="4"/>
  <c r="T12" i="4" s="1"/>
  <c r="U13" i="4"/>
  <c r="U12" i="4" s="1"/>
  <c r="V13" i="4"/>
  <c r="V12" i="4" s="1"/>
  <c r="W13" i="4"/>
  <c r="W12" i="4" s="1"/>
  <c r="X13" i="4"/>
  <c r="X12" i="4" s="1"/>
  <c r="Y13" i="4"/>
  <c r="Y12" i="4" s="1"/>
  <c r="Z13" i="4"/>
  <c r="Z12" i="4" s="1"/>
  <c r="AA13" i="4"/>
  <c r="AA12" i="4" s="1"/>
  <c r="AB13" i="4"/>
  <c r="AB12" i="4" s="1"/>
  <c r="AC13" i="4"/>
  <c r="AC12" i="4" s="1"/>
  <c r="AD13" i="4"/>
  <c r="AD12" i="4" s="1"/>
  <c r="AE13" i="4"/>
  <c r="AE12" i="4" s="1"/>
  <c r="H13" i="4"/>
  <c r="H12" i="4" s="1"/>
  <c r="AB10" i="4"/>
  <c r="AB9" i="4" s="1"/>
  <c r="AC10" i="4"/>
  <c r="AC9" i="4" s="1"/>
  <c r="AD10" i="4"/>
  <c r="AD9" i="4" s="1"/>
  <c r="AE10" i="4"/>
  <c r="AE9" i="4" s="1"/>
  <c r="I10" i="4"/>
  <c r="J10" i="4"/>
  <c r="K10" i="4"/>
  <c r="L10" i="4"/>
  <c r="M10" i="4"/>
  <c r="N10" i="4"/>
  <c r="O10" i="4"/>
  <c r="O9" i="4" s="1"/>
  <c r="P10" i="4"/>
  <c r="P9" i="4" s="1"/>
  <c r="Q10" i="4"/>
  <c r="Q9" i="4" s="1"/>
  <c r="R10" i="4"/>
  <c r="R9" i="4" s="1"/>
  <c r="S10" i="4"/>
  <c r="S9" i="4" s="1"/>
  <c r="T10" i="4"/>
  <c r="T9" i="4" s="1"/>
  <c r="U10" i="4"/>
  <c r="U9" i="4" s="1"/>
  <c r="V10" i="4"/>
  <c r="V9" i="4" s="1"/>
  <c r="W10" i="4"/>
  <c r="W9" i="4" s="1"/>
  <c r="X10" i="4"/>
  <c r="X9" i="4" s="1"/>
  <c r="Y10" i="4"/>
  <c r="Y9" i="4" s="1"/>
  <c r="Z10" i="4"/>
  <c r="Z9" i="4" s="1"/>
  <c r="AA10" i="4"/>
  <c r="AA9" i="4" s="1"/>
  <c r="H10" i="4"/>
  <c r="H9" i="4" s="1"/>
  <c r="I9" i="4"/>
  <c r="J9" i="4"/>
  <c r="K9" i="4"/>
  <c r="L9" i="4"/>
  <c r="M9" i="4"/>
  <c r="N9" i="4"/>
  <c r="I11" i="3"/>
  <c r="J11" i="3"/>
  <c r="K11" i="3"/>
  <c r="L11" i="3"/>
  <c r="M11" i="3"/>
  <c r="N11" i="3"/>
  <c r="O11" i="3"/>
  <c r="P11" i="3"/>
  <c r="Q11" i="3"/>
  <c r="R11" i="3"/>
  <c r="S11" i="3"/>
  <c r="T11" i="3"/>
  <c r="U11" i="3"/>
  <c r="V11" i="3"/>
  <c r="W11" i="3"/>
  <c r="X11" i="3"/>
  <c r="Y11" i="3"/>
  <c r="Z11" i="3"/>
  <c r="AA11" i="3"/>
  <c r="AB11" i="3"/>
  <c r="AC11" i="3"/>
  <c r="AD11" i="3"/>
  <c r="AE11" i="3"/>
  <c r="B54" i="4"/>
  <c r="B53" i="4" s="1"/>
  <c r="B50" i="4"/>
  <c r="B49" i="4" s="1"/>
  <c r="E34" i="4"/>
  <c r="E33" i="4" s="1"/>
  <c r="D34" i="4"/>
  <c r="D33" i="4" s="1"/>
  <c r="C34" i="4"/>
  <c r="B34" i="4"/>
  <c r="B33" i="4" s="1"/>
  <c r="E40" i="4"/>
  <c r="D40" i="4"/>
  <c r="D44" i="4" s="1"/>
  <c r="G31" i="4"/>
  <c r="B31" i="4"/>
  <c r="C20" i="4"/>
  <c r="B20" i="4"/>
  <c r="B19" i="4" s="1"/>
  <c r="E19" i="4"/>
  <c r="E18" i="4" s="1"/>
  <c r="D19" i="4"/>
  <c r="D18" i="4" s="1"/>
  <c r="AG14" i="4"/>
  <c r="D13" i="4"/>
  <c r="D12" i="4" s="1"/>
  <c r="C13" i="4"/>
  <c r="B14" i="4"/>
  <c r="B13" i="4" s="1"/>
  <c r="B12" i="4" s="1"/>
  <c r="D10" i="4"/>
  <c r="D9" i="4" s="1"/>
  <c r="B11" i="4"/>
  <c r="B10" i="4" s="1"/>
  <c r="B9" i="4" s="1"/>
  <c r="E53" i="4"/>
  <c r="D53" i="4"/>
  <c r="C53" i="4"/>
  <c r="E36" i="4"/>
  <c r="C36" i="4"/>
  <c r="B37" i="4"/>
  <c r="AD130" i="6" l="1"/>
  <c r="Z138" i="6"/>
  <c r="Z135" i="6" s="1"/>
  <c r="T130" i="6"/>
  <c r="L138" i="6"/>
  <c r="L135" i="6" s="1"/>
  <c r="R130" i="6"/>
  <c r="Y130" i="6"/>
  <c r="AD64" i="4"/>
  <c r="AD68" i="4" s="1"/>
  <c r="AD45" i="4"/>
  <c r="AD43" i="4" s="1"/>
  <c r="B30" i="4"/>
  <c r="F30" i="4" s="1"/>
  <c r="F31" i="4"/>
  <c r="Q130" i="6"/>
  <c r="E130" i="6" s="1"/>
  <c r="C27" i="5"/>
  <c r="C43" i="5"/>
  <c r="E133" i="6"/>
  <c r="B133" i="6"/>
  <c r="G63" i="5"/>
  <c r="AG36" i="4"/>
  <c r="F123" i="6"/>
  <c r="E98" i="6"/>
  <c r="G71" i="6"/>
  <c r="AG53" i="4"/>
  <c r="D129" i="6"/>
  <c r="D127" i="6" s="1"/>
  <c r="D123" i="6"/>
  <c r="C53" i="5"/>
  <c r="C12" i="4"/>
  <c r="AG49" i="4"/>
  <c r="C40" i="4"/>
  <c r="AG40" i="4" s="1"/>
  <c r="AG31" i="4"/>
  <c r="C33" i="4"/>
  <c r="AG33" i="4" s="1"/>
  <c r="AG34" i="4"/>
  <c r="C19" i="4"/>
  <c r="AG20" i="4"/>
  <c r="T46" i="5"/>
  <c r="T45" i="5" s="1"/>
  <c r="G127" i="6"/>
  <c r="R46" i="5"/>
  <c r="R45" i="5" s="1"/>
  <c r="G99" i="6"/>
  <c r="E27" i="5"/>
  <c r="E22" i="5"/>
  <c r="E21" i="5" s="1"/>
  <c r="E24" i="5"/>
  <c r="G123" i="6"/>
  <c r="G119" i="7"/>
  <c r="F115" i="7"/>
  <c r="G121" i="7"/>
  <c r="C24" i="5"/>
  <c r="C30" i="4"/>
  <c r="G30" i="4" s="1"/>
  <c r="D30" i="4"/>
  <c r="F50" i="2"/>
  <c r="B24" i="5"/>
  <c r="C50" i="5"/>
  <c r="E54" i="5"/>
  <c r="E53" i="5" s="1"/>
  <c r="G51" i="5"/>
  <c r="D50" i="5"/>
  <c r="D53" i="5"/>
  <c r="D57" i="5"/>
  <c r="D56" i="5" s="1"/>
  <c r="D24" i="5"/>
  <c r="D22" i="5" s="1"/>
  <c r="H39" i="4"/>
  <c r="H56" i="4"/>
  <c r="E50" i="5"/>
  <c r="F50" i="5" s="1"/>
  <c r="G115" i="7"/>
  <c r="B41" i="4"/>
  <c r="B45" i="4" s="1"/>
  <c r="B36" i="4"/>
  <c r="F36" i="4" s="1"/>
  <c r="D41" i="4"/>
  <c r="D64" i="4" s="1"/>
  <c r="D68" i="4" s="1"/>
  <c r="D36" i="4"/>
  <c r="G20" i="4"/>
  <c r="F53" i="4"/>
  <c r="AD26" i="4"/>
  <c r="AD25" i="4" s="1"/>
  <c r="AD62" i="4"/>
  <c r="AD66" i="4" s="1"/>
  <c r="AD22" i="4"/>
  <c r="H45" i="4"/>
  <c r="H64" i="4"/>
  <c r="H68" i="4" s="1"/>
  <c r="J45" i="4"/>
  <c r="J64" i="4"/>
  <c r="J68" i="4" s="1"/>
  <c r="I64" i="4"/>
  <c r="I68" i="4" s="1"/>
  <c r="I45" i="4"/>
  <c r="AE45" i="4"/>
  <c r="AE64" i="4"/>
  <c r="AE68" i="4" s="1"/>
  <c r="AC45" i="4"/>
  <c r="AC64" i="4"/>
  <c r="AC68" i="4" s="1"/>
  <c r="AA45" i="4"/>
  <c r="AA64" i="4"/>
  <c r="AA68" i="4" s="1"/>
  <c r="Y45" i="4"/>
  <c r="Y64" i="4"/>
  <c r="Y68" i="4" s="1"/>
  <c r="W45" i="4"/>
  <c r="W64" i="4"/>
  <c r="W68" i="4" s="1"/>
  <c r="U45" i="4"/>
  <c r="U64" i="4"/>
  <c r="U68" i="4" s="1"/>
  <c r="S45" i="4"/>
  <c r="S64" i="4"/>
  <c r="S68" i="4" s="1"/>
  <c r="Q45" i="4"/>
  <c r="Q64" i="4"/>
  <c r="Q68" i="4" s="1"/>
  <c r="O45" i="4"/>
  <c r="O64" i="4"/>
  <c r="O68" i="4" s="1"/>
  <c r="M45" i="4"/>
  <c r="M64" i="4"/>
  <c r="M68" i="4" s="1"/>
  <c r="K45" i="4"/>
  <c r="K64" i="4"/>
  <c r="K68" i="4" s="1"/>
  <c r="AC56" i="4"/>
  <c r="AC60" i="4"/>
  <c r="AC59" i="4" s="1"/>
  <c r="AB60" i="4"/>
  <c r="AB59" i="4" s="1"/>
  <c r="AB56" i="4"/>
  <c r="Y56" i="4"/>
  <c r="Y60" i="4"/>
  <c r="Y59" i="4" s="1"/>
  <c r="X60" i="4"/>
  <c r="X59" i="4" s="1"/>
  <c r="X56" i="4"/>
  <c r="U56" i="4"/>
  <c r="U60" i="4"/>
  <c r="U59" i="4" s="1"/>
  <c r="T60" i="4"/>
  <c r="T59" i="4" s="1"/>
  <c r="T56" i="4"/>
  <c r="Q56" i="4"/>
  <c r="Q60" i="4"/>
  <c r="Q59" i="4" s="1"/>
  <c r="P60" i="4"/>
  <c r="P59" i="4" s="1"/>
  <c r="P56" i="4"/>
  <c r="M56" i="4"/>
  <c r="M59" i="4"/>
  <c r="L60" i="4"/>
  <c r="L59" i="4" s="1"/>
  <c r="L56" i="4"/>
  <c r="I56" i="4"/>
  <c r="I60" i="4"/>
  <c r="I59" i="4" s="1"/>
  <c r="C10" i="5"/>
  <c r="C9" i="5" s="1"/>
  <c r="C13" i="5"/>
  <c r="D14" i="5"/>
  <c r="D13" i="5" s="1"/>
  <c r="E9" i="5"/>
  <c r="E14" i="5"/>
  <c r="E13" i="5" s="1"/>
  <c r="B43" i="5"/>
  <c r="B42" i="5" s="1"/>
  <c r="B21" i="5"/>
  <c r="B69" i="5"/>
  <c r="B71" i="5" s="1"/>
  <c r="B70" i="5" s="1"/>
  <c r="AE42" i="5"/>
  <c r="AE46" i="5"/>
  <c r="AE45" i="5" s="1"/>
  <c r="AD46" i="5"/>
  <c r="AD45" i="5" s="1"/>
  <c r="AD42" i="5"/>
  <c r="AC42" i="5"/>
  <c r="AC46" i="5"/>
  <c r="AC45" i="5" s="1"/>
  <c r="AB46" i="5"/>
  <c r="AB45" i="5" s="1"/>
  <c r="AB42" i="5"/>
  <c r="AA42" i="5"/>
  <c r="AA46" i="5"/>
  <c r="AA45" i="5" s="1"/>
  <c r="Z46" i="5"/>
  <c r="Z45" i="5" s="1"/>
  <c r="Z42" i="5"/>
  <c r="Y42" i="5"/>
  <c r="Y46" i="5"/>
  <c r="Y45" i="5" s="1"/>
  <c r="X46" i="5"/>
  <c r="X45" i="5" s="1"/>
  <c r="X42" i="5"/>
  <c r="W42" i="5"/>
  <c r="W46" i="5"/>
  <c r="W45" i="5" s="1"/>
  <c r="V46" i="5"/>
  <c r="V45" i="5" s="1"/>
  <c r="V42" i="5"/>
  <c r="U42" i="5"/>
  <c r="U46" i="5"/>
  <c r="U45" i="5" s="1"/>
  <c r="S42" i="5"/>
  <c r="S46" i="5"/>
  <c r="S45" i="5" s="1"/>
  <c r="Q42" i="5"/>
  <c r="Q46" i="5"/>
  <c r="Q45" i="5" s="1"/>
  <c r="P46" i="5"/>
  <c r="P45" i="5" s="1"/>
  <c r="P42" i="5"/>
  <c r="O42" i="5"/>
  <c r="O46" i="5"/>
  <c r="O45" i="5" s="1"/>
  <c r="N46" i="5"/>
  <c r="N45" i="5" s="1"/>
  <c r="N42" i="5"/>
  <c r="M42" i="5"/>
  <c r="M46" i="5"/>
  <c r="M45" i="5" s="1"/>
  <c r="L46" i="5"/>
  <c r="L45" i="5" s="1"/>
  <c r="L42" i="5"/>
  <c r="K42" i="5"/>
  <c r="K46" i="5"/>
  <c r="K45" i="5" s="1"/>
  <c r="J46" i="5"/>
  <c r="J45" i="5" s="1"/>
  <c r="J42" i="5"/>
  <c r="I42" i="5"/>
  <c r="G30" i="5"/>
  <c r="F30" i="5"/>
  <c r="F119" i="7"/>
  <c r="F121" i="7"/>
  <c r="B98" i="6"/>
  <c r="B130" i="6" s="1"/>
  <c r="B102" i="6"/>
  <c r="B61" i="6"/>
  <c r="B58" i="6" s="1"/>
  <c r="G98" i="6"/>
  <c r="C61" i="6"/>
  <c r="C52" i="6"/>
  <c r="F127" i="6"/>
  <c r="F28" i="5"/>
  <c r="G25" i="5"/>
  <c r="G11" i="5"/>
  <c r="F25" i="5"/>
  <c r="G28" i="5"/>
  <c r="F51" i="5"/>
  <c r="F11" i="5"/>
  <c r="B10" i="5"/>
  <c r="B9" i="5" s="1"/>
  <c r="D10" i="5"/>
  <c r="D9" i="5" s="1"/>
  <c r="G36" i="4"/>
  <c r="E44" i="4"/>
  <c r="G40" i="4"/>
  <c r="G49" i="4"/>
  <c r="F37" i="4"/>
  <c r="E41" i="4"/>
  <c r="E64" i="4" s="1"/>
  <c r="J39" i="4"/>
  <c r="H44" i="4"/>
  <c r="F49" i="4"/>
  <c r="B57" i="4"/>
  <c r="G53" i="4"/>
  <c r="D57" i="4"/>
  <c r="F19" i="4"/>
  <c r="F20" i="4"/>
  <c r="B40" i="4"/>
  <c r="I39" i="4"/>
  <c r="I44" i="4"/>
  <c r="AD39" i="4"/>
  <c r="AB39" i="4"/>
  <c r="AB45" i="4"/>
  <c r="AB43" i="4" s="1"/>
  <c r="Z39" i="4"/>
  <c r="Z45" i="4"/>
  <c r="Z43" i="4" s="1"/>
  <c r="X39" i="4"/>
  <c r="X45" i="4"/>
  <c r="X43" i="4" s="1"/>
  <c r="V39" i="4"/>
  <c r="V45" i="4"/>
  <c r="V43" i="4" s="1"/>
  <c r="T39" i="4"/>
  <c r="T45" i="4"/>
  <c r="T43" i="4" s="1"/>
  <c r="R39" i="4"/>
  <c r="R45" i="4"/>
  <c r="R43" i="4" s="1"/>
  <c r="P39" i="4"/>
  <c r="P45" i="4"/>
  <c r="P43" i="4" s="1"/>
  <c r="J44" i="4"/>
  <c r="E57" i="4"/>
  <c r="AG57" i="4" s="1"/>
  <c r="AE60" i="4"/>
  <c r="AE59" i="4" s="1"/>
  <c r="AA60" i="4"/>
  <c r="AA59" i="4" s="1"/>
  <c r="W60" i="4"/>
  <c r="W59" i="4" s="1"/>
  <c r="S60" i="4"/>
  <c r="S59" i="4" s="1"/>
  <c r="O60" i="4"/>
  <c r="O59" i="4" s="1"/>
  <c r="K60" i="4"/>
  <c r="K59" i="4" s="1"/>
  <c r="N39" i="4"/>
  <c r="L39" i="4"/>
  <c r="AE39" i="4"/>
  <c r="AC39" i="4"/>
  <c r="AA39" i="4"/>
  <c r="Y39" i="4"/>
  <c r="W39" i="4"/>
  <c r="U39" i="4"/>
  <c r="S39" i="4"/>
  <c r="Q39" i="4"/>
  <c r="O39" i="4"/>
  <c r="M39" i="4"/>
  <c r="K39" i="4"/>
  <c r="N45" i="4"/>
  <c r="N43" i="4" s="1"/>
  <c r="L45" i="4"/>
  <c r="L43" i="4" s="1"/>
  <c r="AE44" i="4"/>
  <c r="AC44" i="4"/>
  <c r="AA44" i="4"/>
  <c r="Y44" i="4"/>
  <c r="W44" i="4"/>
  <c r="U44" i="4"/>
  <c r="S44" i="4"/>
  <c r="Q44" i="4"/>
  <c r="O44" i="4"/>
  <c r="M44" i="4"/>
  <c r="K44" i="4"/>
  <c r="AD56" i="4"/>
  <c r="Z56" i="4"/>
  <c r="V56" i="4"/>
  <c r="R56" i="4"/>
  <c r="N56" i="4"/>
  <c r="J56" i="4"/>
  <c r="B18" i="4"/>
  <c r="G33" i="4"/>
  <c r="G34" i="4"/>
  <c r="F33" i="4"/>
  <c r="F34" i="4"/>
  <c r="G19" i="4"/>
  <c r="F14" i="4"/>
  <c r="E13" i="4"/>
  <c r="AG13" i="4" s="1"/>
  <c r="G50" i="4"/>
  <c r="F54" i="4"/>
  <c r="F50" i="4"/>
  <c r="G54" i="4"/>
  <c r="G37" i="4"/>
  <c r="K54" i="2"/>
  <c r="K58" i="2" s="1"/>
  <c r="L54" i="2"/>
  <c r="L58" i="2" s="1"/>
  <c r="M54" i="2"/>
  <c r="M58" i="2" s="1"/>
  <c r="N54" i="2"/>
  <c r="N58" i="2" s="1"/>
  <c r="O54" i="2"/>
  <c r="O58" i="2" s="1"/>
  <c r="P54" i="2"/>
  <c r="P58" i="2" s="1"/>
  <c r="Q54" i="2"/>
  <c r="Q58" i="2" s="1"/>
  <c r="R54" i="2"/>
  <c r="R58" i="2" s="1"/>
  <c r="S54" i="2"/>
  <c r="S58" i="2" s="1"/>
  <c r="T54" i="2"/>
  <c r="T58" i="2" s="1"/>
  <c r="U54" i="2"/>
  <c r="U58" i="2" s="1"/>
  <c r="V54" i="2"/>
  <c r="V58" i="2" s="1"/>
  <c r="W54" i="2"/>
  <c r="W58" i="2" s="1"/>
  <c r="X54" i="2"/>
  <c r="X58" i="2" s="1"/>
  <c r="Y54" i="2"/>
  <c r="Y58" i="2" s="1"/>
  <c r="Z54" i="2"/>
  <c r="Z58" i="2" s="1"/>
  <c r="AA54" i="2"/>
  <c r="AA58" i="2" s="1"/>
  <c r="AB54" i="2"/>
  <c r="AB58" i="2" s="1"/>
  <c r="AC54" i="2"/>
  <c r="AC58" i="2" s="1"/>
  <c r="AD54" i="2"/>
  <c r="AD58" i="2" s="1"/>
  <c r="AE54" i="2"/>
  <c r="AE58" i="2" s="1"/>
  <c r="K55" i="2"/>
  <c r="K59" i="2" s="1"/>
  <c r="L55" i="2"/>
  <c r="L59" i="2" s="1"/>
  <c r="M55" i="2"/>
  <c r="M59" i="2" s="1"/>
  <c r="N55" i="2"/>
  <c r="N59" i="2" s="1"/>
  <c r="O55" i="2"/>
  <c r="O59" i="2" s="1"/>
  <c r="P55" i="2"/>
  <c r="P59" i="2" s="1"/>
  <c r="Q55" i="2"/>
  <c r="Q59" i="2" s="1"/>
  <c r="R55" i="2"/>
  <c r="R59" i="2" s="1"/>
  <c r="S55" i="2"/>
  <c r="S59" i="2" s="1"/>
  <c r="T55" i="2"/>
  <c r="T59" i="2" s="1"/>
  <c r="U55" i="2"/>
  <c r="U59" i="2" s="1"/>
  <c r="V55" i="2"/>
  <c r="V59" i="2" s="1"/>
  <c r="W55" i="2"/>
  <c r="W59" i="2" s="1"/>
  <c r="X55" i="2"/>
  <c r="X59" i="2" s="1"/>
  <c r="Y55" i="2"/>
  <c r="Y59" i="2" s="1"/>
  <c r="Z55" i="2"/>
  <c r="Z59" i="2" s="1"/>
  <c r="AA55" i="2"/>
  <c r="AA59" i="2" s="1"/>
  <c r="AB55" i="2"/>
  <c r="AB59" i="2" s="1"/>
  <c r="AC55" i="2"/>
  <c r="AC59" i="2" s="1"/>
  <c r="AD55" i="2"/>
  <c r="AD59" i="2" s="1"/>
  <c r="AE55" i="2"/>
  <c r="AE59" i="2" s="1"/>
  <c r="I54" i="2"/>
  <c r="J54" i="2"/>
  <c r="J58" i="2" s="1"/>
  <c r="I59" i="2"/>
  <c r="J55" i="2"/>
  <c r="J59" i="2" s="1"/>
  <c r="H55" i="2"/>
  <c r="H53" i="2" s="1"/>
  <c r="D59" i="2"/>
  <c r="E59" i="2"/>
  <c r="F29" i="3"/>
  <c r="G29" i="3"/>
  <c r="F33" i="3"/>
  <c r="G33" i="3"/>
  <c r="F37" i="3"/>
  <c r="G37" i="3"/>
  <c r="Q27" i="3"/>
  <c r="Q35" i="3" s="1"/>
  <c r="Q39" i="3" s="1"/>
  <c r="R27" i="3"/>
  <c r="R31" i="3" s="1"/>
  <c r="S27" i="3"/>
  <c r="S35" i="3" s="1"/>
  <c r="S39" i="3" s="1"/>
  <c r="T27" i="3"/>
  <c r="T31" i="3" s="1"/>
  <c r="U27" i="3"/>
  <c r="U35" i="3" s="1"/>
  <c r="U39" i="3" s="1"/>
  <c r="V27" i="3"/>
  <c r="V31" i="3" s="1"/>
  <c r="W27" i="3"/>
  <c r="W35" i="3" s="1"/>
  <c r="W39" i="3" s="1"/>
  <c r="X27" i="3"/>
  <c r="X31" i="3" s="1"/>
  <c r="Y27" i="3"/>
  <c r="Z27" i="3"/>
  <c r="Z31" i="3" s="1"/>
  <c r="AA27" i="3"/>
  <c r="AA35" i="3" s="1"/>
  <c r="AA39" i="3" s="1"/>
  <c r="AB27" i="3"/>
  <c r="AB31" i="3" s="1"/>
  <c r="AC27" i="3"/>
  <c r="AC35" i="3" s="1"/>
  <c r="AC39" i="3" s="1"/>
  <c r="AD27" i="3"/>
  <c r="AD31" i="3" s="1"/>
  <c r="AE27" i="3"/>
  <c r="AE35" i="3" s="1"/>
  <c r="AE39" i="3" s="1"/>
  <c r="Q28" i="3"/>
  <c r="Q32" i="3" s="1"/>
  <c r="R28" i="3"/>
  <c r="S28" i="3"/>
  <c r="S32" i="3" s="1"/>
  <c r="T28" i="3"/>
  <c r="U28" i="3"/>
  <c r="U32" i="3" s="1"/>
  <c r="V28" i="3"/>
  <c r="W28" i="3"/>
  <c r="W32" i="3" s="1"/>
  <c r="X28" i="3"/>
  <c r="Y28" i="3"/>
  <c r="Y32" i="3" s="1"/>
  <c r="Z28" i="3"/>
  <c r="Z36" i="3" s="1"/>
  <c r="Z40" i="3" s="1"/>
  <c r="AA28" i="3"/>
  <c r="AA32" i="3" s="1"/>
  <c r="AB28" i="3"/>
  <c r="AB36" i="3" s="1"/>
  <c r="AB40" i="3" s="1"/>
  <c r="AC28" i="3"/>
  <c r="AC32" i="3" s="1"/>
  <c r="AD28" i="3"/>
  <c r="AD36" i="3" s="1"/>
  <c r="AD40" i="3" s="1"/>
  <c r="AE28" i="3"/>
  <c r="AE32" i="3" s="1"/>
  <c r="I27" i="3"/>
  <c r="I35" i="3" s="1"/>
  <c r="I39" i="3" s="1"/>
  <c r="J27" i="3"/>
  <c r="K27" i="3"/>
  <c r="K35" i="3" s="1"/>
  <c r="K39" i="3" s="1"/>
  <c r="L27" i="3"/>
  <c r="M27" i="3"/>
  <c r="M35" i="3" s="1"/>
  <c r="M39" i="3" s="1"/>
  <c r="N27" i="3"/>
  <c r="O27" i="3"/>
  <c r="O35" i="3" s="1"/>
  <c r="O39" i="3" s="1"/>
  <c r="P27" i="3"/>
  <c r="I28" i="3"/>
  <c r="I32" i="3" s="1"/>
  <c r="J28" i="3"/>
  <c r="K28" i="3"/>
  <c r="K32" i="3" s="1"/>
  <c r="L28" i="3"/>
  <c r="M28" i="3"/>
  <c r="M32" i="3" s="1"/>
  <c r="N28" i="3"/>
  <c r="O28" i="3"/>
  <c r="O32" i="3" s="1"/>
  <c r="P28" i="3"/>
  <c r="H28" i="3"/>
  <c r="H32" i="3" s="1"/>
  <c r="H27" i="3"/>
  <c r="H35" i="3" s="1"/>
  <c r="H39" i="3" s="1"/>
  <c r="Y35" i="3"/>
  <c r="Y39" i="3" s="1"/>
  <c r="Z35" i="3"/>
  <c r="Z39" i="3" s="1"/>
  <c r="G14" i="4"/>
  <c r="E10" i="4"/>
  <c r="E9" i="4" s="1"/>
  <c r="F14" i="3"/>
  <c r="B24" i="3"/>
  <c r="F24" i="3" s="1"/>
  <c r="C20" i="3"/>
  <c r="C55" i="2"/>
  <c r="B28" i="2"/>
  <c r="F28" i="2" s="1"/>
  <c r="C44" i="4" l="1"/>
  <c r="AG44" i="4" s="1"/>
  <c r="G27" i="5"/>
  <c r="F129" i="6"/>
  <c r="C21" i="5"/>
  <c r="D43" i="5"/>
  <c r="D46" i="5" s="1"/>
  <c r="D45" i="5" s="1"/>
  <c r="D21" i="5"/>
  <c r="AG41" i="4"/>
  <c r="E101" i="6"/>
  <c r="C18" i="4"/>
  <c r="AG18" i="4" s="1"/>
  <c r="AG19" i="4"/>
  <c r="AG30" i="4"/>
  <c r="C10" i="4"/>
  <c r="C9" i="4" s="1"/>
  <c r="AG11" i="4"/>
  <c r="J43" i="4"/>
  <c r="F27" i="5"/>
  <c r="G102" i="6"/>
  <c r="F22" i="5"/>
  <c r="K43" i="4"/>
  <c r="O43" i="4"/>
  <c r="S43" i="4"/>
  <c r="W43" i="4"/>
  <c r="AA43" i="4"/>
  <c r="AE43" i="4"/>
  <c r="G24" i="5"/>
  <c r="G22" i="5"/>
  <c r="E43" i="5"/>
  <c r="M43" i="4"/>
  <c r="U43" i="4"/>
  <c r="AC43" i="4"/>
  <c r="F24" i="5"/>
  <c r="H43" i="4"/>
  <c r="G50" i="5"/>
  <c r="F11" i="3"/>
  <c r="D45" i="4"/>
  <c r="D43" i="4" s="1"/>
  <c r="M36" i="3"/>
  <c r="M40" i="3" s="1"/>
  <c r="Q43" i="4"/>
  <c r="Y43" i="4"/>
  <c r="I43" i="4"/>
  <c r="D39" i="4"/>
  <c r="X35" i="3"/>
  <c r="X39" i="3" s="1"/>
  <c r="B46" i="5"/>
  <c r="B45" i="5" s="1"/>
  <c r="F43" i="5"/>
  <c r="G17" i="3"/>
  <c r="F17" i="3"/>
  <c r="AD65" i="4"/>
  <c r="I36" i="3"/>
  <c r="I40" i="3" s="1"/>
  <c r="AD61" i="4"/>
  <c r="G21" i="5"/>
  <c r="F21" i="5"/>
  <c r="F59" i="2"/>
  <c r="AG55" i="2"/>
  <c r="G55" i="2"/>
  <c r="C47" i="2"/>
  <c r="H59" i="2"/>
  <c r="C59" i="2"/>
  <c r="I58" i="2"/>
  <c r="I57" i="2" s="1"/>
  <c r="I53" i="2"/>
  <c r="G10" i="5"/>
  <c r="P57" i="2"/>
  <c r="N57" i="2"/>
  <c r="H36" i="3"/>
  <c r="H40" i="3" s="1"/>
  <c r="AD35" i="3"/>
  <c r="AD39" i="3" s="1"/>
  <c r="W36" i="3"/>
  <c r="W40" i="3" s="1"/>
  <c r="U36" i="3"/>
  <c r="U40" i="3" s="1"/>
  <c r="AB35" i="3"/>
  <c r="AB39" i="3" s="1"/>
  <c r="O36" i="3"/>
  <c r="O40" i="3" s="1"/>
  <c r="AB57" i="2"/>
  <c r="Z57" i="2"/>
  <c r="D57" i="2"/>
  <c r="L57" i="2"/>
  <c r="T57" i="2"/>
  <c r="AD57" i="2"/>
  <c r="R57" i="2"/>
  <c r="X57" i="2"/>
  <c r="V57" i="2"/>
  <c r="AE36" i="3"/>
  <c r="AE40" i="3" s="1"/>
  <c r="AC36" i="3"/>
  <c r="AC40" i="3" s="1"/>
  <c r="T35" i="3"/>
  <c r="T39" i="3" s="1"/>
  <c r="AA36" i="3"/>
  <c r="AA40" i="3" s="1"/>
  <c r="K36" i="3"/>
  <c r="K40" i="3" s="1"/>
  <c r="S36" i="3"/>
  <c r="S40" i="3" s="1"/>
  <c r="R35" i="3"/>
  <c r="R39" i="3" s="1"/>
  <c r="Y36" i="3"/>
  <c r="Y40" i="3" s="1"/>
  <c r="V35" i="3"/>
  <c r="V39" i="3" s="1"/>
  <c r="Q36" i="3"/>
  <c r="Q40" i="3" s="1"/>
  <c r="C50" i="2"/>
  <c r="F20" i="3"/>
  <c r="G20" i="3"/>
  <c r="B23" i="3"/>
  <c r="B28" i="3"/>
  <c r="G14" i="3"/>
  <c r="D36" i="3"/>
  <c r="D40" i="3" s="1"/>
  <c r="D32" i="3"/>
  <c r="H26" i="3"/>
  <c r="H34" i="3" s="1"/>
  <c r="H38" i="3" s="1"/>
  <c r="H31" i="3"/>
  <c r="H30" i="3" s="1"/>
  <c r="P36" i="3"/>
  <c r="P40" i="3" s="1"/>
  <c r="P32" i="3"/>
  <c r="N36" i="3"/>
  <c r="N40" i="3" s="1"/>
  <c r="N32" i="3"/>
  <c r="L36" i="3"/>
  <c r="L40" i="3" s="1"/>
  <c r="L32" i="3"/>
  <c r="J36" i="3"/>
  <c r="J40" i="3" s="1"/>
  <c r="J32" i="3"/>
  <c r="P35" i="3"/>
  <c r="P39" i="3" s="1"/>
  <c r="P31" i="3"/>
  <c r="O26" i="3"/>
  <c r="O34" i="3" s="1"/>
  <c r="O38" i="3" s="1"/>
  <c r="O31" i="3"/>
  <c r="O30" i="3" s="1"/>
  <c r="N35" i="3"/>
  <c r="N39" i="3" s="1"/>
  <c r="N31" i="3"/>
  <c r="M26" i="3"/>
  <c r="M34" i="3" s="1"/>
  <c r="M38" i="3" s="1"/>
  <c r="M31" i="3"/>
  <c r="M30" i="3" s="1"/>
  <c r="L35" i="3"/>
  <c r="L39" i="3" s="1"/>
  <c r="L31" i="3"/>
  <c r="K26" i="3"/>
  <c r="K34" i="3" s="1"/>
  <c r="K38" i="3" s="1"/>
  <c r="K31" i="3"/>
  <c r="K30" i="3" s="1"/>
  <c r="J35" i="3"/>
  <c r="J39" i="3" s="1"/>
  <c r="J31" i="3"/>
  <c r="I26" i="3"/>
  <c r="I34" i="3" s="1"/>
  <c r="I38" i="3" s="1"/>
  <c r="I31" i="3"/>
  <c r="I30" i="3" s="1"/>
  <c r="AD26" i="3"/>
  <c r="AD34" i="3" s="1"/>
  <c r="AD38" i="3" s="1"/>
  <c r="AD32" i="3"/>
  <c r="AD30" i="3" s="1"/>
  <c r="AB26" i="3"/>
  <c r="AB34" i="3" s="1"/>
  <c r="AB38" i="3" s="1"/>
  <c r="AB32" i="3"/>
  <c r="AB30" i="3" s="1"/>
  <c r="Z26" i="3"/>
  <c r="Z34" i="3" s="1"/>
  <c r="Z38" i="3" s="1"/>
  <c r="Z32" i="3"/>
  <c r="Z30" i="3" s="1"/>
  <c r="X36" i="3"/>
  <c r="X40" i="3" s="1"/>
  <c r="X32" i="3"/>
  <c r="X30" i="3" s="1"/>
  <c r="V36" i="3"/>
  <c r="V40" i="3" s="1"/>
  <c r="V32" i="3"/>
  <c r="V30" i="3" s="1"/>
  <c r="T36" i="3"/>
  <c r="T40" i="3" s="1"/>
  <c r="T32" i="3"/>
  <c r="T30" i="3" s="1"/>
  <c r="R36" i="3"/>
  <c r="R40" i="3" s="1"/>
  <c r="R32" i="3"/>
  <c r="R30" i="3" s="1"/>
  <c r="AE26" i="3"/>
  <c r="AE34" i="3" s="1"/>
  <c r="AE38" i="3" s="1"/>
  <c r="AE31" i="3"/>
  <c r="AE30" i="3" s="1"/>
  <c r="AC26" i="3"/>
  <c r="AC34" i="3" s="1"/>
  <c r="AC38" i="3" s="1"/>
  <c r="AC31" i="3"/>
  <c r="AC30" i="3" s="1"/>
  <c r="AA26" i="3"/>
  <c r="AA34" i="3" s="1"/>
  <c r="AA38" i="3" s="1"/>
  <c r="AA31" i="3"/>
  <c r="AA30" i="3" s="1"/>
  <c r="Y26" i="3"/>
  <c r="Y34" i="3" s="1"/>
  <c r="Y38" i="3" s="1"/>
  <c r="Y31" i="3"/>
  <c r="Y30" i="3" s="1"/>
  <c r="W26" i="3"/>
  <c r="W34" i="3" s="1"/>
  <c r="W38" i="3" s="1"/>
  <c r="W31" i="3"/>
  <c r="W30" i="3" s="1"/>
  <c r="U26" i="3"/>
  <c r="U34" i="3" s="1"/>
  <c r="U38" i="3" s="1"/>
  <c r="U31" i="3"/>
  <c r="U30" i="3" s="1"/>
  <c r="S26" i="3"/>
  <c r="S34" i="3" s="1"/>
  <c r="S38" i="3" s="1"/>
  <c r="S31" i="3"/>
  <c r="S30" i="3" s="1"/>
  <c r="Q26" i="3"/>
  <c r="Q34" i="3" s="1"/>
  <c r="Q38" i="3" s="1"/>
  <c r="Q31" i="3"/>
  <c r="Q30" i="3" s="1"/>
  <c r="J57" i="2"/>
  <c r="J53" i="2"/>
  <c r="AE53" i="2"/>
  <c r="AD53" i="2"/>
  <c r="AC53" i="2"/>
  <c r="AB53" i="2"/>
  <c r="AA53" i="2"/>
  <c r="Z53" i="2"/>
  <c r="Y53" i="2"/>
  <c r="X53" i="2"/>
  <c r="W53" i="2"/>
  <c r="V53" i="2"/>
  <c r="U53" i="2"/>
  <c r="T53" i="2"/>
  <c r="S53" i="2"/>
  <c r="R53" i="2"/>
  <c r="Q53" i="2"/>
  <c r="P53" i="2"/>
  <c r="O53" i="2"/>
  <c r="N53" i="2"/>
  <c r="M53" i="2"/>
  <c r="L53" i="2"/>
  <c r="K53" i="2"/>
  <c r="C45" i="4"/>
  <c r="C64" i="4"/>
  <c r="E68" i="4"/>
  <c r="C42" i="5"/>
  <c r="C69" i="5" s="1"/>
  <c r="B68" i="5"/>
  <c r="B64" i="4"/>
  <c r="B101" i="6"/>
  <c r="F102" i="6"/>
  <c r="C58" i="6"/>
  <c r="E57" i="5"/>
  <c r="E56" i="5" s="1"/>
  <c r="F54" i="5"/>
  <c r="F53" i="5"/>
  <c r="B57" i="5"/>
  <c r="B56" i="5" s="1"/>
  <c r="C57" i="5"/>
  <c r="G53" i="5"/>
  <c r="G54" i="5"/>
  <c r="F10" i="5"/>
  <c r="F13" i="4"/>
  <c r="E12" i="4"/>
  <c r="AG12" i="4" s="1"/>
  <c r="E56" i="4"/>
  <c r="F57" i="4"/>
  <c r="E60" i="4"/>
  <c r="G57" i="4"/>
  <c r="D60" i="4"/>
  <c r="D59" i="4" s="1"/>
  <c r="D56" i="4"/>
  <c r="C56" i="4"/>
  <c r="G44" i="4"/>
  <c r="B39" i="4"/>
  <c r="B44" i="4"/>
  <c r="B56" i="4"/>
  <c r="B60" i="4"/>
  <c r="B59" i="4" s="1"/>
  <c r="E45" i="4"/>
  <c r="F41" i="4"/>
  <c r="G41" i="4"/>
  <c r="F40" i="4"/>
  <c r="E39" i="4"/>
  <c r="C39" i="4"/>
  <c r="AE57" i="2"/>
  <c r="AC57" i="2"/>
  <c r="AA57" i="2"/>
  <c r="Y57" i="2"/>
  <c r="W57" i="2"/>
  <c r="U57" i="2"/>
  <c r="S57" i="2"/>
  <c r="Q57" i="2"/>
  <c r="O57" i="2"/>
  <c r="M57" i="2"/>
  <c r="K57" i="2"/>
  <c r="H58" i="2"/>
  <c r="X26" i="3"/>
  <c r="X34" i="3" s="1"/>
  <c r="X38" i="3" s="1"/>
  <c r="V26" i="3"/>
  <c r="V34" i="3" s="1"/>
  <c r="V38" i="3" s="1"/>
  <c r="T26" i="3"/>
  <c r="T34" i="3" s="1"/>
  <c r="T38" i="3" s="1"/>
  <c r="R26" i="3"/>
  <c r="R34" i="3" s="1"/>
  <c r="R38" i="3" s="1"/>
  <c r="P26" i="3"/>
  <c r="P34" i="3" s="1"/>
  <c r="P38" i="3" s="1"/>
  <c r="N26" i="3"/>
  <c r="N34" i="3" s="1"/>
  <c r="N38" i="3" s="1"/>
  <c r="L26" i="3"/>
  <c r="L34" i="3" s="1"/>
  <c r="L38" i="3" s="1"/>
  <c r="J26" i="3"/>
  <c r="J34" i="3" s="1"/>
  <c r="J38" i="3" s="1"/>
  <c r="F11" i="4"/>
  <c r="F10" i="4"/>
  <c r="G11" i="4"/>
  <c r="G13" i="4"/>
  <c r="G18" i="3"/>
  <c r="G21" i="3"/>
  <c r="F18" i="3"/>
  <c r="F21" i="3"/>
  <c r="G24" i="3"/>
  <c r="D42" i="5" l="1"/>
  <c r="F42" i="5" s="1"/>
  <c r="F101" i="6"/>
  <c r="G101" i="6"/>
  <c r="C56" i="5"/>
  <c r="G56" i="5" s="1"/>
  <c r="C46" i="5"/>
  <c r="C45" i="5" s="1"/>
  <c r="C59" i="4"/>
  <c r="AG60" i="4"/>
  <c r="C68" i="4"/>
  <c r="AG68" i="4" s="1"/>
  <c r="AG64" i="4"/>
  <c r="AG39" i="4"/>
  <c r="AG56" i="4"/>
  <c r="C43" i="4"/>
  <c r="AG45" i="4"/>
  <c r="G43" i="5"/>
  <c r="E46" i="5"/>
  <c r="E45" i="5" s="1"/>
  <c r="E42" i="5"/>
  <c r="H57" i="2"/>
  <c r="B43" i="4"/>
  <c r="AG50" i="2"/>
  <c r="G50" i="2"/>
  <c r="C58" i="2"/>
  <c r="G58" i="2" s="1"/>
  <c r="G54" i="2"/>
  <c r="AG54" i="2"/>
  <c r="G59" i="2"/>
  <c r="C53" i="2"/>
  <c r="G64" i="4"/>
  <c r="D35" i="3"/>
  <c r="D39" i="3" s="1"/>
  <c r="D31" i="3"/>
  <c r="D30" i="3" s="1"/>
  <c r="B68" i="4"/>
  <c r="F68" i="4" s="1"/>
  <c r="F64" i="4"/>
  <c r="J30" i="3"/>
  <c r="L30" i="3"/>
  <c r="N30" i="3"/>
  <c r="P30" i="3"/>
  <c r="E39" i="3"/>
  <c r="E31" i="3"/>
  <c r="F23" i="3"/>
  <c r="G23" i="3"/>
  <c r="E32" i="3"/>
  <c r="B36" i="3"/>
  <c r="B32" i="3"/>
  <c r="G57" i="5"/>
  <c r="C61" i="5"/>
  <c r="C67" i="5"/>
  <c r="F57" i="5"/>
  <c r="F56" i="5"/>
  <c r="G39" i="4"/>
  <c r="F39" i="4"/>
  <c r="G45" i="4"/>
  <c r="F45" i="4"/>
  <c r="F44" i="4"/>
  <c r="E43" i="4"/>
  <c r="E59" i="4"/>
  <c r="G60" i="4"/>
  <c r="F60" i="4"/>
  <c r="G56" i="4"/>
  <c r="F56" i="4"/>
  <c r="B27" i="3"/>
  <c r="B31" i="3" s="1"/>
  <c r="G10" i="4"/>
  <c r="G12" i="4"/>
  <c r="F12" i="4"/>
  <c r="F12" i="3"/>
  <c r="F15" i="3"/>
  <c r="G15" i="3"/>
  <c r="E26" i="3"/>
  <c r="B48" i="2"/>
  <c r="F48" i="2" s="1"/>
  <c r="I19" i="2"/>
  <c r="J19" i="2"/>
  <c r="K19" i="2"/>
  <c r="L19" i="2"/>
  <c r="M19" i="2"/>
  <c r="N19" i="2"/>
  <c r="O19" i="2"/>
  <c r="P19" i="2"/>
  <c r="Q19" i="2"/>
  <c r="R19" i="2"/>
  <c r="S19" i="2"/>
  <c r="T19" i="2"/>
  <c r="U19" i="2"/>
  <c r="V19" i="2"/>
  <c r="W19" i="2"/>
  <c r="X19" i="2"/>
  <c r="Y19" i="2"/>
  <c r="Z19" i="2"/>
  <c r="AA19" i="2"/>
  <c r="AB19" i="2"/>
  <c r="AC19" i="2"/>
  <c r="AD19" i="2"/>
  <c r="AE19" i="2"/>
  <c r="I20" i="2"/>
  <c r="I38" i="2" s="1"/>
  <c r="J20" i="2"/>
  <c r="J12" i="2" s="1"/>
  <c r="K20" i="2"/>
  <c r="K38" i="2" s="1"/>
  <c r="L20" i="2"/>
  <c r="L12" i="2" s="1"/>
  <c r="M20" i="2"/>
  <c r="M38" i="2" s="1"/>
  <c r="N20" i="2"/>
  <c r="N12" i="2" s="1"/>
  <c r="O20" i="2"/>
  <c r="O38" i="2" s="1"/>
  <c r="P12" i="2"/>
  <c r="Q20" i="2"/>
  <c r="Q38" i="2" s="1"/>
  <c r="R20" i="2"/>
  <c r="R12" i="2" s="1"/>
  <c r="S20" i="2"/>
  <c r="S38" i="2" s="1"/>
  <c r="T20" i="2"/>
  <c r="T12" i="2" s="1"/>
  <c r="U20" i="2"/>
  <c r="U38" i="2" s="1"/>
  <c r="V20" i="2"/>
  <c r="V12" i="2" s="1"/>
  <c r="W20" i="2"/>
  <c r="W38" i="2" s="1"/>
  <c r="X20" i="2"/>
  <c r="X12" i="2" s="1"/>
  <c r="Y20" i="2"/>
  <c r="Y38" i="2" s="1"/>
  <c r="Z20" i="2"/>
  <c r="Z12" i="2" s="1"/>
  <c r="AA20" i="2"/>
  <c r="AA38" i="2" s="1"/>
  <c r="AB20" i="2"/>
  <c r="AB12" i="2" s="1"/>
  <c r="AC20" i="2"/>
  <c r="AC38" i="2" s="1"/>
  <c r="AD20" i="2"/>
  <c r="AD12" i="2" s="1"/>
  <c r="AE20" i="2"/>
  <c r="AE38" i="2" s="1"/>
  <c r="H20" i="2"/>
  <c r="H12" i="2" s="1"/>
  <c r="C33" i="2"/>
  <c r="B34" i="2"/>
  <c r="B31" i="2"/>
  <c r="B27" i="2"/>
  <c r="F27" i="2" s="1"/>
  <c r="B23" i="2"/>
  <c r="F23" i="2" s="1"/>
  <c r="B24" i="2"/>
  <c r="F24" i="2" s="1"/>
  <c r="C14" i="2"/>
  <c r="B15" i="2"/>
  <c r="B16" i="2"/>
  <c r="F16" i="2" s="1"/>
  <c r="G68" i="4" l="1"/>
  <c r="D69" i="5"/>
  <c r="D68" i="5" s="1"/>
  <c r="B40" i="3"/>
  <c r="F40" i="3" s="1"/>
  <c r="F36" i="3"/>
  <c r="G42" i="5"/>
  <c r="E69" i="5"/>
  <c r="C66" i="5"/>
  <c r="AG43" i="4"/>
  <c r="AG59" i="4"/>
  <c r="G46" i="5"/>
  <c r="F46" i="5"/>
  <c r="AG24" i="2"/>
  <c r="G24" i="2"/>
  <c r="B33" i="2"/>
  <c r="F34" i="2"/>
  <c r="AG53" i="2"/>
  <c r="G53" i="2"/>
  <c r="AG28" i="2"/>
  <c r="G28" i="2"/>
  <c r="D11" i="2"/>
  <c r="D37" i="2"/>
  <c r="D62" i="2" s="1"/>
  <c r="D66" i="2" s="1"/>
  <c r="C30" i="2"/>
  <c r="AG31" i="2"/>
  <c r="G31" i="2"/>
  <c r="B30" i="2"/>
  <c r="F30" i="2" s="1"/>
  <c r="F31" i="2"/>
  <c r="C57" i="2"/>
  <c r="B47" i="2"/>
  <c r="B54" i="2"/>
  <c r="F54" i="2" s="1"/>
  <c r="C26" i="2"/>
  <c r="B20" i="2"/>
  <c r="B12" i="2" s="1"/>
  <c r="C22" i="2"/>
  <c r="F27" i="3"/>
  <c r="B30" i="3"/>
  <c r="B14" i="2"/>
  <c r="D14" i="2"/>
  <c r="E14" i="2"/>
  <c r="B22" i="2"/>
  <c r="B19" i="2"/>
  <c r="E22" i="2"/>
  <c r="B26" i="2"/>
  <c r="E26" i="2"/>
  <c r="E33" i="2"/>
  <c r="AG33" i="2" s="1"/>
  <c r="D18" i="2"/>
  <c r="H11" i="2"/>
  <c r="H10" i="2" s="1"/>
  <c r="H18" i="2"/>
  <c r="AE42" i="2"/>
  <c r="AE63" i="2"/>
  <c r="AE67" i="2" s="1"/>
  <c r="AC42" i="2"/>
  <c r="AC63" i="2"/>
  <c r="AC67" i="2" s="1"/>
  <c r="AA42" i="2"/>
  <c r="AA63" i="2"/>
  <c r="AA67" i="2" s="1"/>
  <c r="Y42" i="2"/>
  <c r="Y63" i="2"/>
  <c r="Y67" i="2" s="1"/>
  <c r="W42" i="2"/>
  <c r="W63" i="2"/>
  <c r="W67" i="2" s="1"/>
  <c r="U42" i="2"/>
  <c r="U63" i="2"/>
  <c r="U67" i="2" s="1"/>
  <c r="S42" i="2"/>
  <c r="S63" i="2"/>
  <c r="S67" i="2" s="1"/>
  <c r="Q42" i="2"/>
  <c r="Q63" i="2"/>
  <c r="Q67" i="2" s="1"/>
  <c r="O42" i="2"/>
  <c r="O63" i="2"/>
  <c r="O67" i="2" s="1"/>
  <c r="M42" i="2"/>
  <c r="M63" i="2"/>
  <c r="M67" i="2" s="1"/>
  <c r="K42" i="2"/>
  <c r="K63" i="2"/>
  <c r="K67" i="2" s="1"/>
  <c r="I42" i="2"/>
  <c r="I63" i="2"/>
  <c r="I67" i="2" s="1"/>
  <c r="AE11" i="2"/>
  <c r="AE18" i="2"/>
  <c r="AD37" i="2"/>
  <c r="AD18" i="2"/>
  <c r="AC11" i="2"/>
  <c r="AC18" i="2"/>
  <c r="AB37" i="2"/>
  <c r="AB18" i="2"/>
  <c r="AA11" i="2"/>
  <c r="AA18" i="2"/>
  <c r="Z37" i="2"/>
  <c r="Z18" i="2"/>
  <c r="Y11" i="2"/>
  <c r="Y18" i="2"/>
  <c r="X37" i="2"/>
  <c r="X18" i="2"/>
  <c r="W11" i="2"/>
  <c r="W18" i="2"/>
  <c r="V37" i="2"/>
  <c r="V18" i="2"/>
  <c r="U11" i="2"/>
  <c r="U18" i="2"/>
  <c r="T37" i="2"/>
  <c r="T18" i="2"/>
  <c r="S11" i="2"/>
  <c r="S18" i="2"/>
  <c r="R37" i="2"/>
  <c r="R18" i="2"/>
  <c r="Q11" i="2"/>
  <c r="Q18" i="2"/>
  <c r="P37" i="2"/>
  <c r="P18" i="2"/>
  <c r="O11" i="2"/>
  <c r="O18" i="2"/>
  <c r="N37" i="2"/>
  <c r="N18" i="2"/>
  <c r="M11" i="2"/>
  <c r="M18" i="2"/>
  <c r="L37" i="2"/>
  <c r="L18" i="2"/>
  <c r="K11" i="2"/>
  <c r="K18" i="2"/>
  <c r="J37" i="2"/>
  <c r="J18" i="2"/>
  <c r="I11" i="2"/>
  <c r="I18" i="2"/>
  <c r="E47" i="2"/>
  <c r="G35" i="3"/>
  <c r="C60" i="5"/>
  <c r="F32" i="3"/>
  <c r="G32" i="3"/>
  <c r="G40" i="3"/>
  <c r="E30" i="3"/>
  <c r="F31" i="3"/>
  <c r="E34" i="3"/>
  <c r="E38" i="3" s="1"/>
  <c r="D34" i="3"/>
  <c r="D38" i="3" s="1"/>
  <c r="F61" i="5"/>
  <c r="E61" i="5"/>
  <c r="E67" i="5"/>
  <c r="F45" i="5"/>
  <c r="G45" i="5"/>
  <c r="G59" i="4"/>
  <c r="F59" i="4"/>
  <c r="F43" i="4"/>
  <c r="G43" i="4"/>
  <c r="B35" i="3"/>
  <c r="F35" i="3" s="1"/>
  <c r="B26" i="3"/>
  <c r="F26" i="3" s="1"/>
  <c r="G27" i="3"/>
  <c r="G28" i="3"/>
  <c r="G26" i="3"/>
  <c r="F28" i="3"/>
  <c r="D12" i="2"/>
  <c r="Q12" i="2"/>
  <c r="H38" i="2"/>
  <c r="X11" i="2"/>
  <c r="X10" i="2" s="1"/>
  <c r="Y12" i="2"/>
  <c r="I12" i="2"/>
  <c r="P11" i="2"/>
  <c r="P10" i="2" s="1"/>
  <c r="E20" i="2"/>
  <c r="AC12" i="2"/>
  <c r="U12" i="2"/>
  <c r="M12" i="2"/>
  <c r="AB11" i="2"/>
  <c r="AB10" i="2" s="1"/>
  <c r="T11" i="2"/>
  <c r="T10" i="2" s="1"/>
  <c r="L11" i="2"/>
  <c r="L10" i="2" s="1"/>
  <c r="D38" i="2"/>
  <c r="AD38" i="2"/>
  <c r="AB38" i="2"/>
  <c r="Z38" i="2"/>
  <c r="X38" i="2"/>
  <c r="V38" i="2"/>
  <c r="T38" i="2"/>
  <c r="R38" i="2"/>
  <c r="P38" i="2"/>
  <c r="N38" i="2"/>
  <c r="L38" i="2"/>
  <c r="J38" i="2"/>
  <c r="AE37" i="2"/>
  <c r="AC37" i="2"/>
  <c r="AA37" i="2"/>
  <c r="Y37" i="2"/>
  <c r="W37" i="2"/>
  <c r="U37" i="2"/>
  <c r="S37" i="2"/>
  <c r="Q37" i="2"/>
  <c r="O37" i="2"/>
  <c r="M37" i="2"/>
  <c r="K37" i="2"/>
  <c r="I37" i="2"/>
  <c r="C20" i="2"/>
  <c r="C12" i="2" s="1"/>
  <c r="E19" i="2"/>
  <c r="AE12" i="2"/>
  <c r="AA12" i="2"/>
  <c r="W12" i="2"/>
  <c r="S12" i="2"/>
  <c r="O12" i="2"/>
  <c r="K12" i="2"/>
  <c r="AD11" i="2"/>
  <c r="AD10" i="2" s="1"/>
  <c r="Z11" i="2"/>
  <c r="Z10" i="2" s="1"/>
  <c r="V11" i="2"/>
  <c r="V10" i="2" s="1"/>
  <c r="R11" i="2"/>
  <c r="R10" i="2" s="1"/>
  <c r="N11" i="2"/>
  <c r="N10" i="2" s="1"/>
  <c r="J11" i="2"/>
  <c r="J10" i="2" s="1"/>
  <c r="C19" i="2"/>
  <c r="C11" i="2" s="1"/>
  <c r="D71" i="5" l="1"/>
  <c r="D70" i="5" s="1"/>
  <c r="C68" i="5"/>
  <c r="G31" i="3"/>
  <c r="G14" i="2"/>
  <c r="F14" i="2"/>
  <c r="AG14" i="2"/>
  <c r="G19" i="2"/>
  <c r="F19" i="2"/>
  <c r="G20" i="2"/>
  <c r="F20" i="2"/>
  <c r="F22" i="2"/>
  <c r="G22" i="2"/>
  <c r="AG22" i="2"/>
  <c r="AG20" i="2"/>
  <c r="G33" i="2"/>
  <c r="F33" i="2"/>
  <c r="AG19" i="2"/>
  <c r="C10" i="2"/>
  <c r="G26" i="2"/>
  <c r="F26" i="2"/>
  <c r="AG26" i="2"/>
  <c r="AG30" i="2"/>
  <c r="G30" i="2"/>
  <c r="G47" i="2"/>
  <c r="AG47" i="2"/>
  <c r="F47" i="2"/>
  <c r="D42" i="2"/>
  <c r="D36" i="2"/>
  <c r="B58" i="2"/>
  <c r="B53" i="2"/>
  <c r="F53" i="2" s="1"/>
  <c r="C18" i="2"/>
  <c r="C38" i="2"/>
  <c r="D10" i="2"/>
  <c r="H41" i="2"/>
  <c r="E18" i="2"/>
  <c r="I41" i="2"/>
  <c r="I40" i="2" s="1"/>
  <c r="I62" i="2"/>
  <c r="K41" i="2"/>
  <c r="K40" i="2" s="1"/>
  <c r="K62" i="2"/>
  <c r="M41" i="2"/>
  <c r="M40" i="2" s="1"/>
  <c r="M62" i="2"/>
  <c r="O41" i="2"/>
  <c r="O40" i="2" s="1"/>
  <c r="O62" i="2"/>
  <c r="Q41" i="2"/>
  <c r="Q40" i="2" s="1"/>
  <c r="Q62" i="2"/>
  <c r="S41" i="2"/>
  <c r="S40" i="2" s="1"/>
  <c r="S62" i="2"/>
  <c r="U41" i="2"/>
  <c r="U40" i="2" s="1"/>
  <c r="U62" i="2"/>
  <c r="W41" i="2"/>
  <c r="W40" i="2" s="1"/>
  <c r="W62" i="2"/>
  <c r="Y41" i="2"/>
  <c r="Y40" i="2" s="1"/>
  <c r="Y62" i="2"/>
  <c r="AA41" i="2"/>
  <c r="AA40" i="2" s="1"/>
  <c r="AA62" i="2"/>
  <c r="AC41" i="2"/>
  <c r="AC40" i="2" s="1"/>
  <c r="AC62" i="2"/>
  <c r="AE41" i="2"/>
  <c r="AE40" i="2" s="1"/>
  <c r="AE62" i="2"/>
  <c r="J42" i="2"/>
  <c r="J63" i="2"/>
  <c r="L42" i="2"/>
  <c r="L63" i="2"/>
  <c r="N42" i="2"/>
  <c r="N63" i="2"/>
  <c r="P42" i="2"/>
  <c r="P63" i="2"/>
  <c r="R42" i="2"/>
  <c r="R63" i="2"/>
  <c r="T42" i="2"/>
  <c r="T63" i="2"/>
  <c r="V42" i="2"/>
  <c r="V63" i="2"/>
  <c r="X42" i="2"/>
  <c r="X63" i="2"/>
  <c r="Z42" i="2"/>
  <c r="Z63" i="2"/>
  <c r="AB42" i="2"/>
  <c r="AB63" i="2"/>
  <c r="AD42" i="2"/>
  <c r="AD63" i="2"/>
  <c r="D41" i="2"/>
  <c r="H42" i="2"/>
  <c r="H63" i="2"/>
  <c r="B34" i="3"/>
  <c r="F34" i="3" s="1"/>
  <c r="B39" i="3"/>
  <c r="B38" i="3" s="1"/>
  <c r="F38" i="3" s="1"/>
  <c r="E68" i="5"/>
  <c r="E71" i="5"/>
  <c r="E70" i="5" s="1"/>
  <c r="F30" i="3"/>
  <c r="G30" i="3"/>
  <c r="C71" i="5"/>
  <c r="C38" i="3"/>
  <c r="G38" i="3" s="1"/>
  <c r="G39" i="3"/>
  <c r="I10" i="2"/>
  <c r="J41" i="2"/>
  <c r="J62" i="2"/>
  <c r="J66" i="2" s="1"/>
  <c r="K10" i="2"/>
  <c r="L41" i="2"/>
  <c r="L62" i="2"/>
  <c r="L66" i="2" s="1"/>
  <c r="M10" i="2"/>
  <c r="N41" i="2"/>
  <c r="N62" i="2"/>
  <c r="N66" i="2" s="1"/>
  <c r="O10" i="2"/>
  <c r="P41" i="2"/>
  <c r="P62" i="2"/>
  <c r="P66" i="2" s="1"/>
  <c r="Q10" i="2"/>
  <c r="R41" i="2"/>
  <c r="R62" i="2"/>
  <c r="R66" i="2" s="1"/>
  <c r="S10" i="2"/>
  <c r="T41" i="2"/>
  <c r="T62" i="2"/>
  <c r="T66" i="2" s="1"/>
  <c r="U10" i="2"/>
  <c r="V41" i="2"/>
  <c r="V62" i="2"/>
  <c r="V66" i="2" s="1"/>
  <c r="W10" i="2"/>
  <c r="X41" i="2"/>
  <c r="X62" i="2"/>
  <c r="X66" i="2" s="1"/>
  <c r="Y10" i="2"/>
  <c r="Z41" i="2"/>
  <c r="Z62" i="2"/>
  <c r="Z66" i="2" s="1"/>
  <c r="AA10" i="2"/>
  <c r="AB41" i="2"/>
  <c r="AB62" i="2"/>
  <c r="AB66" i="2" s="1"/>
  <c r="AC10" i="2"/>
  <c r="AD41" i="2"/>
  <c r="AD62" i="2"/>
  <c r="AD66" i="2" s="1"/>
  <c r="AE10" i="2"/>
  <c r="B18" i="2"/>
  <c r="B37" i="2"/>
  <c r="B62" i="2" s="1"/>
  <c r="B66" i="2" s="1"/>
  <c r="B11" i="2"/>
  <c r="B10" i="2" s="1"/>
  <c r="E66" i="5"/>
  <c r="G66" i="5" s="1"/>
  <c r="G67" i="5"/>
  <c r="G61" i="5"/>
  <c r="E60" i="5"/>
  <c r="F63" i="5"/>
  <c r="B67" i="5"/>
  <c r="G36" i="3"/>
  <c r="K36" i="2"/>
  <c r="O36" i="2"/>
  <c r="S36" i="2"/>
  <c r="W36" i="2"/>
  <c r="AA36" i="2"/>
  <c r="AE36" i="2"/>
  <c r="L36" i="2"/>
  <c r="P36" i="2"/>
  <c r="T36" i="2"/>
  <c r="X36" i="2"/>
  <c r="AB36" i="2"/>
  <c r="D63" i="2"/>
  <c r="D67" i="2" s="1"/>
  <c r="H36" i="2"/>
  <c r="I36" i="2"/>
  <c r="M36" i="2"/>
  <c r="Q36" i="2"/>
  <c r="U36" i="2"/>
  <c r="Y36" i="2"/>
  <c r="AC36" i="2"/>
  <c r="J36" i="2"/>
  <c r="N36" i="2"/>
  <c r="R36" i="2"/>
  <c r="V36" i="2"/>
  <c r="Z36" i="2"/>
  <c r="AD36" i="2"/>
  <c r="E12" i="2"/>
  <c r="E38" i="2"/>
  <c r="C37" i="2"/>
  <c r="B38" i="2"/>
  <c r="B63" i="2" s="1"/>
  <c r="B67" i="2" s="1"/>
  <c r="E37" i="2"/>
  <c r="E11" i="2"/>
  <c r="C70" i="5" l="1"/>
  <c r="G34" i="3"/>
  <c r="D40" i="2"/>
  <c r="F37" i="2"/>
  <c r="G37" i="2"/>
  <c r="G12" i="2"/>
  <c r="F12" i="2"/>
  <c r="B57" i="2"/>
  <c r="F58" i="2"/>
  <c r="C62" i="2"/>
  <c r="C66" i="2" s="1"/>
  <c r="AG37" i="2"/>
  <c r="AG38" i="2"/>
  <c r="G11" i="2"/>
  <c r="F11" i="2"/>
  <c r="G38" i="2"/>
  <c r="F38" i="2"/>
  <c r="G18" i="2"/>
  <c r="F18" i="2"/>
  <c r="AG18" i="2"/>
  <c r="C36" i="2"/>
  <c r="C42" i="2"/>
  <c r="C63" i="2"/>
  <c r="E36" i="2"/>
  <c r="E62" i="2"/>
  <c r="H67" i="2"/>
  <c r="H61" i="2"/>
  <c r="F39" i="3"/>
  <c r="E10" i="2"/>
  <c r="E41" i="2"/>
  <c r="B42" i="2"/>
  <c r="C41" i="2"/>
  <c r="E63" i="2"/>
  <c r="E42" i="2"/>
  <c r="B41" i="2"/>
  <c r="B36" i="2"/>
  <c r="E57" i="2"/>
  <c r="D65" i="2"/>
  <c r="D61" i="2"/>
  <c r="AD61" i="2"/>
  <c r="AD67" i="2"/>
  <c r="AD65" i="2" s="1"/>
  <c r="AD40" i="2"/>
  <c r="AB61" i="2"/>
  <c r="AB67" i="2"/>
  <c r="AB65" i="2" s="1"/>
  <c r="AB40" i="2"/>
  <c r="Z61" i="2"/>
  <c r="Z67" i="2"/>
  <c r="Z65" i="2" s="1"/>
  <c r="Z40" i="2"/>
  <c r="X61" i="2"/>
  <c r="X67" i="2"/>
  <c r="X65" i="2" s="1"/>
  <c r="X40" i="2"/>
  <c r="V61" i="2"/>
  <c r="V67" i="2"/>
  <c r="V65" i="2" s="1"/>
  <c r="V40" i="2"/>
  <c r="T61" i="2"/>
  <c r="T67" i="2"/>
  <c r="T65" i="2" s="1"/>
  <c r="T40" i="2"/>
  <c r="R61" i="2"/>
  <c r="R67" i="2"/>
  <c r="R65" i="2" s="1"/>
  <c r="R40" i="2"/>
  <c r="P61" i="2"/>
  <c r="P67" i="2"/>
  <c r="P65" i="2" s="1"/>
  <c r="P40" i="2"/>
  <c r="N61" i="2"/>
  <c r="N67" i="2"/>
  <c r="N65" i="2" s="1"/>
  <c r="N40" i="2"/>
  <c r="L61" i="2"/>
  <c r="L67" i="2"/>
  <c r="L65" i="2" s="1"/>
  <c r="L40" i="2"/>
  <c r="J61" i="2"/>
  <c r="J67" i="2"/>
  <c r="J65" i="2" s="1"/>
  <c r="J40" i="2"/>
  <c r="AE66" i="2"/>
  <c r="AE65" i="2" s="1"/>
  <c r="AE61" i="2"/>
  <c r="AC66" i="2"/>
  <c r="AC65" i="2" s="1"/>
  <c r="AC61" i="2"/>
  <c r="AA66" i="2"/>
  <c r="AA65" i="2" s="1"/>
  <c r="AA61" i="2"/>
  <c r="Y66" i="2"/>
  <c r="Y65" i="2" s="1"/>
  <c r="Y61" i="2"/>
  <c r="W66" i="2"/>
  <c r="W65" i="2" s="1"/>
  <c r="W61" i="2"/>
  <c r="U66" i="2"/>
  <c r="U65" i="2" s="1"/>
  <c r="U61" i="2"/>
  <c r="S66" i="2"/>
  <c r="S65" i="2" s="1"/>
  <c r="S61" i="2"/>
  <c r="Q66" i="2"/>
  <c r="Q65" i="2" s="1"/>
  <c r="Q61" i="2"/>
  <c r="O66" i="2"/>
  <c r="O65" i="2" s="1"/>
  <c r="O61" i="2"/>
  <c r="M66" i="2"/>
  <c r="M65" i="2" s="1"/>
  <c r="M61" i="2"/>
  <c r="K66" i="2"/>
  <c r="K65" i="2" s="1"/>
  <c r="K61" i="2"/>
  <c r="I66" i="2"/>
  <c r="I65" i="2" s="1"/>
  <c r="I61" i="2"/>
  <c r="H66" i="2"/>
  <c r="H40" i="2"/>
  <c r="G60" i="5"/>
  <c r="F60" i="5"/>
  <c r="F67" i="5"/>
  <c r="B66" i="5"/>
  <c r="F66" i="5" s="1"/>
  <c r="C40" i="2" l="1"/>
  <c r="H65" i="2"/>
  <c r="F36" i="2"/>
  <c r="G36" i="2"/>
  <c r="C67" i="2"/>
  <c r="C65" i="2" s="1"/>
  <c r="AG63" i="2"/>
  <c r="F42" i="2"/>
  <c r="G42" i="2"/>
  <c r="G41" i="2"/>
  <c r="F41" i="2"/>
  <c r="E67" i="2"/>
  <c r="F63" i="2"/>
  <c r="G63" i="2"/>
  <c r="G10" i="2"/>
  <c r="F10" i="2"/>
  <c r="AG36" i="2"/>
  <c r="G57" i="2"/>
  <c r="F57" i="2"/>
  <c r="E66" i="2"/>
  <c r="G62" i="2"/>
  <c r="F62" i="2"/>
  <c r="AG62" i="2"/>
  <c r="B65" i="2"/>
  <c r="B40" i="2"/>
  <c r="E61" i="2"/>
  <c r="C61" i="2"/>
  <c r="E40" i="2"/>
  <c r="B61" i="2"/>
  <c r="G40" i="2" l="1"/>
  <c r="F40" i="2"/>
  <c r="F67" i="2"/>
  <c r="G67" i="2"/>
  <c r="G66" i="2"/>
  <c r="F66" i="2"/>
  <c r="G61" i="2"/>
  <c r="AG61" i="2"/>
  <c r="F61" i="2"/>
  <c r="E65" i="2"/>
  <c r="D26" i="3"/>
  <c r="D17" i="5"/>
  <c r="D16" i="5" s="1"/>
  <c r="B17" i="5"/>
  <c r="B16" i="5" s="1"/>
  <c r="G65" i="2" l="1"/>
  <c r="F65" i="2"/>
  <c r="B13" i="5"/>
  <c r="F13" i="5" s="1"/>
  <c r="E17" i="5"/>
  <c r="F17" i="5" s="1"/>
  <c r="C16" i="5"/>
  <c r="G14" i="5"/>
  <c r="F14" i="5"/>
  <c r="G13" i="5"/>
  <c r="F69" i="5" l="1"/>
  <c r="G69" i="5"/>
  <c r="G17" i="5"/>
  <c r="E16" i="5"/>
  <c r="F68" i="5" l="1"/>
  <c r="G68" i="5"/>
  <c r="F71" i="5"/>
  <c r="G71" i="5"/>
  <c r="F16" i="5"/>
  <c r="G16" i="5"/>
  <c r="F70" i="5" l="1"/>
  <c r="G70" i="5"/>
  <c r="D21" i="11"/>
  <c r="D18" i="11" s="1"/>
  <c r="E18" i="11"/>
  <c r="G11" i="11"/>
  <c r="E17" i="4" l="1"/>
  <c r="E23" i="4" s="1"/>
  <c r="E62" i="4" s="1"/>
  <c r="E61" i="4" s="1"/>
  <c r="I23" i="4"/>
  <c r="I22" i="4" s="1"/>
  <c r="H23" i="4"/>
  <c r="H22" i="4" s="1"/>
  <c r="D17" i="4"/>
  <c r="D16" i="4" s="1"/>
  <c r="D15" i="4" s="1"/>
  <c r="I16" i="4"/>
  <c r="I15" i="4" s="1"/>
  <c r="H16" i="4"/>
  <c r="H15" i="4" s="1"/>
  <c r="H26" i="4" l="1"/>
  <c r="H25" i="4" s="1"/>
  <c r="I26" i="4"/>
  <c r="I25" i="4" s="1"/>
  <c r="D23" i="4"/>
  <c r="I62" i="4"/>
  <c r="E22" i="4"/>
  <c r="E26" i="4"/>
  <c r="H62" i="4"/>
  <c r="E66" i="4"/>
  <c r="E65" i="4" s="1"/>
  <c r="E16" i="4"/>
  <c r="E25" i="4" l="1"/>
  <c r="D22" i="4"/>
  <c r="D26" i="4"/>
  <c r="D25" i="4" s="1"/>
  <c r="D62" i="4"/>
  <c r="D61" i="4" s="1"/>
  <c r="E15" i="4"/>
  <c r="H61" i="4"/>
  <c r="H66" i="4"/>
  <c r="H65" i="4" s="1"/>
  <c r="I61" i="4"/>
  <c r="I66" i="4"/>
  <c r="I65" i="4" s="1"/>
  <c r="D66" i="4" l="1"/>
  <c r="D65" i="4" s="1"/>
  <c r="K23" i="4"/>
  <c r="K26" i="4" s="1"/>
  <c r="K25" i="4" s="1"/>
  <c r="X23" i="4"/>
  <c r="X22" i="4" s="1"/>
  <c r="L23" i="4"/>
  <c r="Y23" i="4"/>
  <c r="Y62" i="4" s="1"/>
  <c r="AA23" i="4"/>
  <c r="AA22" i="4" s="1"/>
  <c r="R23" i="4"/>
  <c r="R26" i="4" s="1"/>
  <c r="R25" i="4" s="1"/>
  <c r="W23" i="4"/>
  <c r="W62" i="4" s="1"/>
  <c r="U23" i="4"/>
  <c r="U62" i="4" s="1"/>
  <c r="S23" i="4"/>
  <c r="S62" i="4" s="1"/>
  <c r="AB23" i="4"/>
  <c r="AB26" i="4" s="1"/>
  <c r="AB25" i="4" s="1"/>
  <c r="AC16" i="4"/>
  <c r="AC15" i="4" s="1"/>
  <c r="AC23" i="4"/>
  <c r="AC26" i="4" s="1"/>
  <c r="AC25" i="4" s="1"/>
  <c r="M62" i="4"/>
  <c r="M66" i="4" s="1"/>
  <c r="M65" i="4" s="1"/>
  <c r="K16" i="4"/>
  <c r="K15" i="4" s="1"/>
  <c r="J23" i="4"/>
  <c r="J26" i="4" s="1"/>
  <c r="J25" i="4" s="1"/>
  <c r="Q16" i="4"/>
  <c r="Q15" i="4" s="1"/>
  <c r="Q23" i="4"/>
  <c r="Q22" i="4" s="1"/>
  <c r="T23" i="4"/>
  <c r="T22" i="4" s="1"/>
  <c r="V16" i="4"/>
  <c r="V15" i="4" s="1"/>
  <c r="V23" i="4"/>
  <c r="V26" i="4" s="1"/>
  <c r="V25" i="4" s="1"/>
  <c r="Z23" i="4"/>
  <c r="Z22" i="4" s="1"/>
  <c r="X16" i="4"/>
  <c r="X15" i="4" s="1"/>
  <c r="T16" i="4"/>
  <c r="T15" i="4" s="1"/>
  <c r="L16" i="4"/>
  <c r="L15" i="4" s="1"/>
  <c r="Y16" i="4"/>
  <c r="Y15" i="4" s="1"/>
  <c r="U16" i="4"/>
  <c r="U15" i="4" s="1"/>
  <c r="M16" i="4"/>
  <c r="M15" i="4" s="1"/>
  <c r="Z16" i="4"/>
  <c r="Z15" i="4" s="1"/>
  <c r="S16" i="4"/>
  <c r="S15" i="4" s="1"/>
  <c r="R16" i="4"/>
  <c r="R15" i="4" s="1"/>
  <c r="AB16" i="4"/>
  <c r="AB15" i="4" s="1"/>
  <c r="O16" i="4"/>
  <c r="O15" i="4" s="1"/>
  <c r="O23" i="4"/>
  <c r="O26" i="4" s="1"/>
  <c r="O25" i="4" s="1"/>
  <c r="J16" i="4"/>
  <c r="J15" i="4" s="1"/>
  <c r="B17" i="4"/>
  <c r="B16" i="4" s="1"/>
  <c r="N16" i="4"/>
  <c r="N15" i="4" s="1"/>
  <c r="N23" i="4"/>
  <c r="N62" i="4" s="1"/>
  <c r="W16" i="4"/>
  <c r="W15" i="4" s="1"/>
  <c r="AA16" i="4"/>
  <c r="AA15" i="4" s="1"/>
  <c r="P16" i="4"/>
  <c r="P15" i="4" s="1"/>
  <c r="P23" i="4"/>
  <c r="P26" i="4" s="1"/>
  <c r="P25" i="4" s="1"/>
  <c r="L22" i="4" l="1"/>
  <c r="L62" i="4"/>
  <c r="L61" i="4" s="1"/>
  <c r="J62" i="4"/>
  <c r="J66" i="4" s="1"/>
  <c r="J65" i="4" s="1"/>
  <c r="AC62" i="4"/>
  <c r="AC61" i="4" s="1"/>
  <c r="M25" i="4"/>
  <c r="AB62" i="4"/>
  <c r="R62" i="4"/>
  <c r="R61" i="4" s="1"/>
  <c r="Z26" i="4"/>
  <c r="Z25" i="4" s="1"/>
  <c r="Z62" i="4"/>
  <c r="Z61" i="4" s="1"/>
  <c r="AA62" i="4"/>
  <c r="AA66" i="4" s="1"/>
  <c r="AA65" i="4" s="1"/>
  <c r="J22" i="4"/>
  <c r="Y26" i="4"/>
  <c r="Y25" i="4" s="1"/>
  <c r="AB22" i="4"/>
  <c r="M22" i="4"/>
  <c r="B23" i="4"/>
  <c r="F23" i="4" s="1"/>
  <c r="O62" i="4"/>
  <c r="O22" i="4"/>
  <c r="W61" i="4"/>
  <c r="W66" i="4"/>
  <c r="W65" i="4" s="1"/>
  <c r="Y66" i="4"/>
  <c r="Y65" i="4" s="1"/>
  <c r="Y61" i="4"/>
  <c r="U61" i="4"/>
  <c r="U66" i="4"/>
  <c r="U65" i="4" s="1"/>
  <c r="B15" i="4"/>
  <c r="F15" i="4" s="1"/>
  <c r="F16" i="4"/>
  <c r="N66" i="4"/>
  <c r="N65" i="4" s="1"/>
  <c r="N61" i="4"/>
  <c r="S66" i="4"/>
  <c r="S65" i="4" s="1"/>
  <c r="S61" i="4"/>
  <c r="W22" i="4"/>
  <c r="V62" i="4"/>
  <c r="V22" i="4"/>
  <c r="L26" i="4"/>
  <c r="L25" i="4" s="1"/>
  <c r="AA26" i="4"/>
  <c r="AA25" i="4" s="1"/>
  <c r="R22" i="4"/>
  <c r="W26" i="4"/>
  <c r="W25" i="4" s="1"/>
  <c r="AC22" i="4"/>
  <c r="Q62" i="4"/>
  <c r="Q26" i="4"/>
  <c r="Q25" i="4" s="1"/>
  <c r="T62" i="4"/>
  <c r="P22" i="4"/>
  <c r="Y22" i="4"/>
  <c r="K22" i="4"/>
  <c r="S26" i="4"/>
  <c r="S25" i="4" s="1"/>
  <c r="F17" i="4"/>
  <c r="U26" i="4"/>
  <c r="U25" i="4" s="1"/>
  <c r="K62" i="4"/>
  <c r="U22" i="4"/>
  <c r="N22" i="4"/>
  <c r="S22" i="4"/>
  <c r="P62" i="4"/>
  <c r="T26" i="4"/>
  <c r="T25" i="4" s="1"/>
  <c r="M61" i="4"/>
  <c r="N26" i="4"/>
  <c r="N25" i="4" s="1"/>
  <c r="X62" i="4"/>
  <c r="X26" i="4"/>
  <c r="X25" i="4" s="1"/>
  <c r="Z66" i="4" l="1"/>
  <c r="Z65" i="4" s="1"/>
  <c r="J61" i="4"/>
  <c r="AC66" i="4"/>
  <c r="AC65" i="4" s="1"/>
  <c r="R66" i="4"/>
  <c r="R65" i="4" s="1"/>
  <c r="AB61" i="4"/>
  <c r="AB66" i="4"/>
  <c r="AB65" i="4" s="1"/>
  <c r="O66" i="4"/>
  <c r="O65" i="4" s="1"/>
  <c r="O61" i="4"/>
  <c r="L66" i="4"/>
  <c r="L65" i="4" s="1"/>
  <c r="AA61" i="4"/>
  <c r="B22" i="4"/>
  <c r="F22" i="4" s="1"/>
  <c r="B26" i="4"/>
  <c r="B62" i="4"/>
  <c r="B61" i="4" s="1"/>
  <c r="P66" i="4"/>
  <c r="P65" i="4" s="1"/>
  <c r="P61" i="4"/>
  <c r="K66" i="4"/>
  <c r="K65" i="4" s="1"/>
  <c r="K61" i="4"/>
  <c r="X66" i="4"/>
  <c r="X65" i="4" s="1"/>
  <c r="X61" i="4"/>
  <c r="T61" i="4"/>
  <c r="T66" i="4"/>
  <c r="T65" i="4" s="1"/>
  <c r="Q61" i="4"/>
  <c r="Q66" i="4"/>
  <c r="Q65" i="4" s="1"/>
  <c r="V61" i="4"/>
  <c r="V66" i="4"/>
  <c r="V65" i="4" s="1"/>
  <c r="AE23" i="4"/>
  <c r="AE26" i="4" s="1"/>
  <c r="AE25" i="4" s="1"/>
  <c r="AE16" i="4"/>
  <c r="AE15" i="4" s="1"/>
  <c r="C17" i="4"/>
  <c r="C23" i="4" s="1"/>
  <c r="C62" i="4" l="1"/>
  <c r="C61" i="4" s="1"/>
  <c r="C26" i="4"/>
  <c r="C16" i="4"/>
  <c r="AG16" i="4" s="1"/>
  <c r="AG17" i="4"/>
  <c r="F61" i="4"/>
  <c r="F62" i="4"/>
  <c r="B66" i="4"/>
  <c r="B65" i="4" s="1"/>
  <c r="F26" i="4"/>
  <c r="B25" i="4"/>
  <c r="F25" i="4" s="1"/>
  <c r="AE22" i="4"/>
  <c r="AE62" i="4"/>
  <c r="G17" i="4"/>
  <c r="G16" i="4" l="1"/>
  <c r="C66" i="4"/>
  <c r="C65" i="4" s="1"/>
  <c r="C15" i="4"/>
  <c r="G15" i="4" s="1"/>
  <c r="C25" i="4"/>
  <c r="AG23" i="4"/>
  <c r="C22" i="4"/>
  <c r="G23" i="4"/>
  <c r="F66" i="4"/>
  <c r="F65" i="4"/>
  <c r="AE61" i="4"/>
  <c r="AE66" i="4"/>
  <c r="AE65" i="4" s="1"/>
  <c r="AG15" i="4" l="1"/>
  <c r="AG62" i="4"/>
  <c r="G25" i="4"/>
  <c r="AG25" i="4"/>
  <c r="G22" i="4"/>
  <c r="AG22" i="4"/>
  <c r="G26" i="4"/>
  <c r="AG26" i="4"/>
  <c r="G62" i="4"/>
  <c r="G66" i="4" l="1"/>
  <c r="AG66" i="4"/>
  <c r="G61" i="4"/>
  <c r="AG61" i="4"/>
  <c r="B19" i="11"/>
  <c r="I13" i="11"/>
  <c r="I14" i="11"/>
  <c r="I95" i="11" s="1"/>
  <c r="B20" i="11"/>
  <c r="F20" i="11" s="1"/>
  <c r="H13" i="11"/>
  <c r="C20" i="11"/>
  <c r="H14" i="11"/>
  <c r="H95" i="11" s="1"/>
  <c r="C19" i="11"/>
  <c r="D13" i="11" l="1"/>
  <c r="D94" i="11" s="1"/>
  <c r="I94" i="11"/>
  <c r="H100" i="11"/>
  <c r="H94" i="11"/>
  <c r="G20" i="11"/>
  <c r="G19" i="11"/>
  <c r="G65" i="4"/>
  <c r="AG65" i="4"/>
  <c r="D14" i="11"/>
  <c r="D101" i="11" s="1"/>
  <c r="F19" i="11"/>
  <c r="H101" i="11"/>
  <c r="I101" i="11"/>
  <c r="D100" i="11"/>
  <c r="B14" i="11"/>
  <c r="C14" i="11"/>
  <c r="I100" i="11"/>
  <c r="C13" i="11"/>
  <c r="B13" i="11"/>
  <c r="B94" i="11" s="1"/>
  <c r="C94" i="11" l="1"/>
  <c r="D95" i="11"/>
  <c r="C95" i="11"/>
  <c r="C101" i="11"/>
  <c r="B100" i="11"/>
  <c r="C100" i="11"/>
  <c r="B95" i="11"/>
  <c r="F95" i="11" s="1"/>
  <c r="B101" i="11"/>
  <c r="F101" i="11" s="1"/>
  <c r="G101" i="11" l="1"/>
  <c r="G95" i="11"/>
  <c r="F100" i="11"/>
  <c r="B22" i="11"/>
  <c r="F22" i="11" s="1"/>
  <c r="I16" i="11"/>
  <c r="I104" i="11" s="1"/>
  <c r="C22" i="11"/>
  <c r="C18" i="11" s="1"/>
  <c r="H16" i="11"/>
  <c r="C16" i="11" s="1"/>
  <c r="G22" i="11" l="1"/>
  <c r="D16" i="11"/>
  <c r="D104" i="11" s="1"/>
  <c r="C104" i="11"/>
  <c r="C98" i="11"/>
  <c r="B16" i="11"/>
  <c r="H104" i="11"/>
  <c r="I12" i="11"/>
  <c r="H98" i="11"/>
  <c r="I98" i="11"/>
  <c r="I11" i="11" l="1"/>
  <c r="D98" i="11"/>
  <c r="D12" i="11"/>
  <c r="D11" i="11" s="1"/>
  <c r="B104" i="11"/>
  <c r="F104" i="11" s="1"/>
  <c r="B98" i="11"/>
  <c r="F98" i="11" s="1"/>
  <c r="G98" i="11"/>
  <c r="G104" i="11"/>
  <c r="I18" i="11"/>
  <c r="B21" i="11"/>
  <c r="B18" i="11" s="1"/>
  <c r="H18" i="11"/>
  <c r="H15" i="11"/>
  <c r="H12" i="11" s="1"/>
  <c r="G21" i="11" l="1"/>
  <c r="C15" i="11"/>
  <c r="B15" i="11"/>
  <c r="B102" i="11" s="1"/>
  <c r="B99" i="11" s="1"/>
  <c r="H11" i="11"/>
  <c r="H102" i="11"/>
  <c r="H99" i="11" s="1"/>
  <c r="H96" i="11" s="1"/>
  <c r="H93" i="11" s="1"/>
  <c r="F21" i="11"/>
  <c r="B12" i="11" l="1"/>
  <c r="B11" i="11" s="1"/>
  <c r="G18" i="11"/>
  <c r="C96" i="11"/>
  <c r="B96" i="11"/>
  <c r="B93" i="11" s="1"/>
  <c r="C12" i="11"/>
  <c r="F18" i="11"/>
  <c r="C99" i="11" l="1"/>
  <c r="C102" i="11" s="1"/>
  <c r="C93" i="11"/>
  <c r="C11" i="11"/>
  <c r="D80" i="6"/>
  <c r="D78" i="6" l="1"/>
  <c r="D77" i="6" l="1"/>
  <c r="D99" i="6"/>
  <c r="F78" i="6"/>
  <c r="D102" i="6" l="1"/>
  <c r="D101" i="6" s="1"/>
  <c r="D98" i="6"/>
  <c r="F98" i="6" s="1"/>
  <c r="F99" i="6"/>
  <c r="E107" i="6"/>
  <c r="C107" i="6"/>
  <c r="B107" i="6"/>
  <c r="B106" i="6" s="1"/>
  <c r="D107" i="6"/>
  <c r="D106" i="6" s="1"/>
  <c r="C106" i="6" l="1"/>
  <c r="C133" i="6"/>
  <c r="C130" i="6" s="1"/>
  <c r="G107" i="6"/>
  <c r="F107" i="6"/>
  <c r="D110" i="6"/>
  <c r="B110" i="6"/>
  <c r="C110" i="6"/>
  <c r="E110" i="6"/>
  <c r="E106" i="6"/>
  <c r="C138" i="6" l="1"/>
  <c r="C135" i="6" s="1"/>
  <c r="C113" i="6"/>
  <c r="C109" i="6"/>
  <c r="B113" i="6"/>
  <c r="B112" i="6" s="1"/>
  <c r="B109" i="6"/>
  <c r="D109" i="6"/>
  <c r="D113" i="6"/>
  <c r="D112" i="6" s="1"/>
  <c r="G106" i="6"/>
  <c r="F106" i="6"/>
  <c r="G110" i="6"/>
  <c r="F110" i="6"/>
  <c r="E113" i="6"/>
  <c r="E109" i="6"/>
  <c r="C112" i="6" l="1"/>
  <c r="G113" i="6"/>
  <c r="E112" i="6"/>
  <c r="F113" i="6"/>
  <c r="G109" i="6"/>
  <c r="F109" i="6"/>
  <c r="B138" i="6"/>
  <c r="B135" i="6" s="1"/>
  <c r="F112" i="6" l="1"/>
  <c r="G112" i="6"/>
  <c r="D19" i="6"/>
  <c r="D18" i="6" s="1"/>
  <c r="F19" i="6"/>
  <c r="G19" i="6"/>
  <c r="E15" i="6"/>
  <c r="F15" i="6" s="1"/>
  <c r="D15" i="6"/>
  <c r="F16" i="6"/>
  <c r="G16" i="6"/>
  <c r="D13" i="6"/>
  <c r="D56" i="6" s="1"/>
  <c r="F13" i="6"/>
  <c r="G13" i="6"/>
  <c r="E56" i="6"/>
  <c r="G56" i="6" s="1"/>
  <c r="E18" i="6"/>
  <c r="F18" i="6" s="1"/>
  <c r="F20" i="6"/>
  <c r="G20" i="6"/>
  <c r="D134" i="6" l="1"/>
  <c r="D139" i="6" s="1"/>
  <c r="F56" i="6"/>
  <c r="G15" i="6"/>
  <c r="E134" i="6"/>
  <c r="G18" i="6"/>
  <c r="E22" i="6"/>
  <c r="F22" i="6" s="1"/>
  <c r="F23" i="6"/>
  <c r="G23" i="6"/>
  <c r="E53" i="6"/>
  <c r="G53" i="6" s="1"/>
  <c r="E131" i="6"/>
  <c r="E136" i="6" s="1"/>
  <c r="G22" i="6" l="1"/>
  <c r="G134" i="6"/>
  <c r="F134" i="6"/>
  <c r="E139" i="6"/>
  <c r="E59" i="6"/>
  <c r="F139" i="6" l="1"/>
  <c r="G139" i="6"/>
  <c r="F59" i="6"/>
  <c r="G59" i="6"/>
  <c r="E28" i="6"/>
  <c r="F29" i="6"/>
  <c r="G29" i="6"/>
  <c r="E26" i="6"/>
  <c r="E25" i="6" s="1"/>
  <c r="E31" i="6"/>
  <c r="F32" i="6"/>
  <c r="G32" i="6"/>
  <c r="G26" i="6" l="1"/>
  <c r="F26" i="6"/>
  <c r="G25" i="6"/>
  <c r="F25" i="6"/>
  <c r="E46" i="6"/>
  <c r="F47" i="6"/>
  <c r="G47" i="6"/>
  <c r="G46" i="6" s="1"/>
  <c r="E49" i="6" l="1"/>
  <c r="G50" i="6"/>
  <c r="F50" i="6"/>
  <c r="G130" i="6"/>
  <c r="F130" i="6"/>
  <c r="E137" i="6"/>
  <c r="F133" i="6"/>
  <c r="G133" i="6"/>
  <c r="E138" i="6"/>
  <c r="F138" i="6" s="1"/>
  <c r="E135" i="6" l="1"/>
  <c r="G138" i="6"/>
  <c r="F135" i="6" l="1"/>
  <c r="G135" i="6"/>
  <c r="G11" i="6" l="1"/>
  <c r="F11" i="6"/>
  <c r="F12" i="6"/>
  <c r="G12" i="6"/>
  <c r="E10" i="6"/>
  <c r="G10" i="6" s="1"/>
  <c r="F44" i="6"/>
  <c r="G44" i="6"/>
  <c r="G43" i="6" s="1"/>
  <c r="E43" i="6"/>
  <c r="E41" i="6" s="1"/>
  <c r="G41" i="6" s="1"/>
  <c r="E54" i="6"/>
  <c r="G54" i="6" s="1"/>
  <c r="D11" i="6"/>
  <c r="D132" i="6" s="1"/>
  <c r="D44" i="6"/>
  <c r="D43" i="6" s="1"/>
  <c r="D41" i="6" l="1"/>
  <c r="D55" i="6" s="1"/>
  <c r="E60" i="6"/>
  <c r="G60" i="6" s="1"/>
  <c r="F43" i="6"/>
  <c r="E40" i="6"/>
  <c r="F41" i="6"/>
  <c r="E55" i="6"/>
  <c r="E61" i="6" s="1"/>
  <c r="G61" i="6" s="1"/>
  <c r="D137" i="6"/>
  <c r="F10" i="6"/>
  <c r="D10" i="6"/>
  <c r="D9" i="6" s="1"/>
  <c r="D54" i="6"/>
  <c r="E9" i="6"/>
  <c r="F60" i="6" l="1"/>
  <c r="F55" i="6"/>
  <c r="D61" i="6"/>
  <c r="D40" i="6"/>
  <c r="D133" i="6"/>
  <c r="F61" i="6"/>
  <c r="G55" i="6"/>
  <c r="E52" i="6"/>
  <c r="G52" i="6" s="1"/>
  <c r="E58" i="6"/>
  <c r="F58" i="6" s="1"/>
  <c r="G40" i="6"/>
  <c r="F40" i="6"/>
  <c r="F54" i="6"/>
  <c r="D52" i="6"/>
  <c r="F52" i="6" s="1"/>
  <c r="D60" i="6"/>
  <c r="D58" i="6" l="1"/>
  <c r="D138" i="6"/>
  <c r="D135" i="6" s="1"/>
  <c r="D130" i="6"/>
  <c r="G58" i="6"/>
  <c r="AB21" i="12"/>
  <c r="AD21" i="12" s="1"/>
  <c r="X20" i="12"/>
  <c r="Z20" i="12"/>
  <c r="AB20" i="12" s="1"/>
  <c r="AD20" i="12" s="1"/>
  <c r="H113" i="12"/>
  <c r="I113" i="12"/>
  <c r="J113" i="12"/>
  <c r="K113" i="12"/>
  <c r="L113" i="12"/>
  <c r="M113" i="12"/>
  <c r="N113" i="12"/>
  <c r="O113" i="12"/>
  <c r="B115" i="12"/>
  <c r="B113" i="12" s="1"/>
  <c r="C115" i="12"/>
  <c r="C113" i="12" s="1"/>
  <c r="E115" i="12"/>
  <c r="D115" i="12" s="1"/>
  <c r="D113" i="12" s="1"/>
  <c r="AG113" i="12" l="1"/>
  <c r="AH115" i="12"/>
  <c r="AG115" i="12"/>
  <c r="E113" i="12"/>
  <c r="F113" i="12" l="1"/>
  <c r="G113" i="12"/>
  <c r="AH113" i="12"/>
  <c r="G21" i="22"/>
  <c r="F21" i="22"/>
  <c r="G22" i="22"/>
  <c r="G26" i="22"/>
  <c r="F22" i="22"/>
  <c r="G25" i="22"/>
  <c r="F25" i="22"/>
  <c r="F26" i="22"/>
  <c r="F23" i="22"/>
  <c r="G23" i="22"/>
  <c r="G24" i="22"/>
  <c r="F24" i="22"/>
  <c r="B18" i="12" l="1"/>
  <c r="C18" i="12"/>
  <c r="D18" i="12"/>
  <c r="E18" i="12"/>
  <c r="F18" i="12"/>
  <c r="G18" i="12"/>
  <c r="H18" i="12"/>
  <c r="I18" i="12"/>
  <c r="J18" i="12"/>
  <c r="K18" i="12"/>
  <c r="L18" i="12"/>
  <c r="M18" i="12"/>
  <c r="N18" i="12"/>
  <c r="O18" i="12"/>
  <c r="P18" i="12"/>
  <c r="Q18" i="12"/>
  <c r="R18" i="12"/>
  <c r="S18" i="12"/>
  <c r="T18" i="12"/>
  <c r="U18" i="12"/>
  <c r="V18" i="12"/>
  <c r="W18" i="12"/>
  <c r="X18" i="12"/>
  <c r="Y18" i="12"/>
  <c r="Z18" i="12"/>
  <c r="AA18" i="12"/>
  <c r="AB18" i="12"/>
  <c r="AC18" i="12"/>
  <c r="AD18" i="12"/>
  <c r="AE18" i="12"/>
  <c r="B19" i="12"/>
  <c r="C19" i="12"/>
  <c r="D19" i="12"/>
  <c r="E19" i="12"/>
  <c r="F19" i="12"/>
  <c r="G19" i="12"/>
  <c r="H19" i="12"/>
  <c r="I19" i="12"/>
  <c r="J19" i="12"/>
  <c r="K19" i="12"/>
  <c r="L19" i="12"/>
  <c r="M19" i="12"/>
  <c r="N19" i="12"/>
  <c r="O19" i="12"/>
  <c r="P19" i="12"/>
  <c r="Q19" i="12"/>
  <c r="R19" i="12"/>
  <c r="S19" i="12"/>
  <c r="T19" i="12"/>
  <c r="U19" i="12"/>
  <c r="V19" i="12"/>
  <c r="W19" i="12"/>
  <c r="X19" i="12"/>
  <c r="Y19" i="12"/>
  <c r="Z19" i="12"/>
  <c r="AA19" i="12"/>
  <c r="AB19" i="12"/>
  <c r="AC19" i="12"/>
  <c r="AD19" i="12"/>
  <c r="AE19" i="12"/>
  <c r="B20" i="12"/>
  <c r="C20" i="12"/>
  <c r="D20" i="12"/>
  <c r="E20" i="12"/>
  <c r="F20" i="12"/>
  <c r="G20" i="12"/>
  <c r="H20" i="12"/>
  <c r="I20" i="12"/>
  <c r="J20" i="12"/>
  <c r="K20" i="12"/>
  <c r="L20" i="12"/>
  <c r="M20" i="12"/>
  <c r="N20" i="12"/>
  <c r="O20" i="12"/>
  <c r="Q20" i="12"/>
  <c r="R20" i="12"/>
  <c r="S20" i="12"/>
  <c r="U20" i="12"/>
  <c r="W20" i="12"/>
  <c r="Y20" i="12"/>
  <c r="AA20" i="12"/>
  <c r="AC20" i="12"/>
  <c r="AE20" i="12"/>
  <c r="B21" i="12"/>
  <c r="C21" i="12"/>
  <c r="D21" i="12"/>
  <c r="E21" i="12"/>
  <c r="F21" i="12"/>
  <c r="G21" i="12"/>
  <c r="H21" i="12"/>
  <c r="I21" i="12"/>
  <c r="J21" i="12"/>
  <c r="K21" i="12"/>
  <c r="L21" i="12"/>
  <c r="M21" i="12"/>
  <c r="N21" i="12"/>
  <c r="O21" i="12"/>
  <c r="Q21" i="12"/>
  <c r="R21" i="12"/>
  <c r="S21" i="12"/>
  <c r="U21" i="12"/>
  <c r="W21" i="12"/>
  <c r="Y21" i="12"/>
  <c r="AA21" i="12"/>
  <c r="AC21" i="12"/>
  <c r="AE21" i="12"/>
  <c r="B22" i="12"/>
  <c r="C22" i="12"/>
  <c r="D22" i="12"/>
  <c r="E22" i="12"/>
  <c r="F22" i="12"/>
  <c r="G22" i="12"/>
  <c r="H22" i="12"/>
  <c r="I22" i="12"/>
  <c r="J22" i="12"/>
  <c r="K22" i="12"/>
  <c r="L22" i="12"/>
  <c r="M22" i="12"/>
  <c r="N22" i="12"/>
  <c r="O22" i="12"/>
  <c r="P22" i="12"/>
  <c r="Q22" i="12"/>
  <c r="R22" i="12"/>
  <c r="S22" i="12"/>
  <c r="T22" i="12"/>
  <c r="U22" i="12"/>
  <c r="V22" i="12"/>
  <c r="W22" i="12"/>
  <c r="Y22" i="12"/>
  <c r="Z22" i="12"/>
  <c r="AA22" i="12"/>
  <c r="AB22" i="12"/>
  <c r="AC22" i="12"/>
  <c r="AD22" i="12"/>
  <c r="AE22" i="12"/>
  <c r="B25" i="12"/>
  <c r="C25" i="12"/>
  <c r="D25" i="12"/>
  <c r="E25" i="12"/>
  <c r="F25" i="12"/>
  <c r="G25" i="12"/>
  <c r="H25" i="12"/>
  <c r="I25" i="12"/>
  <c r="J25" i="12"/>
  <c r="K25" i="12"/>
  <c r="AG25" i="12"/>
  <c r="AH25" i="12"/>
  <c r="B26" i="12"/>
  <c r="C26" i="12"/>
  <c r="F26" i="12"/>
  <c r="G26" i="12"/>
  <c r="H26" i="12"/>
  <c r="AG26" i="12"/>
  <c r="AH26" i="12"/>
  <c r="B27" i="12"/>
  <c r="C27" i="12"/>
  <c r="D27" i="12"/>
  <c r="E27" i="12"/>
  <c r="F27" i="12"/>
  <c r="G27" i="12"/>
  <c r="H27" i="12"/>
  <c r="I27" i="12"/>
  <c r="J27" i="12"/>
  <c r="K27" i="12"/>
  <c r="AG27" i="12"/>
  <c r="AH27" i="12"/>
  <c r="B28" i="12"/>
  <c r="C28" i="12"/>
  <c r="D28" i="12"/>
  <c r="E28" i="12"/>
  <c r="F28" i="12"/>
  <c r="G28" i="12"/>
  <c r="H28" i="12"/>
  <c r="I28" i="12"/>
  <c r="J28" i="12"/>
  <c r="K28" i="12"/>
  <c r="AG28" i="12"/>
  <c r="AH28" i="12"/>
  <c r="C29" i="12"/>
  <c r="G29" i="12"/>
  <c r="H29" i="12"/>
  <c r="I29" i="12"/>
  <c r="J29" i="12"/>
  <c r="K29" i="12"/>
  <c r="AG29" i="12"/>
  <c r="AH29" i="12"/>
  <c r="B31" i="12"/>
  <c r="C31" i="12"/>
  <c r="F31" i="12"/>
  <c r="G31" i="12"/>
  <c r="H31" i="12"/>
  <c r="AG31" i="12"/>
  <c r="AH31" i="12"/>
  <c r="B32" i="12"/>
  <c r="C32" i="12"/>
  <c r="F32" i="12"/>
  <c r="G32" i="12"/>
  <c r="H32" i="12"/>
  <c r="AG32" i="12"/>
  <c r="AH32" i="12"/>
  <c r="C55" i="12"/>
  <c r="D55" i="12"/>
  <c r="E55" i="12"/>
  <c r="F55" i="12"/>
  <c r="G55" i="12"/>
  <c r="H55" i="12"/>
  <c r="I55" i="12"/>
  <c r="J55" i="12"/>
  <c r="K55" i="12"/>
  <c r="AG55" i="12"/>
  <c r="AH55" i="12"/>
  <c r="B57" i="12"/>
  <c r="C57" i="12"/>
  <c r="D57" i="12"/>
  <c r="E57" i="12"/>
  <c r="F57" i="12"/>
  <c r="G57" i="12"/>
  <c r="H57" i="12"/>
  <c r="I57" i="12"/>
  <c r="J57" i="12"/>
  <c r="K57" i="12"/>
  <c r="AG57" i="12"/>
  <c r="AH57" i="12"/>
  <c r="B58" i="12"/>
  <c r="C58" i="12"/>
  <c r="D58" i="12"/>
  <c r="E58" i="12"/>
  <c r="F58" i="12"/>
  <c r="G58" i="12"/>
  <c r="H58" i="12"/>
  <c r="I58" i="12"/>
  <c r="J58" i="12"/>
  <c r="K58" i="12"/>
  <c r="AG58" i="12"/>
  <c r="AH58" i="12"/>
  <c r="F59" i="12"/>
  <c r="G59" i="12"/>
  <c r="H59" i="12"/>
  <c r="I59" i="12"/>
  <c r="J59" i="12"/>
  <c r="K59" i="12"/>
  <c r="AG59" i="12"/>
  <c r="B73" i="12"/>
  <c r="C73" i="12"/>
  <c r="D73" i="12"/>
  <c r="E73" i="12"/>
  <c r="F73" i="12"/>
  <c r="G73" i="12"/>
  <c r="H73" i="12"/>
  <c r="I73" i="12"/>
  <c r="J73" i="12"/>
  <c r="N73" i="12"/>
  <c r="O73" i="12"/>
  <c r="P73" i="12"/>
  <c r="Q73" i="12"/>
  <c r="R73" i="12"/>
  <c r="S73" i="12"/>
  <c r="T73" i="12"/>
  <c r="U73" i="12"/>
  <c r="V73" i="12"/>
  <c r="W73" i="12"/>
  <c r="X73" i="12"/>
  <c r="Y73" i="12"/>
  <c r="Z73" i="12"/>
  <c r="AA73" i="12"/>
  <c r="AB73" i="12"/>
  <c r="AC73" i="12"/>
  <c r="AD73" i="12"/>
  <c r="AE73" i="12"/>
  <c r="AG73" i="12"/>
  <c r="AH73" i="12"/>
  <c r="B74" i="12"/>
  <c r="C74" i="12"/>
  <c r="D74" i="12"/>
  <c r="E74" i="12"/>
  <c r="F74" i="12"/>
  <c r="G74" i="12"/>
  <c r="H74" i="12"/>
  <c r="I74" i="12"/>
  <c r="J74" i="12"/>
  <c r="K74" i="12"/>
  <c r="L74" i="12"/>
  <c r="M74" i="12"/>
  <c r="N74" i="12"/>
  <c r="O74" i="12"/>
  <c r="P74" i="12"/>
  <c r="Q74" i="12"/>
  <c r="R74" i="12"/>
  <c r="S74" i="12"/>
  <c r="T74" i="12"/>
  <c r="U74" i="12"/>
  <c r="V74" i="12"/>
  <c r="W74" i="12"/>
  <c r="X74" i="12"/>
  <c r="Y74" i="12"/>
  <c r="Z74" i="12"/>
  <c r="AA74" i="12"/>
  <c r="AB74" i="12"/>
  <c r="AC74" i="12"/>
  <c r="AD74" i="12"/>
  <c r="AE74" i="12"/>
  <c r="AG74" i="12"/>
  <c r="AH74" i="12"/>
  <c r="B75" i="12"/>
  <c r="C75" i="12"/>
  <c r="D75" i="12"/>
  <c r="E75" i="12"/>
  <c r="F75" i="12"/>
  <c r="G75" i="12"/>
  <c r="H75" i="12"/>
  <c r="I75" i="12"/>
  <c r="J75" i="12"/>
  <c r="K75" i="12"/>
  <c r="L75" i="12"/>
  <c r="M75" i="12"/>
  <c r="N75" i="12"/>
  <c r="O75" i="12"/>
  <c r="P75" i="12"/>
  <c r="Q75" i="12"/>
  <c r="R75" i="12"/>
  <c r="S75" i="12"/>
  <c r="T75" i="12"/>
  <c r="U75" i="12"/>
  <c r="V75" i="12"/>
  <c r="W75" i="12"/>
  <c r="X75" i="12"/>
  <c r="Y75" i="12"/>
  <c r="Z75" i="12"/>
  <c r="AA75" i="12"/>
  <c r="AB75" i="12"/>
  <c r="AC75" i="12"/>
  <c r="AD75" i="12"/>
  <c r="AE75" i="12"/>
  <c r="AG75" i="12"/>
  <c r="AH75" i="12"/>
  <c r="B105" i="12"/>
  <c r="C105" i="12"/>
  <c r="D105" i="12"/>
  <c r="E105" i="12"/>
  <c r="H105" i="12"/>
  <c r="I105" i="12"/>
  <c r="J105" i="12"/>
  <c r="K105" i="12"/>
  <c r="L105" i="12"/>
  <c r="M105" i="12"/>
  <c r="N105" i="12"/>
  <c r="O105" i="12"/>
  <c r="P105" i="12"/>
  <c r="R105" i="12"/>
  <c r="S105" i="12"/>
  <c r="T105" i="12"/>
  <c r="U105" i="12"/>
  <c r="V105" i="12"/>
  <c r="W105" i="12"/>
  <c r="X105" i="12"/>
  <c r="Y105" i="12"/>
  <c r="Z105" i="12"/>
  <c r="AA105" i="12"/>
  <c r="AB105" i="12"/>
  <c r="AC105" i="12"/>
  <c r="AD105" i="12"/>
  <c r="AG105" i="12"/>
  <c r="AH105" i="12"/>
  <c r="B106" i="12"/>
  <c r="C106" i="12"/>
  <c r="D106" i="12"/>
  <c r="E106" i="12"/>
  <c r="F106" i="12"/>
  <c r="G106" i="12"/>
  <c r="H106" i="12"/>
  <c r="I106" i="12"/>
  <c r="J106" i="12"/>
  <c r="K106" i="12"/>
  <c r="L106" i="12"/>
  <c r="M106" i="12"/>
  <c r="N106" i="12"/>
  <c r="O106" i="12"/>
  <c r="P106" i="12"/>
  <c r="Q106" i="12"/>
  <c r="R106" i="12"/>
  <c r="S106" i="12"/>
  <c r="T106" i="12"/>
  <c r="U106" i="12"/>
  <c r="V106" i="12"/>
  <c r="W106" i="12"/>
  <c r="X106" i="12"/>
  <c r="Y106" i="12"/>
  <c r="Z106" i="12"/>
  <c r="AA106" i="12"/>
  <c r="AB106" i="12"/>
  <c r="AC106" i="12"/>
  <c r="AD106" i="12"/>
  <c r="AG106" i="12"/>
  <c r="AH106" i="12"/>
  <c r="B138" i="12"/>
  <c r="C138" i="12"/>
  <c r="D138" i="12"/>
  <c r="E138" i="12"/>
  <c r="F138" i="12"/>
  <c r="G138" i="12"/>
  <c r="H138" i="12"/>
  <c r="I138" i="12"/>
  <c r="J138" i="12"/>
  <c r="K138" i="12"/>
  <c r="L138" i="12"/>
  <c r="M138" i="12"/>
  <c r="N138" i="12"/>
  <c r="O138" i="12"/>
  <c r="P138" i="12"/>
  <c r="Q138" i="12"/>
  <c r="R138" i="12"/>
  <c r="S138" i="12"/>
  <c r="T138" i="12"/>
  <c r="U138" i="12"/>
  <c r="V138" i="12"/>
  <c r="W138" i="12"/>
  <c r="X138" i="12"/>
  <c r="Y138" i="12"/>
  <c r="Z138" i="12"/>
  <c r="AA138" i="12"/>
  <c r="AB138" i="12"/>
  <c r="AC138" i="12"/>
  <c r="AD138" i="12"/>
  <c r="AE138" i="12"/>
  <c r="AG138" i="12"/>
  <c r="AH138" i="12"/>
  <c r="B139" i="12"/>
  <c r="C139" i="12"/>
  <c r="D139" i="12"/>
  <c r="E139" i="12"/>
  <c r="F139" i="12"/>
  <c r="G139" i="12"/>
  <c r="H139" i="12"/>
  <c r="I139" i="12"/>
  <c r="J139" i="12"/>
  <c r="K139" i="12"/>
  <c r="L139" i="12"/>
  <c r="M139" i="12"/>
  <c r="N139" i="12"/>
  <c r="O139" i="12"/>
  <c r="P139" i="12"/>
  <c r="Q139" i="12"/>
  <c r="R139" i="12"/>
  <c r="S139" i="12"/>
  <c r="T139" i="12"/>
  <c r="U139" i="12"/>
  <c r="V139" i="12"/>
  <c r="W139" i="12"/>
  <c r="X139" i="12"/>
  <c r="Y139" i="12"/>
  <c r="Z139" i="12"/>
  <c r="AA139" i="12"/>
  <c r="AB139" i="12"/>
  <c r="AC139" i="12"/>
  <c r="AD139" i="12"/>
  <c r="AE139" i="12"/>
  <c r="AG139" i="12"/>
  <c r="AH139" i="12"/>
  <c r="B140" i="12"/>
  <c r="C140" i="12"/>
  <c r="D140" i="12"/>
  <c r="E140" i="12"/>
  <c r="F140" i="12"/>
  <c r="G140" i="12"/>
  <c r="H140" i="12"/>
  <c r="I140" i="12"/>
  <c r="J140" i="12"/>
  <c r="K140" i="12"/>
  <c r="L140" i="12"/>
  <c r="M140" i="12"/>
  <c r="N140" i="12"/>
  <c r="O140" i="12"/>
  <c r="P140" i="12"/>
  <c r="Q140" i="12"/>
  <c r="R140" i="12"/>
  <c r="S140" i="12"/>
  <c r="T140" i="12"/>
  <c r="U140" i="12"/>
  <c r="V140" i="12"/>
  <c r="W140" i="12"/>
  <c r="X140" i="12"/>
  <c r="Y140" i="12"/>
  <c r="Z140" i="12"/>
  <c r="AA140" i="12"/>
  <c r="AB140" i="12"/>
  <c r="AC140" i="12"/>
  <c r="AD140" i="12"/>
  <c r="AE140" i="12"/>
  <c r="AG140" i="12"/>
  <c r="AH140" i="12"/>
  <c r="B141" i="12"/>
  <c r="C141" i="12"/>
  <c r="D141" i="12"/>
  <c r="E141" i="12"/>
  <c r="F141" i="12"/>
  <c r="G141" i="12"/>
  <c r="H141" i="12"/>
  <c r="I141" i="12"/>
  <c r="J141" i="12"/>
  <c r="K141" i="12"/>
  <c r="AG141" i="12"/>
  <c r="AH141" i="12"/>
  <c r="C142" i="12"/>
  <c r="G142" i="12"/>
  <c r="H142" i="12"/>
  <c r="I142" i="12"/>
  <c r="J142" i="12"/>
  <c r="K142" i="12"/>
  <c r="AG142" i="12"/>
  <c r="AH142" i="12"/>
  <c r="B143" i="12"/>
  <c r="C143" i="12"/>
  <c r="D143" i="12"/>
  <c r="E143" i="12"/>
  <c r="F143" i="12"/>
  <c r="G143" i="12"/>
  <c r="H143" i="12"/>
  <c r="I143" i="12"/>
  <c r="J143" i="12"/>
  <c r="K143" i="12"/>
  <c r="L143" i="12"/>
  <c r="M143" i="12"/>
  <c r="N143" i="12"/>
  <c r="O143" i="12"/>
  <c r="P143" i="12"/>
  <c r="Q143" i="12"/>
  <c r="R143" i="12"/>
  <c r="S143" i="12"/>
  <c r="T143" i="12"/>
  <c r="U143" i="12"/>
  <c r="V143" i="12"/>
  <c r="W143" i="12"/>
  <c r="X143" i="12"/>
  <c r="Y143" i="12"/>
  <c r="Z143" i="12"/>
  <c r="AA143" i="12"/>
  <c r="AB143" i="12"/>
  <c r="AC143" i="12"/>
  <c r="AD143" i="12"/>
  <c r="AE143" i="12"/>
  <c r="AG143" i="12"/>
  <c r="AH143" i="12"/>
  <c r="B144" i="12"/>
  <c r="C144" i="12"/>
  <c r="D144" i="12"/>
  <c r="E144" i="12"/>
  <c r="F144" i="12"/>
  <c r="G144" i="12"/>
  <c r="H144" i="12"/>
  <c r="I144" i="12"/>
  <c r="J144" i="12"/>
  <c r="K144" i="12"/>
  <c r="L144" i="12"/>
  <c r="M144" i="12"/>
  <c r="N144" i="12"/>
  <c r="O144" i="12"/>
  <c r="P144" i="12"/>
  <c r="Q144" i="12"/>
  <c r="R144" i="12"/>
  <c r="S144" i="12"/>
  <c r="T144" i="12"/>
  <c r="U144" i="12"/>
  <c r="V144" i="12"/>
  <c r="W144" i="12"/>
  <c r="X144" i="12"/>
  <c r="Y144" i="12"/>
  <c r="Z144" i="12"/>
  <c r="AA144" i="12"/>
  <c r="AB144" i="12"/>
  <c r="AC144" i="12"/>
  <c r="AD144" i="12"/>
  <c r="AE144" i="12"/>
  <c r="AG144" i="12"/>
  <c r="AH144" i="12"/>
  <c r="B145" i="12"/>
  <c r="C145" i="12"/>
  <c r="D145" i="12"/>
  <c r="E145" i="12"/>
  <c r="F145" i="12"/>
  <c r="G145" i="12"/>
  <c r="H145" i="12"/>
  <c r="I145" i="12"/>
  <c r="J145" i="12"/>
  <c r="K145" i="12"/>
  <c r="L145" i="12"/>
  <c r="M145" i="12"/>
  <c r="N145" i="12"/>
  <c r="O145" i="12"/>
  <c r="Q145" i="12"/>
  <c r="R145" i="12"/>
  <c r="S145" i="12"/>
  <c r="U145" i="12"/>
  <c r="W145" i="12"/>
  <c r="Y145" i="12"/>
  <c r="AA145" i="12"/>
  <c r="AC145" i="12"/>
  <c r="AE145" i="12"/>
  <c r="AG145" i="12"/>
  <c r="AH145" i="12"/>
  <c r="B146" i="12"/>
  <c r="C146" i="12"/>
  <c r="D146" i="12"/>
  <c r="E146" i="12"/>
  <c r="F146" i="12"/>
  <c r="G146" i="12"/>
  <c r="H146" i="12"/>
  <c r="I146" i="12"/>
  <c r="J146" i="12"/>
  <c r="K146" i="12"/>
  <c r="L146" i="12"/>
  <c r="M146" i="12"/>
  <c r="N146" i="12"/>
  <c r="O146" i="12"/>
  <c r="Q146" i="12"/>
  <c r="R146" i="12"/>
  <c r="S146" i="12"/>
  <c r="U146" i="12"/>
  <c r="W146" i="12"/>
  <c r="Y146" i="12"/>
  <c r="AA146" i="12"/>
  <c r="AC146" i="12"/>
  <c r="AE146" i="12"/>
  <c r="AG146" i="12"/>
  <c r="AH146" i="12"/>
  <c r="B147" i="12"/>
  <c r="C147" i="12"/>
  <c r="D147" i="12"/>
  <c r="E147" i="12"/>
  <c r="F147" i="12"/>
  <c r="G147" i="12"/>
  <c r="H147" i="12"/>
  <c r="I147" i="12"/>
  <c r="J147" i="12"/>
  <c r="K147" i="12"/>
  <c r="L147" i="12"/>
  <c r="M147" i="12"/>
  <c r="N147" i="12"/>
  <c r="O147" i="12"/>
  <c r="P147" i="12"/>
  <c r="Q147" i="12"/>
  <c r="R147" i="12"/>
  <c r="S147" i="12"/>
  <c r="T147" i="12"/>
  <c r="U147" i="12"/>
  <c r="V147" i="12"/>
  <c r="W147" i="12"/>
  <c r="Y147" i="12"/>
  <c r="Z147" i="12"/>
  <c r="AA147" i="12"/>
  <c r="AB147" i="12"/>
  <c r="AC147" i="12"/>
  <c r="AD147" i="12"/>
  <c r="AE147" i="12"/>
  <c r="AG147" i="12"/>
  <c r="AH147" i="12"/>
  <c r="B148" i="12"/>
  <c r="C148" i="12"/>
  <c r="D148" i="12"/>
  <c r="E148" i="12"/>
  <c r="F148" i="12"/>
  <c r="G148" i="12"/>
  <c r="H148" i="12"/>
  <c r="I148" i="12"/>
  <c r="J148" i="12"/>
  <c r="K148" i="12"/>
  <c r="L148" i="12"/>
  <c r="M148" i="12"/>
  <c r="N148" i="12"/>
  <c r="O148" i="12"/>
  <c r="P148" i="12"/>
  <c r="Q148" i="12"/>
  <c r="R148" i="12"/>
  <c r="S148" i="12"/>
  <c r="T148" i="12"/>
  <c r="U148" i="12"/>
  <c r="V148" i="12"/>
  <c r="W148" i="12"/>
  <c r="X148" i="12"/>
  <c r="Y148" i="12"/>
  <c r="Z148" i="12"/>
  <c r="AA148" i="12"/>
  <c r="AB148" i="12"/>
  <c r="AC148" i="12"/>
  <c r="AD148" i="12"/>
  <c r="AE148" i="12"/>
  <c r="AG148" i="12"/>
  <c r="AH148" i="12"/>
  <c r="B149" i="12"/>
  <c r="C149" i="12"/>
  <c r="D149" i="12"/>
  <c r="E149" i="12"/>
  <c r="F149" i="12"/>
  <c r="G149" i="12"/>
  <c r="H149" i="12"/>
  <c r="I149" i="12"/>
  <c r="J149" i="12"/>
  <c r="K149" i="12"/>
  <c r="L149" i="12"/>
  <c r="M149" i="12"/>
  <c r="N149" i="12"/>
  <c r="O149" i="12"/>
  <c r="P149" i="12"/>
  <c r="Q149" i="12"/>
  <c r="R149" i="12"/>
  <c r="S149" i="12"/>
  <c r="T149" i="12"/>
  <c r="U149" i="12"/>
  <c r="V149" i="12"/>
  <c r="W149" i="12"/>
  <c r="X149" i="12"/>
  <c r="Y149" i="12"/>
  <c r="Z149" i="12"/>
  <c r="AA149" i="12"/>
  <c r="AB149" i="12"/>
  <c r="AC149" i="12"/>
  <c r="AD149" i="12"/>
  <c r="AE149" i="12"/>
  <c r="AG149" i="12"/>
  <c r="AH149" i="12"/>
  <c r="B150" i="12"/>
  <c r="C150" i="12"/>
  <c r="D150" i="12"/>
  <c r="E150" i="12"/>
  <c r="F150" i="12"/>
  <c r="G150" i="12"/>
  <c r="H150" i="12"/>
  <c r="I150" i="12"/>
  <c r="J150" i="12"/>
  <c r="K150" i="12"/>
  <c r="L150" i="12"/>
  <c r="M150" i="12"/>
  <c r="N150" i="12"/>
  <c r="O150" i="12"/>
  <c r="P150" i="12"/>
  <c r="Q150" i="12"/>
  <c r="R150" i="12"/>
  <c r="S150" i="12"/>
  <c r="T150" i="12"/>
  <c r="U150" i="12"/>
  <c r="V150" i="12"/>
  <c r="W150" i="12"/>
  <c r="X150" i="12"/>
  <c r="Y150" i="12"/>
  <c r="Z150" i="12"/>
  <c r="AA150" i="12"/>
  <c r="AB150" i="12"/>
  <c r="AC150" i="12"/>
  <c r="AD150" i="12"/>
  <c r="AE150" i="12"/>
  <c r="AG150" i="12"/>
  <c r="AH150" i="12"/>
  <c r="B151" i="12"/>
  <c r="C151" i="12"/>
  <c r="D151" i="12"/>
  <c r="E151" i="12"/>
  <c r="F151" i="12"/>
  <c r="G151" i="12"/>
  <c r="H151" i="12"/>
  <c r="I151" i="12"/>
  <c r="J151" i="12"/>
  <c r="K151" i="12"/>
  <c r="AG151" i="12"/>
  <c r="AH151" i="12"/>
  <c r="C152" i="12"/>
  <c r="G152" i="12"/>
  <c r="H152" i="12"/>
  <c r="I152" i="12"/>
  <c r="J152" i="12"/>
  <c r="K152" i="12"/>
  <c r="AG152" i="12"/>
  <c r="AH152" i="12"/>
  <c r="B153" i="12"/>
  <c r="C153" i="12"/>
  <c r="D153" i="12"/>
  <c r="E153" i="12"/>
  <c r="H153" i="12"/>
  <c r="I153" i="12"/>
  <c r="J153" i="12"/>
  <c r="K153" i="12"/>
  <c r="L153" i="12"/>
  <c r="M153" i="12"/>
  <c r="N153" i="12"/>
  <c r="O153" i="12"/>
  <c r="P153" i="12"/>
  <c r="Q153" i="12"/>
  <c r="R153" i="12"/>
  <c r="S153" i="12"/>
  <c r="T153" i="12"/>
  <c r="U153" i="12"/>
  <c r="V153" i="12"/>
  <c r="W153" i="12"/>
  <c r="X153" i="12"/>
  <c r="Y153" i="12"/>
  <c r="Z153" i="12"/>
  <c r="AA153" i="12"/>
  <c r="AB153" i="12"/>
  <c r="AC153" i="12"/>
  <c r="AD153" i="12"/>
  <c r="AE153" i="12"/>
  <c r="AG153" i="12"/>
  <c r="B154" i="12"/>
  <c r="C154" i="12"/>
  <c r="D154" i="12"/>
  <c r="E154" i="12"/>
  <c r="H154" i="12"/>
  <c r="I154" i="12"/>
  <c r="J154" i="12"/>
  <c r="K154" i="12"/>
  <c r="L154" i="12"/>
  <c r="M154" i="12"/>
  <c r="N154" i="12"/>
  <c r="O154" i="12"/>
  <c r="P154" i="12"/>
  <c r="Q154" i="12"/>
  <c r="R154" i="12"/>
  <c r="S154" i="12"/>
  <c r="T154" i="12"/>
  <c r="U154" i="12"/>
  <c r="V154" i="12"/>
  <c r="W154" i="12"/>
  <c r="X154" i="12"/>
  <c r="Y154" i="12"/>
  <c r="Z154" i="12"/>
  <c r="AA154" i="12"/>
  <c r="AB154" i="12"/>
  <c r="AC154" i="12"/>
  <c r="AD154" i="12"/>
  <c r="AE154" i="12"/>
  <c r="AG154" i="12"/>
  <c r="B155" i="12"/>
  <c r="C155" i="12"/>
  <c r="D155" i="12"/>
  <c r="E155" i="12"/>
  <c r="H155" i="12"/>
  <c r="I155" i="12"/>
  <c r="J155" i="12"/>
  <c r="K155" i="12"/>
  <c r="L155" i="12"/>
  <c r="M155" i="12"/>
  <c r="N155" i="12"/>
  <c r="O155" i="12"/>
  <c r="P155" i="12"/>
  <c r="Q155" i="12"/>
  <c r="R155" i="12"/>
  <c r="S155" i="12"/>
  <c r="T155" i="12"/>
  <c r="U155" i="12"/>
  <c r="V155" i="12"/>
  <c r="W155" i="12"/>
  <c r="X155" i="12"/>
  <c r="Y155" i="12"/>
  <c r="Z155" i="12"/>
  <c r="AA155" i="12"/>
  <c r="AB155" i="12"/>
  <c r="AC155" i="12"/>
  <c r="AD155" i="12"/>
  <c r="AE155" i="12"/>
  <c r="AG155" i="12"/>
  <c r="B156" i="12"/>
  <c r="C156" i="12"/>
  <c r="D156" i="12"/>
  <c r="E156" i="12"/>
  <c r="H156" i="12"/>
  <c r="I156" i="12"/>
  <c r="J156" i="12"/>
  <c r="K156" i="12"/>
  <c r="L156" i="12"/>
  <c r="M156" i="12"/>
  <c r="N156" i="12"/>
  <c r="O156" i="12"/>
  <c r="Q156" i="12"/>
  <c r="R156" i="12"/>
  <c r="S156" i="12"/>
  <c r="U156" i="12"/>
  <c r="W156" i="12"/>
  <c r="Y156" i="12"/>
  <c r="AA156" i="12"/>
  <c r="AC156" i="12"/>
  <c r="AE156" i="12"/>
  <c r="AG156" i="12"/>
  <c r="B157" i="12"/>
  <c r="C157" i="12"/>
  <c r="D157" i="12"/>
  <c r="E157" i="12"/>
  <c r="H157" i="12"/>
  <c r="I157" i="12"/>
  <c r="J157" i="12"/>
  <c r="K157" i="12"/>
  <c r="L157" i="12"/>
  <c r="M157" i="12"/>
  <c r="N157" i="12"/>
  <c r="O157" i="12"/>
  <c r="P157" i="12"/>
  <c r="Q157" i="12"/>
  <c r="R157" i="12"/>
  <c r="S157" i="12"/>
  <c r="T157" i="12"/>
  <c r="U157" i="12"/>
  <c r="V157" i="12"/>
  <c r="W157" i="12"/>
  <c r="Y157" i="12"/>
  <c r="Z157" i="12"/>
  <c r="AA157" i="12"/>
  <c r="AB157" i="12"/>
  <c r="AC157" i="12"/>
  <c r="AD157" i="12"/>
  <c r="AE157" i="12"/>
  <c r="AG157" i="12"/>
  <c r="B159" i="12"/>
  <c r="C159" i="12"/>
  <c r="D159" i="12"/>
  <c r="E159" i="12"/>
  <c r="F159" i="12"/>
  <c r="G159" i="12"/>
  <c r="H159" i="12"/>
  <c r="I159" i="12"/>
  <c r="J159" i="12"/>
  <c r="K159" i="12"/>
  <c r="L159" i="12"/>
  <c r="M159" i="12"/>
  <c r="N159" i="12"/>
  <c r="O159" i="12"/>
  <c r="P159" i="12"/>
  <c r="Q159" i="12"/>
  <c r="R159" i="12"/>
  <c r="S159" i="12"/>
  <c r="T159" i="12"/>
  <c r="U159" i="12"/>
  <c r="V159" i="12"/>
  <c r="W159" i="12"/>
  <c r="X159" i="12"/>
  <c r="Y159" i="12"/>
  <c r="Z159" i="12"/>
  <c r="AA159" i="12"/>
  <c r="AB159" i="12"/>
  <c r="AC159" i="12"/>
  <c r="AD159" i="12"/>
  <c r="AE159" i="12"/>
  <c r="B160" i="12"/>
  <c r="C160" i="12"/>
  <c r="D160" i="12"/>
  <c r="E160" i="12"/>
  <c r="F160" i="12"/>
  <c r="G160" i="12"/>
  <c r="H160" i="12"/>
  <c r="I160" i="12"/>
  <c r="J160" i="12"/>
  <c r="K160" i="12"/>
  <c r="L160" i="12"/>
  <c r="M160" i="12"/>
  <c r="N160" i="12"/>
  <c r="O160" i="12"/>
  <c r="P160" i="12"/>
  <c r="Q160" i="12"/>
  <c r="R160" i="12"/>
  <c r="S160" i="12"/>
  <c r="T160" i="12"/>
  <c r="U160" i="12"/>
  <c r="V160" i="12"/>
  <c r="W160" i="12"/>
  <c r="X160" i="12"/>
  <c r="Y160" i="12"/>
  <c r="Z160" i="12"/>
  <c r="AA160" i="12"/>
  <c r="AB160" i="12"/>
  <c r="AC160" i="12"/>
  <c r="AD160" i="12"/>
  <c r="AE160" i="12"/>
  <c r="B161" i="12"/>
  <c r="C161" i="12"/>
  <c r="D161" i="12"/>
  <c r="E161" i="12"/>
  <c r="F161" i="12"/>
  <c r="G161" i="12"/>
  <c r="H161" i="12"/>
  <c r="I161" i="12"/>
  <c r="J161" i="12"/>
  <c r="K161" i="12"/>
  <c r="C162" i="12"/>
  <c r="F162" i="12"/>
  <c r="G162" i="12"/>
  <c r="H162" i="12"/>
  <c r="I162" i="12"/>
  <c r="J162" i="12"/>
  <c r="K162" i="12"/>
  <c r="B165" i="12"/>
  <c r="C165" i="12"/>
  <c r="E165" i="12"/>
</calcChain>
</file>

<file path=xl/comments1.xml><?xml version="1.0" encoding="utf-8"?>
<comments xmlns="http://schemas.openxmlformats.org/spreadsheetml/2006/main">
  <authors>
    <author>Цёвка Елена Александровна</author>
  </authors>
  <commentList>
    <comment ref="C12" authorId="0" guid="{72C3AD56-3F7D-44BF-B974-853855976120}" shapeId="0">
      <text>
        <r>
          <rPr>
            <b/>
            <sz val="9"/>
            <color indexed="81"/>
            <rFont val="Tahoma"/>
            <family val="2"/>
            <charset val="204"/>
          </rPr>
          <t>Цёвка Елена Александровна:</t>
        </r>
        <r>
          <rPr>
            <sz val="9"/>
            <color indexed="81"/>
            <rFont val="Tahoma"/>
            <family val="2"/>
            <charset val="204"/>
          </rPr>
          <t xml:space="preserve">
Уточнить формулу </t>
        </r>
      </text>
    </comment>
    <comment ref="E12" authorId="0" guid="{06520C53-AF3C-45AD-BA24-2CB471592FD0}" shapeId="0">
      <text>
        <r>
          <rPr>
            <b/>
            <sz val="9"/>
            <color indexed="81"/>
            <rFont val="Tahoma"/>
            <family val="2"/>
            <charset val="204"/>
          </rPr>
          <t>Цёвка Елена Александровна:</t>
        </r>
        <r>
          <rPr>
            <sz val="9"/>
            <color indexed="81"/>
            <rFont val="Tahoma"/>
            <family val="2"/>
            <charset val="204"/>
          </rPr>
          <t xml:space="preserve">
Уточнить. АС Бюджет: 1 371,21
</t>
        </r>
      </text>
    </comment>
    <comment ref="B49" authorId="0" guid="{11B127DB-345E-4FD2-A6FF-788F47F75818}" shapeId="0">
      <text>
        <r>
          <rPr>
            <b/>
            <sz val="9"/>
            <color indexed="81"/>
            <rFont val="Tahoma"/>
            <family val="2"/>
            <charset val="204"/>
          </rPr>
          <t>Цёвка Елена Александровна:</t>
        </r>
        <r>
          <rPr>
            <sz val="9"/>
            <color indexed="81"/>
            <rFont val="Tahoma"/>
            <family val="2"/>
            <charset val="204"/>
          </rPr>
          <t xml:space="preserve">
Уточнить. Ас Бюджет: 8 815 795,56
</t>
        </r>
      </text>
    </comment>
    <comment ref="C49" authorId="0" guid="{183242BC-0F05-48EA-AD18-2A4BB5F09D34}" shapeId="0">
      <text>
        <r>
          <rPr>
            <b/>
            <sz val="9"/>
            <color indexed="81"/>
            <rFont val="Tahoma"/>
            <family val="2"/>
            <charset val="204"/>
          </rPr>
          <t>Цёвка Елена Александровна:</t>
        </r>
        <r>
          <rPr>
            <sz val="9"/>
            <color indexed="81"/>
            <rFont val="Tahoma"/>
            <family val="2"/>
            <charset val="204"/>
          </rPr>
          <t xml:space="preserve">
Уточнить. АС Бюджет: 4360954,56
</t>
        </r>
      </text>
    </comment>
    <comment ref="C54" authorId="0" guid="{18CFE82C-3929-4C59-9D25-22E1B51D04B3}" shapeId="0">
      <text>
        <r>
          <rPr>
            <b/>
            <sz val="9"/>
            <color indexed="81"/>
            <rFont val="Tahoma"/>
            <family val="2"/>
            <charset val="204"/>
          </rPr>
          <t>Цёвка Елена Александровна:</t>
        </r>
        <r>
          <rPr>
            <sz val="9"/>
            <color indexed="81"/>
            <rFont val="Tahoma"/>
            <family val="2"/>
            <charset val="204"/>
          </rPr>
          <t xml:space="preserve">
Уточнить. Ас Бюджет: 14752710,49. См.формулу
</t>
        </r>
      </text>
    </comment>
    <comment ref="E54" authorId="0" guid="{657036A7-B0C2-479B-A6EB-7412639DBC85}" shapeId="0">
      <text>
        <r>
          <rPr>
            <b/>
            <sz val="9"/>
            <color indexed="81"/>
            <rFont val="Tahoma"/>
            <family val="2"/>
            <charset val="204"/>
          </rPr>
          <t>Цёвка Елена Александровна:</t>
        </r>
        <r>
          <rPr>
            <sz val="9"/>
            <color indexed="81"/>
            <rFont val="Tahoma"/>
            <family val="2"/>
            <charset val="204"/>
          </rPr>
          <t xml:space="preserve">
Уточнить. Ас бюджет:   12 780,67
</t>
        </r>
      </text>
    </comment>
    <comment ref="B61" authorId="0" guid="{E5C98E82-3EEF-4FB9-9496-E6B3DCAAA948}" shapeId="0">
      <text>
        <r>
          <rPr>
            <b/>
            <sz val="9"/>
            <color indexed="81"/>
            <rFont val="Tahoma"/>
            <family val="2"/>
            <charset val="204"/>
          </rPr>
          <t>Цёвка Елена Александровна:</t>
        </r>
        <r>
          <rPr>
            <sz val="9"/>
            <color indexed="81"/>
            <rFont val="Tahoma"/>
            <family val="2"/>
            <charset val="204"/>
          </rPr>
          <t xml:space="preserve">
Уточнить.                         АС Бюджет - 105 581 745,56
</t>
        </r>
      </text>
    </comment>
    <comment ref="E61" authorId="0" guid="{E1D903E3-427E-49CC-81FD-8FE8DDCAA451}" shapeId="0">
      <text>
        <r>
          <rPr>
            <b/>
            <sz val="9"/>
            <color indexed="81"/>
            <rFont val="Tahoma"/>
            <family val="2"/>
            <charset val="204"/>
          </rPr>
          <t>Цёвка Елена Александровна:</t>
        </r>
        <r>
          <rPr>
            <sz val="9"/>
            <color indexed="81"/>
            <rFont val="Tahoma"/>
            <family val="2"/>
            <charset val="204"/>
          </rPr>
          <t xml:space="preserve">
Уточнить. АС Бюджет - 19 275,69
</t>
        </r>
      </text>
    </comment>
  </commentList>
</comments>
</file>

<file path=xl/comments2.xml><?xml version="1.0" encoding="utf-8"?>
<comments xmlns="http://schemas.openxmlformats.org/spreadsheetml/2006/main">
  <authors>
    <author>Степаненко Наталья Алексеевна</author>
  </authors>
  <commentList>
    <comment ref="A51" authorId="0" guid="{D754F9B3-2333-4538-8937-6BFFE232C6FA}" shapeId="0">
      <text>
        <r>
          <rPr>
            <b/>
            <sz val="9"/>
            <color indexed="81"/>
            <rFont val="Tahoma"/>
            <family val="2"/>
            <charset val="204"/>
          </rPr>
          <t>Степаненко Наталья Алексеевна:</t>
        </r>
        <r>
          <rPr>
            <sz val="9"/>
            <color indexed="81"/>
            <rFont val="Tahoma"/>
            <family val="2"/>
            <charset val="204"/>
          </rPr>
          <t xml:space="preserve">
на 01.04.2024 доблены привлеченные средства 55 532,51 Лукойл
</t>
        </r>
      </text>
    </comment>
  </commentList>
</comments>
</file>

<file path=xl/comments3.xml><?xml version="1.0" encoding="utf-8"?>
<comments xmlns="http://schemas.openxmlformats.org/spreadsheetml/2006/main">
  <authors>
    <author>Цёвка Елена Александровна</author>
  </authors>
  <commentList>
    <comment ref="B13" authorId="0" guid="{D8682FD1-9097-4494-9B23-0D2BD40C38F3}" shapeId="0">
      <text>
        <r>
          <rPr>
            <b/>
            <sz val="9"/>
            <color indexed="81"/>
            <rFont val="Tahoma"/>
            <family val="2"/>
            <charset val="204"/>
          </rPr>
          <t>Цёвка Елена Александровна:</t>
        </r>
        <r>
          <rPr>
            <sz val="9"/>
            <color indexed="81"/>
            <rFont val="Tahoma"/>
            <family val="2"/>
            <charset val="204"/>
          </rPr>
          <t xml:space="preserve">
Уточнить. Ас Бюджет: 65300,00
</t>
        </r>
      </text>
    </comment>
  </commentList>
</comments>
</file>

<file path=xl/comments4.xml><?xml version="1.0" encoding="utf-8"?>
<comments xmlns="http://schemas.openxmlformats.org/spreadsheetml/2006/main">
  <authors>
    <author>Цёвка Елена Александровна</author>
  </authors>
  <commentList>
    <comment ref="C107" authorId="0" guid="{B6CF1DF5-7E2B-4681-B96D-B90CE35BE72C}" shapeId="0">
      <text>
        <r>
          <rPr>
            <b/>
            <sz val="9"/>
            <color indexed="81"/>
            <rFont val="Tahoma"/>
            <family val="2"/>
            <charset val="204"/>
          </rPr>
          <t>Цёвка Елена Александровна:</t>
        </r>
        <r>
          <rPr>
            <sz val="9"/>
            <color indexed="81"/>
            <rFont val="Tahoma"/>
            <family val="2"/>
            <charset val="204"/>
          </rPr>
          <t xml:space="preserve">
569400,00</t>
        </r>
      </text>
    </comment>
    <comment ref="C115" authorId="0" guid="{F4C08FE4-2FE2-4954-8DA7-AF3A7DEC4E09}" shapeId="0">
      <text>
        <r>
          <rPr>
            <b/>
            <sz val="9"/>
            <color indexed="81"/>
            <rFont val="Tahoma"/>
            <family val="2"/>
            <charset val="204"/>
          </rPr>
          <t>Цёвка Елена Александровна:</t>
        </r>
        <r>
          <rPr>
            <sz val="9"/>
            <color indexed="81"/>
            <rFont val="Tahoma"/>
            <family val="2"/>
            <charset val="204"/>
          </rPr>
          <t xml:space="preserve">
Уточнить. АС Бюджет: 999400,00
</t>
        </r>
      </text>
    </comment>
    <comment ref="E115" authorId="0" guid="{66B1EF05-39A0-46A1-857F-0B5D64B10C2C}" shapeId="0">
      <text>
        <r>
          <rPr>
            <b/>
            <sz val="9"/>
            <color indexed="81"/>
            <rFont val="Tahoma"/>
            <family val="2"/>
            <charset val="204"/>
          </rPr>
          <t>Цёвка Елена Александровна:</t>
        </r>
        <r>
          <rPr>
            <sz val="9"/>
            <color indexed="81"/>
            <rFont val="Tahoma"/>
            <family val="2"/>
            <charset val="204"/>
          </rPr>
          <t xml:space="preserve">
Уточнить. Ас Бюджет: 998,00</t>
        </r>
      </text>
    </comment>
    <comment ref="C117" authorId="0" guid="{B91CA8DB-D750-4BA8-A637-EF049F6D088D}" shapeId="0">
      <text>
        <r>
          <rPr>
            <b/>
            <sz val="9"/>
            <color indexed="81"/>
            <rFont val="Tahoma"/>
            <family val="2"/>
            <charset val="204"/>
          </rPr>
          <t>Цёвка Елена Александровна:</t>
        </r>
        <r>
          <rPr>
            <sz val="9"/>
            <color indexed="81"/>
            <rFont val="Tahoma"/>
            <family val="2"/>
            <charset val="204"/>
          </rPr>
          <t xml:space="preserve">
901600 - ас бюджет</t>
        </r>
      </text>
    </comment>
  </commentList>
</comments>
</file>

<file path=xl/comments5.xml><?xml version="1.0" encoding="utf-8"?>
<comments xmlns="http://schemas.openxmlformats.org/spreadsheetml/2006/main">
  <authors>
    <author>Степаненко Наталья Алексеевна</author>
    <author>Цёвка Елена Александровна</author>
    <author>Шишкина Юлия Андреева</author>
  </authors>
  <commentList>
    <comment ref="A35" authorId="0" guid="{84E2F1B6-19B4-4301-8B0C-7D6B8275B1A0}" shapeId="0">
      <text>
        <r>
          <rPr>
            <b/>
            <sz val="9"/>
            <color indexed="81"/>
            <rFont val="Tahoma"/>
            <family val="2"/>
            <charset val="204"/>
          </rPr>
          <t>Степаненко Наталья Алексеевна:</t>
        </r>
        <r>
          <rPr>
            <sz val="9"/>
            <color indexed="81"/>
            <rFont val="Tahoma"/>
            <family val="2"/>
            <charset val="204"/>
          </rPr>
          <t xml:space="preserve">
необходимо заполнить софинонирвоание по всем мерпориятиям где есть</t>
        </r>
      </text>
    </comment>
    <comment ref="P35" authorId="1" guid="{96A335F3-4778-47D0-80E5-C661198A9027}" shapeId="0">
      <text>
        <r>
          <rPr>
            <b/>
            <sz val="9"/>
            <color indexed="81"/>
            <rFont val="Tahoma"/>
            <family val="2"/>
            <charset val="204"/>
          </rPr>
          <t>Цёвка Елена Александровна:</t>
        </r>
        <r>
          <rPr>
            <sz val="9"/>
            <color indexed="81"/>
            <rFont val="Tahoma"/>
            <family val="2"/>
            <charset val="204"/>
          </rPr>
          <t xml:space="preserve">
41 300,00
</t>
        </r>
      </text>
    </comment>
    <comment ref="I47" authorId="2" guid="{F57E56AD-AC69-4B74-BFF0-93960CB2042D}" shapeId="0">
      <text>
        <r>
          <rPr>
            <b/>
            <sz val="9"/>
            <color indexed="81"/>
            <rFont val="Tahoma"/>
            <family val="2"/>
            <charset val="204"/>
          </rPr>
          <t>Шишкина Юлия Андреева:</t>
        </r>
        <r>
          <rPr>
            <sz val="9"/>
            <color indexed="81"/>
            <rFont val="Tahoma"/>
            <family val="2"/>
            <charset val="204"/>
          </rPr>
          <t xml:space="preserve">
2 224,7 в АИС Бюджете, уточнить
</t>
        </r>
      </text>
    </comment>
    <comment ref="A54" authorId="1" guid="{8B920903-8E9E-4B79-BBAD-464D8907D901}" shapeId="0">
      <text>
        <r>
          <rPr>
            <b/>
            <sz val="9"/>
            <color indexed="81"/>
            <rFont val="Tahoma"/>
            <family val="2"/>
            <charset val="204"/>
          </rPr>
          <t>Цёвка Елена Александровна:</t>
        </r>
        <r>
          <rPr>
            <sz val="9"/>
            <color indexed="81"/>
            <rFont val="Tahoma"/>
            <family val="2"/>
            <charset val="204"/>
          </rPr>
          <t xml:space="preserve">
Уточнить помесячную разбивку
</t>
        </r>
      </text>
    </comment>
    <comment ref="N54" authorId="1" guid="{E1D704AF-CE15-41FC-ACEE-DEE584719BFE}" shapeId="0">
      <text>
        <r>
          <rPr>
            <b/>
            <sz val="9"/>
            <color indexed="81"/>
            <rFont val="Tahoma"/>
            <family val="2"/>
            <charset val="204"/>
          </rPr>
          <t>Цёвка Елена Александровна:</t>
        </r>
        <r>
          <rPr>
            <sz val="9"/>
            <color indexed="81"/>
            <rFont val="Tahoma"/>
            <family val="2"/>
            <charset val="204"/>
          </rPr>
          <t xml:space="preserve">
3 600,00
Уточнить
</t>
        </r>
      </text>
    </comment>
    <comment ref="P54" authorId="1" guid="{DD518993-F17C-4345-9678-F9EDA6640C76}" shapeId="0">
      <text>
        <r>
          <rPr>
            <b/>
            <sz val="9"/>
            <color indexed="81"/>
            <rFont val="Tahoma"/>
            <family val="2"/>
            <charset val="204"/>
          </rPr>
          <t>Цёвка Елена Александровна:</t>
        </r>
        <r>
          <rPr>
            <sz val="9"/>
            <color indexed="81"/>
            <rFont val="Tahoma"/>
            <family val="2"/>
            <charset val="204"/>
          </rPr>
          <t xml:space="preserve">
11 200,00
Уточнить (И в последующие месяца)
</t>
        </r>
      </text>
    </comment>
    <comment ref="A62" authorId="1" guid="{0A321EDC-5DC4-40DA-898D-59D89C0C3EC0}" shapeId="0">
      <text>
        <r>
          <rPr>
            <b/>
            <sz val="9"/>
            <color indexed="81"/>
            <rFont val="Tahoma"/>
            <family val="2"/>
            <charset val="204"/>
          </rPr>
          <t>Цёвка Елена Александровна:</t>
        </r>
        <r>
          <rPr>
            <sz val="9"/>
            <color indexed="81"/>
            <rFont val="Tahoma"/>
            <family val="2"/>
            <charset val="204"/>
          </rPr>
          <t xml:space="preserve">
Уточнить помесячную разбивку
</t>
        </r>
      </text>
    </comment>
    <comment ref="I97" authorId="2" guid="{103152A6-0CDF-42E2-8D6C-34809144046A}" shapeId="0">
      <text>
        <r>
          <rPr>
            <b/>
            <sz val="9"/>
            <color indexed="81"/>
            <rFont val="Tahoma"/>
            <family val="2"/>
            <charset val="204"/>
          </rPr>
          <t>Шишкина Юлия Андреева:</t>
        </r>
        <r>
          <rPr>
            <sz val="9"/>
            <color indexed="81"/>
            <rFont val="Tahoma"/>
            <family val="2"/>
            <charset val="204"/>
          </rPr>
          <t xml:space="preserve">
4 455,3 в АИС Бюджете, уточнить
</t>
        </r>
      </text>
    </comment>
    <comment ref="I133" authorId="2" guid="{55C1EE75-C462-493E-AE1E-60E325D4A2CC}" shapeId="0">
      <text>
        <r>
          <rPr>
            <b/>
            <sz val="9"/>
            <color indexed="81"/>
            <rFont val="Tahoma"/>
            <family val="2"/>
            <charset val="204"/>
          </rPr>
          <t>Шишкина Юлия Андреева:</t>
        </r>
        <r>
          <rPr>
            <sz val="9"/>
            <color indexed="81"/>
            <rFont val="Tahoma"/>
            <family val="2"/>
            <charset val="204"/>
          </rPr>
          <t xml:space="preserve">
3 705,292 в АИС Бюджете, уточнить
</t>
        </r>
      </text>
    </comment>
    <comment ref="I191" authorId="2" guid="{0309A6D0-C5D2-42E4-9C6C-517D9138C012}" shapeId="0">
      <text>
        <r>
          <rPr>
            <b/>
            <sz val="9"/>
            <color indexed="81"/>
            <rFont val="Tahoma"/>
            <family val="2"/>
            <charset val="204"/>
          </rPr>
          <t>Шишкина Юлия Андреева:</t>
        </r>
        <r>
          <rPr>
            <sz val="9"/>
            <color indexed="81"/>
            <rFont val="Tahoma"/>
            <family val="2"/>
            <charset val="204"/>
          </rPr>
          <t xml:space="preserve">
576,594 в АИС Бюджете, уточнить
</t>
        </r>
      </text>
    </comment>
    <comment ref="I203" authorId="2" guid="{DD744C86-1E2D-4034-98E5-1E79722483CD}" shapeId="0">
      <text>
        <r>
          <rPr>
            <b/>
            <sz val="9"/>
            <color indexed="81"/>
            <rFont val="Tahoma"/>
            <family val="2"/>
            <charset val="204"/>
          </rPr>
          <t>Шишкина Юлия Андреева:</t>
        </r>
        <r>
          <rPr>
            <sz val="9"/>
            <color indexed="81"/>
            <rFont val="Tahoma"/>
            <family val="2"/>
            <charset val="204"/>
          </rPr>
          <t xml:space="preserve">
8 452, 609 в АИС Бюджете, уточнить
</t>
        </r>
      </text>
    </comment>
  </commentList>
</comments>
</file>

<file path=xl/comments6.xml><?xml version="1.0" encoding="utf-8"?>
<comments xmlns="http://schemas.openxmlformats.org/spreadsheetml/2006/main">
  <authors>
    <author>Степаненко Наталья Алексеевна</author>
    <author>Шишкина Юлия Андреева</author>
    <author>Цёвка Елена Александровна</author>
  </authors>
  <commentList>
    <comment ref="E34" authorId="0" guid="{B9621001-91BD-4D88-9FFD-0F235CAA38DA}" shapeId="0">
      <text>
        <r>
          <rPr>
            <b/>
            <sz val="9"/>
            <color indexed="81"/>
            <rFont val="Tahoma"/>
            <family val="2"/>
            <charset val="204"/>
          </rPr>
          <t>Степаненко Наталья Алексеевна:</t>
        </r>
        <r>
          <rPr>
            <sz val="9"/>
            <color indexed="81"/>
            <rFont val="Tahoma"/>
            <family val="2"/>
            <charset val="204"/>
          </rPr>
          <t xml:space="preserve">
1503,53
</t>
        </r>
      </text>
    </comment>
    <comment ref="I34" authorId="1" guid="{A40E8DFA-2C20-465F-B19E-E152FD108D55}" shapeId="0">
      <text>
        <r>
          <rPr>
            <b/>
            <sz val="9"/>
            <color indexed="81"/>
            <rFont val="Tahoma"/>
            <family val="2"/>
            <charset val="204"/>
          </rPr>
          <t>Шишкина Юлия Андреева:</t>
        </r>
        <r>
          <rPr>
            <sz val="9"/>
            <color indexed="81"/>
            <rFont val="Tahoma"/>
            <family val="2"/>
            <charset val="204"/>
          </rPr>
          <t xml:space="preserve">
в АИС Бюджете 130,4928, уточнить
</t>
        </r>
      </text>
    </comment>
    <comment ref="B40" authorId="0" guid="{BEC797BA-0E77-42DC-B6D0-F6C47A3AECB4}" shapeId="0">
      <text>
        <r>
          <rPr>
            <b/>
            <sz val="9"/>
            <color indexed="81"/>
            <rFont val="Tahoma"/>
            <family val="2"/>
            <charset val="204"/>
          </rPr>
          <t>Степаненко Наталья Алексеевна:</t>
        </r>
        <r>
          <rPr>
            <sz val="9"/>
            <color indexed="81"/>
            <rFont val="Tahoma"/>
            <family val="2"/>
            <charset val="204"/>
          </rPr>
          <t xml:space="preserve">
162140,257
</t>
        </r>
      </text>
    </comment>
    <comment ref="C40" authorId="0" guid="{AF34A44F-2045-4F40-8C4B-2EA0F48D54D5}" shapeId="0">
      <text>
        <r>
          <rPr>
            <b/>
            <sz val="9"/>
            <color indexed="81"/>
            <rFont val="Tahoma"/>
            <family val="2"/>
            <charset val="204"/>
          </rPr>
          <t>Степаненко Наталья Алексеевна:</t>
        </r>
        <r>
          <rPr>
            <sz val="9"/>
            <color indexed="81"/>
            <rFont val="Tahoma"/>
            <family val="2"/>
            <charset val="204"/>
          </rPr>
          <t xml:space="preserve">
51906,52
</t>
        </r>
        <r>
          <rPr>
            <b/>
            <sz val="9"/>
            <color indexed="81"/>
            <rFont val="Tahoma"/>
            <family val="2"/>
            <charset val="204"/>
          </rPr>
          <t>Цёвка Елена Александровна:Январь-апрель 71982031,7
Уточнить</t>
        </r>
        <r>
          <rPr>
            <sz val="9"/>
            <color indexed="81"/>
            <rFont val="Tahoma"/>
            <family val="2"/>
            <charset val="204"/>
          </rPr>
          <t xml:space="preserve">
</t>
        </r>
      </text>
    </comment>
    <comment ref="E40" authorId="0" guid="{2FCD206A-CAC0-43E8-BFCB-403F24443A51}" shapeId="0">
      <text>
        <r>
          <rPr>
            <b/>
            <sz val="9"/>
            <color indexed="81"/>
            <rFont val="Tahoma"/>
            <family val="2"/>
            <charset val="204"/>
          </rPr>
          <t>Степаненко Наталья Алексеевна:</t>
        </r>
        <r>
          <rPr>
            <sz val="9"/>
            <color indexed="81"/>
            <rFont val="Tahoma"/>
            <family val="2"/>
            <charset val="204"/>
          </rPr>
          <t xml:space="preserve">
51906,524
</t>
        </r>
        <r>
          <rPr>
            <b/>
            <sz val="9"/>
            <color indexed="81"/>
            <rFont val="Tahoma"/>
            <family val="2"/>
            <charset val="204"/>
          </rPr>
          <t>Цёвка Елена Александровна: Январь-апрель 71 982,03
Уточнить</t>
        </r>
        <r>
          <rPr>
            <sz val="9"/>
            <color indexed="81"/>
            <rFont val="Tahoma"/>
            <family val="2"/>
            <charset val="204"/>
          </rPr>
          <t xml:space="preserve">
</t>
        </r>
      </text>
    </comment>
    <comment ref="I40" authorId="1" guid="{074DFDED-0869-4AE6-9699-6C2C8C3A1CED}" shapeId="0">
      <text>
        <r>
          <rPr>
            <b/>
            <sz val="9"/>
            <color indexed="81"/>
            <rFont val="Tahoma"/>
            <family val="2"/>
            <charset val="204"/>
          </rPr>
          <t>Шишкина Юлия Андреева:</t>
        </r>
        <r>
          <rPr>
            <sz val="9"/>
            <color indexed="81"/>
            <rFont val="Tahoma"/>
            <family val="2"/>
            <charset val="204"/>
          </rPr>
          <t xml:space="preserve">
38 397,55 в АИС Бюджете, уточнить
</t>
        </r>
      </text>
    </comment>
    <comment ref="E46" authorId="0" guid="{7E6FC455-4780-45C2-BDE7-3E4DA5D06EA3}" shapeId="0">
      <text>
        <r>
          <rPr>
            <b/>
            <sz val="9"/>
            <color indexed="81"/>
            <rFont val="Tahoma"/>
            <family val="2"/>
            <charset val="204"/>
          </rPr>
          <t>Степаненко Наталья Алексеевна:</t>
        </r>
        <r>
          <rPr>
            <sz val="9"/>
            <color indexed="81"/>
            <rFont val="Tahoma"/>
            <family val="2"/>
            <charset val="204"/>
          </rPr>
          <t xml:space="preserve">
149,37
</t>
        </r>
      </text>
    </comment>
    <comment ref="I46" authorId="1" guid="{27692C8F-59B4-48F9-A647-E46EED135E68}" shapeId="0">
      <text>
        <r>
          <rPr>
            <b/>
            <sz val="9"/>
            <color indexed="81"/>
            <rFont val="Tahoma"/>
            <family val="2"/>
            <charset val="204"/>
          </rPr>
          <t>Шишкина Юлия Андреева:</t>
        </r>
        <r>
          <rPr>
            <sz val="9"/>
            <color indexed="81"/>
            <rFont val="Tahoma"/>
            <family val="2"/>
            <charset val="204"/>
          </rPr>
          <t xml:space="preserve">
в АИС Бюджете 12,822, уточнить
</t>
        </r>
      </text>
    </comment>
    <comment ref="B57" authorId="0" guid="{8A2AD80D-A878-4347-A204-97C865C0BAD9}" shapeId="0">
      <text>
        <r>
          <rPr>
            <b/>
            <sz val="9"/>
            <color indexed="81"/>
            <rFont val="Tahoma"/>
            <family val="2"/>
            <charset val="204"/>
          </rPr>
          <t>Степаненко Наталья Алексеевна:</t>
        </r>
        <r>
          <rPr>
            <sz val="9"/>
            <color indexed="81"/>
            <rFont val="Tahoma"/>
            <family val="2"/>
            <charset val="204"/>
          </rPr>
          <t xml:space="preserve">
1940,10
</t>
        </r>
      </text>
    </comment>
    <comment ref="C57" authorId="0" guid="{236E3049-8A05-4ADF-B1E7-8DB1259F8FAD}" shapeId="0">
      <text>
        <r>
          <rPr>
            <b/>
            <sz val="9"/>
            <color indexed="81"/>
            <rFont val="Tahoma"/>
            <family val="2"/>
            <charset val="204"/>
          </rPr>
          <t>Степаненко Наталья Алексеевна:</t>
        </r>
        <r>
          <rPr>
            <sz val="9"/>
            <color indexed="81"/>
            <rFont val="Tahoma"/>
            <family val="2"/>
            <charset val="204"/>
          </rPr>
          <t xml:space="preserve">
0
</t>
        </r>
      </text>
    </comment>
    <comment ref="A58" authorId="0" guid="{68B6A8C9-0A46-41FC-8CA1-15158D13E03B}" shapeId="0">
      <text>
        <r>
          <rPr>
            <b/>
            <sz val="9"/>
            <color indexed="81"/>
            <rFont val="Tahoma"/>
            <family val="2"/>
            <charset val="204"/>
          </rPr>
          <t>Степаненко Наталья Алексеевна:</t>
        </r>
        <r>
          <rPr>
            <sz val="9"/>
            <color indexed="81"/>
            <rFont val="Tahoma"/>
            <family val="2"/>
            <charset val="204"/>
          </rPr>
          <t xml:space="preserve">
необходимо выделит ьстроку мб в части софинансирвоания согласно форме порядка по программам
</t>
        </r>
      </text>
    </comment>
    <comment ref="E58" authorId="0" guid="{36891E54-6CD6-4000-86FE-38C43F965303}" shapeId="0">
      <text>
        <r>
          <rPr>
            <b/>
            <sz val="9"/>
            <color indexed="81"/>
            <rFont val="Tahoma"/>
            <family val="2"/>
            <charset val="204"/>
          </rPr>
          <t>Степаненко Наталья Алексеевна:</t>
        </r>
        <r>
          <rPr>
            <sz val="9"/>
            <color indexed="81"/>
            <rFont val="Tahoma"/>
            <family val="2"/>
            <charset val="204"/>
          </rPr>
          <t xml:space="preserve">
404,80
</t>
        </r>
      </text>
    </comment>
    <comment ref="B70" authorId="0" guid="{14EA7C0F-17FB-4DB3-A994-CEC5B1992420}" shapeId="0">
      <text>
        <r>
          <rPr>
            <b/>
            <sz val="9"/>
            <color indexed="81"/>
            <rFont val="Tahoma"/>
            <family val="2"/>
            <charset val="204"/>
          </rPr>
          <t>Степаненко Наталья Алексеевна:</t>
        </r>
        <r>
          <rPr>
            <sz val="9"/>
            <color indexed="81"/>
            <rFont val="Tahoma"/>
            <family val="2"/>
            <charset val="204"/>
          </rPr>
          <t xml:space="preserve">
97976,88
</t>
        </r>
      </text>
    </comment>
    <comment ref="E76" authorId="0" guid="{DD2DED95-CF6A-4856-BB2F-EAAE601B493E}" shapeId="0">
      <text>
        <r>
          <rPr>
            <b/>
            <sz val="9"/>
            <color indexed="81"/>
            <rFont val="Tahoma"/>
            <family val="2"/>
            <charset val="204"/>
          </rPr>
          <t>Степаненко Наталья Алексеевна:</t>
        </r>
        <r>
          <rPr>
            <sz val="9"/>
            <color indexed="81"/>
            <rFont val="Tahoma"/>
            <family val="2"/>
            <charset val="204"/>
          </rPr>
          <t xml:space="preserve">
1900,0
</t>
        </r>
      </text>
    </comment>
    <comment ref="I76" authorId="1" guid="{34010DCB-857A-4D59-B399-1BF2A38C4B71}" shapeId="0">
      <text>
        <r>
          <rPr>
            <b/>
            <sz val="9"/>
            <color indexed="81"/>
            <rFont val="Tahoma"/>
            <family val="2"/>
            <charset val="204"/>
          </rPr>
          <t>Шишкина Юлия Андреева:</t>
        </r>
        <r>
          <rPr>
            <sz val="9"/>
            <color indexed="81"/>
            <rFont val="Tahoma"/>
            <family val="2"/>
            <charset val="204"/>
          </rPr>
          <t xml:space="preserve">
в АИС Бюджете 1 750,0, уточнить
</t>
        </r>
      </text>
    </comment>
    <comment ref="I102" authorId="1" guid="{1CBD4BE0-AF23-49CA-9E7A-F44A9903D89B}" shapeId="0">
      <text>
        <r>
          <rPr>
            <b/>
            <sz val="9"/>
            <color indexed="81"/>
            <rFont val="Tahoma"/>
            <family val="2"/>
            <charset val="204"/>
          </rPr>
          <t>Шишкина Юлия Андреева:</t>
        </r>
        <r>
          <rPr>
            <sz val="9"/>
            <color indexed="81"/>
            <rFont val="Tahoma"/>
            <family val="2"/>
            <charset val="204"/>
          </rPr>
          <t xml:space="preserve">
в АИС Бюджете 864,9 , уточнить
</t>
        </r>
      </text>
    </comment>
    <comment ref="B107" authorId="0" guid="{4AE0F3B8-CD0C-4076-8291-B84B985DB2D8}" shapeId="0">
      <text>
        <r>
          <rPr>
            <b/>
            <sz val="9"/>
            <color indexed="81"/>
            <rFont val="Tahoma"/>
            <family val="2"/>
            <charset val="204"/>
          </rPr>
          <t>Степаненко Наталья Алексеевна:</t>
        </r>
        <r>
          <rPr>
            <sz val="9"/>
            <color indexed="81"/>
            <rFont val="Tahoma"/>
            <family val="2"/>
            <charset val="204"/>
          </rPr>
          <t xml:space="preserve">
8211,7
</t>
        </r>
      </text>
    </comment>
    <comment ref="B108" authorId="0" guid="{36BB597B-4F9D-4ECF-8C12-D77FA9466A89}" shapeId="0">
      <text>
        <r>
          <rPr>
            <b/>
            <sz val="9"/>
            <color indexed="81"/>
            <rFont val="Tahoma"/>
            <family val="2"/>
            <charset val="204"/>
          </rPr>
          <t>Степаненко Наталья Алексеевна:</t>
        </r>
        <r>
          <rPr>
            <sz val="9"/>
            <color indexed="81"/>
            <rFont val="Tahoma"/>
            <family val="2"/>
            <charset val="204"/>
          </rPr>
          <t xml:space="preserve">
16 799,28
</t>
        </r>
      </text>
    </comment>
    <comment ref="E108" authorId="0" guid="{7FF99837-3859-4D36-8F5F-6FD8955E260F}" shapeId="0">
      <text>
        <r>
          <rPr>
            <b/>
            <sz val="9"/>
            <color indexed="81"/>
            <rFont val="Tahoma"/>
            <family val="2"/>
            <charset val="204"/>
          </rPr>
          <t>Степаненко Наталья Алексеевна:</t>
        </r>
        <r>
          <rPr>
            <sz val="9"/>
            <color indexed="81"/>
            <rFont val="Tahoma"/>
            <family val="2"/>
            <charset val="204"/>
          </rPr>
          <t xml:space="preserve">
5 242,85
</t>
        </r>
      </text>
    </comment>
    <comment ref="I108" authorId="1" guid="{849844D2-40D2-4166-AEA7-384F26937C2E}" shapeId="0">
      <text>
        <r>
          <rPr>
            <b/>
            <sz val="9"/>
            <color indexed="81"/>
            <rFont val="Tahoma"/>
            <family val="2"/>
            <charset val="204"/>
          </rPr>
          <t>Шишкина Юлия Андреева:</t>
        </r>
        <r>
          <rPr>
            <sz val="9"/>
            <color indexed="81"/>
            <rFont val="Tahoma"/>
            <family val="2"/>
            <charset val="204"/>
          </rPr>
          <t xml:space="preserve">
в АИС Бюджете 1 840,167, уточнить
</t>
        </r>
      </text>
    </comment>
    <comment ref="E124" authorId="0" guid="{ED85BF72-CEC9-4C6A-9254-ED3808E8C2C2}" shapeId="0">
      <text>
        <r>
          <rPr>
            <b/>
            <sz val="9"/>
            <color indexed="81"/>
            <rFont val="Tahoma"/>
            <family val="2"/>
            <charset val="204"/>
          </rPr>
          <t>Степаненко Наталья Алексеевна:</t>
        </r>
        <r>
          <rPr>
            <sz val="9"/>
            <color indexed="81"/>
            <rFont val="Tahoma"/>
            <family val="2"/>
            <charset val="204"/>
          </rPr>
          <t xml:space="preserve">
210,71
</t>
        </r>
      </text>
    </comment>
    <comment ref="E138" authorId="2" guid="{0A70F178-BAA3-4AF1-B7BC-825DAAA8DAFE}" shapeId="0">
      <text>
        <r>
          <rPr>
            <b/>
            <sz val="9"/>
            <color indexed="81"/>
            <rFont val="Tahoma"/>
            <family val="2"/>
            <charset val="204"/>
          </rPr>
          <t>Цёвка Елена Александровна:</t>
        </r>
        <r>
          <rPr>
            <sz val="9"/>
            <color indexed="81"/>
            <rFont val="Tahoma"/>
            <family val="2"/>
            <charset val="204"/>
          </rPr>
          <t xml:space="preserve">
154 745,62
</t>
        </r>
      </text>
    </comment>
  </commentList>
</comments>
</file>

<file path=xl/comments7.xml><?xml version="1.0" encoding="utf-8"?>
<comments xmlns="http://schemas.openxmlformats.org/spreadsheetml/2006/main">
  <authors>
    <author>Цёвка Елена Александровна</author>
    <author>Степаненко Наталья Алексеевна</author>
  </authors>
  <commentList>
    <comment ref="AD37" authorId="0" guid="{3157FD0A-57A9-4F7F-831A-4015A26A65F0}" shapeId="0">
      <text>
        <r>
          <rPr>
            <b/>
            <sz val="9"/>
            <color indexed="81"/>
            <rFont val="Tahoma"/>
            <family val="2"/>
            <charset val="204"/>
          </rPr>
          <t>Цёвка Елена Александровна:</t>
        </r>
        <r>
          <rPr>
            <sz val="9"/>
            <color indexed="81"/>
            <rFont val="Tahoma"/>
            <family val="2"/>
            <charset val="204"/>
          </rPr>
          <t xml:space="preserve">
АЭС Бюджет:             358 057,25
Уточнить</t>
        </r>
      </text>
    </comment>
    <comment ref="AD67" authorId="0" guid="{DA804EF4-6CBE-40CA-8E40-16DE565BC810}" shapeId="0">
      <text>
        <r>
          <rPr>
            <b/>
            <sz val="9"/>
            <color indexed="81"/>
            <rFont val="Tahoma"/>
            <family val="2"/>
            <charset val="204"/>
          </rPr>
          <t>Цёвка Елена Александровна: АЭС Бюджет: 1 686 796,57
Уточнить округления</t>
        </r>
      </text>
    </comment>
    <comment ref="AD73" authorId="0" guid="{AF3189CB-315C-4B87-B514-FB19D191C67D}" shapeId="0">
      <text>
        <r>
          <rPr>
            <b/>
            <sz val="9"/>
            <color indexed="81"/>
            <rFont val="Tahoma"/>
            <family val="2"/>
            <charset val="204"/>
          </rPr>
          <t>Цёвка Елена Александровна:</t>
        </r>
        <r>
          <rPr>
            <sz val="9"/>
            <color indexed="81"/>
            <rFont val="Tahoma"/>
            <family val="2"/>
            <charset val="204"/>
          </rPr>
          <t xml:space="preserve">
АЭС Бюджет:              23 855 290,34
Уточнить
</t>
        </r>
      </text>
    </comment>
    <comment ref="Z97" authorId="0" guid="{0CE1F846-CDF2-45C5-9BEE-E3BBCC306A14}" shapeId="0">
      <text>
        <r>
          <rPr>
            <b/>
            <sz val="9"/>
            <color indexed="81"/>
            <rFont val="Tahoma"/>
            <family val="2"/>
            <charset val="204"/>
          </rPr>
          <t>Цёвка Елена Александровна:</t>
        </r>
        <r>
          <rPr>
            <sz val="9"/>
            <color indexed="81"/>
            <rFont val="Tahoma"/>
            <family val="2"/>
            <charset val="204"/>
          </rPr>
          <t xml:space="preserve">
АЭС Бюджет: 25 066 754,85
Уточнить</t>
        </r>
      </text>
    </comment>
    <comment ref="AB97" authorId="0" guid="{E79AFA3C-DFFA-485B-AF1A-59FE509B330D}" shapeId="0">
      <text>
        <r>
          <rPr>
            <b/>
            <sz val="9"/>
            <color indexed="81"/>
            <rFont val="Tahoma"/>
            <family val="2"/>
            <charset val="204"/>
          </rPr>
          <t>Цёвка Елена Александровна:</t>
        </r>
        <r>
          <rPr>
            <sz val="9"/>
            <color indexed="81"/>
            <rFont val="Tahoma"/>
            <family val="2"/>
            <charset val="204"/>
          </rPr>
          <t xml:space="preserve">
АЭС Бюджет: 22 355 783,45
Уточнить</t>
        </r>
      </text>
    </comment>
    <comment ref="AD97" authorId="0" guid="{AC4F1AE2-090D-4461-BF6F-2044EFF9F182}" shapeId="0">
      <text>
        <r>
          <rPr>
            <b/>
            <sz val="9"/>
            <color indexed="81"/>
            <rFont val="Tahoma"/>
            <family val="2"/>
            <charset val="204"/>
          </rPr>
          <t>Цёвка Елена Александровна:</t>
        </r>
        <r>
          <rPr>
            <sz val="9"/>
            <color indexed="81"/>
            <rFont val="Tahoma"/>
            <family val="2"/>
            <charset val="204"/>
          </rPr>
          <t xml:space="preserve">
АЭС Бюджет: 21 350 058,85
Уточнить</t>
        </r>
      </text>
    </comment>
    <comment ref="A133" authorId="0" guid="{059C8F40-EB83-4B00-8727-E5FD715B5F95}" shapeId="0">
      <text>
        <r>
          <rPr>
            <b/>
            <sz val="9"/>
            <color indexed="81"/>
            <rFont val="Tahoma"/>
            <family val="2"/>
            <charset val="204"/>
          </rPr>
          <t>Цёвка Елена Александровна:</t>
        </r>
        <r>
          <rPr>
            <sz val="9"/>
            <color indexed="81"/>
            <rFont val="Tahoma"/>
            <family val="2"/>
            <charset val="204"/>
          </rPr>
          <t xml:space="preserve">
Уточнить помесячное распределения БА</t>
        </r>
      </text>
    </comment>
    <comment ref="AD133" authorId="0" guid="{FB6803B2-FFD1-45B7-A1EA-DCCBAB6AD078}" shapeId="0">
      <text>
        <r>
          <rPr>
            <b/>
            <sz val="9"/>
            <color indexed="81"/>
            <rFont val="Tahoma"/>
            <family val="2"/>
            <charset val="204"/>
          </rPr>
          <t>Цёвка Елена Александровна:</t>
        </r>
        <r>
          <rPr>
            <sz val="9"/>
            <color indexed="81"/>
            <rFont val="Tahoma"/>
            <family val="2"/>
            <charset val="204"/>
          </rPr>
          <t xml:space="preserve">
26 724 077,50
Уточнить</t>
        </r>
      </text>
    </comment>
    <comment ref="A137" authorId="0" guid="{A43AA68A-3E08-43BF-9E89-300969B8F10E}" shapeId="0">
      <text>
        <r>
          <rPr>
            <b/>
            <sz val="9"/>
            <color indexed="81"/>
            <rFont val="Tahoma"/>
            <family val="2"/>
            <charset val="204"/>
          </rPr>
          <t>Цёвка Елена Александровна:
Отсутствует?</t>
        </r>
      </text>
    </comment>
    <comment ref="AD182" authorId="1" guid="{69F5F934-6E6C-4E10-AFEF-80DCDC49901C}" shapeId="0">
      <text>
        <r>
          <rPr>
            <b/>
            <sz val="9"/>
            <color indexed="81"/>
            <rFont val="Tahoma"/>
            <family val="2"/>
            <charset val="204"/>
          </rPr>
          <t>Степаненко Наталья Алексеевна:</t>
        </r>
        <r>
          <rPr>
            <sz val="9"/>
            <color indexed="81"/>
            <rFont val="Tahoma"/>
            <family val="2"/>
            <charset val="204"/>
          </rPr>
          <t xml:space="preserve">
53,77
</t>
        </r>
      </text>
    </comment>
    <comment ref="AD330" authorId="1" guid="{60B7D6F4-D7A8-499A-B01A-CF3C92E7E7E4}" shapeId="0">
      <text>
        <r>
          <rPr>
            <b/>
            <sz val="9"/>
            <color indexed="81"/>
            <rFont val="Tahoma"/>
            <family val="2"/>
            <charset val="204"/>
          </rPr>
          <t>Степаненко Наталья Алексеевна:</t>
        </r>
        <r>
          <rPr>
            <sz val="9"/>
            <color indexed="81"/>
            <rFont val="Tahoma"/>
            <family val="2"/>
            <charset val="204"/>
          </rPr>
          <t xml:space="preserve">
9989,81</t>
        </r>
      </text>
    </comment>
    <comment ref="AB351" authorId="0" guid="{15234850-2BFC-463E-B858-D7DF1B522800}" shapeId="0">
      <text>
        <r>
          <rPr>
            <b/>
            <sz val="9"/>
            <color indexed="81"/>
            <rFont val="Tahoma"/>
            <family val="2"/>
            <charset val="204"/>
          </rPr>
          <t>Цёвка Елена Александровна:</t>
        </r>
        <r>
          <rPr>
            <sz val="9"/>
            <color indexed="81"/>
            <rFont val="Tahoma"/>
            <family val="2"/>
            <charset val="204"/>
          </rPr>
          <t xml:space="preserve">
307 949 173,78
Уточнить
</t>
        </r>
      </text>
    </comment>
    <comment ref="AD351" authorId="0" guid="{5FB53047-2114-44CB-ADC0-B00C17571BF4}" shapeId="0">
      <text>
        <r>
          <rPr>
            <b/>
            <sz val="9"/>
            <color indexed="81"/>
            <rFont val="Tahoma"/>
            <family val="2"/>
            <charset val="204"/>
          </rPr>
          <t>Цёвка Елена Александровна:</t>
        </r>
        <r>
          <rPr>
            <sz val="9"/>
            <color indexed="81"/>
            <rFont val="Tahoma"/>
            <family val="2"/>
            <charset val="204"/>
          </rPr>
          <t xml:space="preserve">
1 375 917 978,38
Уточнить
</t>
        </r>
      </text>
    </comment>
  </commentList>
</comments>
</file>

<file path=xl/comments8.xml><?xml version="1.0" encoding="utf-8"?>
<comments xmlns="http://schemas.openxmlformats.org/spreadsheetml/2006/main">
  <authors>
    <author>Степаненко Наталья Алексеевна</author>
  </authors>
  <commentList>
    <comment ref="A37" authorId="0" guid="{38B1AF44-4D3D-4EB2-89CF-60CBECAD3F82}" shapeId="0">
      <text>
        <r>
          <rPr>
            <b/>
            <sz val="9"/>
            <color indexed="81"/>
            <rFont val="Tahoma"/>
            <family val="2"/>
            <charset val="204"/>
          </rPr>
          <t>Степаненко Наталья Алексеевна:</t>
        </r>
        <r>
          <rPr>
            <sz val="9"/>
            <color indexed="81"/>
            <rFont val="Tahoma"/>
            <family val="2"/>
            <charset val="204"/>
          </rPr>
          <t xml:space="preserve">
необходимо заполнить</t>
        </r>
      </text>
    </comment>
    <comment ref="B38" authorId="0" guid="{BC32B7BE-A691-41FC-82B6-1E9869367340}" shapeId="0">
      <text>
        <r>
          <rPr>
            <b/>
            <sz val="9"/>
            <color indexed="81"/>
            <rFont val="Tahoma"/>
            <family val="2"/>
            <charset val="204"/>
          </rPr>
          <t>Степаненко Наталья Алексеевна:</t>
        </r>
        <r>
          <rPr>
            <sz val="9"/>
            <color indexed="81"/>
            <rFont val="Tahoma"/>
            <family val="2"/>
            <charset val="204"/>
          </rPr>
          <t xml:space="preserve">
356607,76
</t>
        </r>
      </text>
    </comment>
  </commentList>
</comments>
</file>

<file path=xl/comments9.xml><?xml version="1.0" encoding="utf-8"?>
<comments xmlns="http://schemas.openxmlformats.org/spreadsheetml/2006/main">
  <authors>
    <author>Ларионова Галина Владимировна</author>
  </authors>
  <commentList>
    <comment ref="B18" authorId="0" guid="{FC94E215-1FC7-4331-A583-988C5DD5B130}" shapeId="0">
      <text>
        <r>
          <rPr>
            <b/>
            <sz val="9"/>
            <color indexed="81"/>
            <rFont val="Tahoma"/>
            <family val="2"/>
            <charset val="204"/>
          </rPr>
          <t>Ларионова Галина Владимировна:</t>
        </r>
        <r>
          <rPr>
            <sz val="9"/>
            <color indexed="81"/>
            <rFont val="Tahoma"/>
            <family val="2"/>
            <charset val="204"/>
          </rPr>
          <t xml:space="preserve">
70294853
</t>
        </r>
      </text>
    </comment>
  </commentList>
</comments>
</file>

<file path=xl/sharedStrings.xml><?xml version="1.0" encoding="utf-8"?>
<sst xmlns="http://schemas.openxmlformats.org/spreadsheetml/2006/main" count="3317" uniqueCount="681">
  <si>
    <t>Отчет о ходе реализации муниципальной программы (сетевой график)</t>
  </si>
  <si>
    <t>тыс. рублей</t>
  </si>
  <si>
    <t>Наименование мероприятий программы</t>
  </si>
  <si>
    <t>План на</t>
  </si>
  <si>
    <t xml:space="preserve">Профинансировано на </t>
  </si>
  <si>
    <t xml:space="preserve">Кассовый расход на </t>
  </si>
  <si>
    <t>Исполнение, %</t>
  </si>
  <si>
    <t>январь</t>
  </si>
  <si>
    <t>февраль</t>
  </si>
  <si>
    <t>март</t>
  </si>
  <si>
    <t>апрель</t>
  </si>
  <si>
    <t>май</t>
  </si>
  <si>
    <t>июнь</t>
  </si>
  <si>
    <t>июль</t>
  </si>
  <si>
    <t>август</t>
  </si>
  <si>
    <t>сентябрь</t>
  </si>
  <si>
    <t>октябрь</t>
  </si>
  <si>
    <t>ноябрь</t>
  </si>
  <si>
    <t>декабрь</t>
  </si>
  <si>
    <t>Результаты реализации и причины отклонений факта от плана</t>
  </si>
  <si>
    <t>к текущему году</t>
  </si>
  <si>
    <t>на отчетную дату</t>
  </si>
  <si>
    <t xml:space="preserve">план </t>
  </si>
  <si>
    <t>кассовый расход</t>
  </si>
  <si>
    <t>1.1. Содействие трудоустройству граждан, в том числе граждан с инвалидностью (I, II, III, IV)</t>
  </si>
  <si>
    <t xml:space="preserve">1.1.1. Организация проведения оплачиваемых общественных работ для не занятых трудовой деятельностью и безработных граждан </t>
  </si>
  <si>
    <t>1.1.2. Содействие молодёжи в получении трудового опыта</t>
  </si>
  <si>
    <t xml:space="preserve">1.1.2.1. Организация временного трудоустройства несовершеннолетних граждан в возрасте от 14 до 18 лет в свободное от учёбы время </t>
  </si>
  <si>
    <t xml:space="preserve">1.1.2.2. Организация временного трудоустройства несовершеннолетних граждан в возрасте от 14 до 18 лет в течение учебного года </t>
  </si>
  <si>
    <t>1.1.2.3. Привлечение прочих специалистов для организации работ трудовых бригад несовершеннолетних граждан</t>
  </si>
  <si>
    <t>1.1.3. Содействие трудоустройству незанятых инвалидов трудоспособного возраста, в том числе инвалидов молодого возраста, на оборудованные (оснащённые) рабочие места</t>
  </si>
  <si>
    <t>Всего</t>
  </si>
  <si>
    <t>бюджет автономного округа</t>
  </si>
  <si>
    <t>бюджет города Когалыма</t>
  </si>
  <si>
    <t>2.1. Безопасный труд (IV)</t>
  </si>
  <si>
    <t>Итого по подпрограмме 2</t>
  </si>
  <si>
    <t>Подпрограмма 1 «Содействие трудоустройству граждан, в том числе граждан с инвалидностью»</t>
  </si>
  <si>
    <t>Подпрограмма 2 «Улучшение условий и охраны труда в городе Когалыме»</t>
  </si>
  <si>
    <t>2.1.1. Осуществление отдельных государственных полномочий в сфере трудовых отношений и  государственного управления охраной труда в городе Когалыме</t>
  </si>
  <si>
    <t>2.1.2 Организация и проведение в городе Когалыме смотра конкурса «Оказание первой помощи пострадавшим на производстве среди работников организаций, расположенных в городе Когалыме»</t>
  </si>
  <si>
    <t xml:space="preserve"> "Содействие занятости населения города Когалыма"</t>
  </si>
  <si>
    <t>Подпрограмма 1. «Развитие сельскохозяйственного производства и деятельности по заготовке и переработке дикоросов»</t>
  </si>
  <si>
    <t>1.1.Поддержка сельскохозяйственного производства и деятельности по заготовке и переработке дикоросов (I, 1,2, 3)</t>
  </si>
  <si>
    <t>1.1.1. Поддержка животноводства, переработки и реализации продукции животноводства</t>
  </si>
  <si>
    <t xml:space="preserve">1.1.2. Поддержка растениеводства, переработки и реализации продукции растениеводства </t>
  </si>
  <si>
    <t xml:space="preserve">1.1.3. Поддержка деятельности по заготовке и переработке дикоросов </t>
  </si>
  <si>
    <t>1.2. Поддержка развития сельскохозяйственного производства в виде предоставления субсидий в целях возмещения затрат, связанных с реализацией сельскохозяйственной продукции (в том числе в части расходов по аренде торговых мест) (I, 1,2, 3, 4, 5)</t>
  </si>
  <si>
    <t xml:space="preserve"> "Развитие агропромышленного комплекса в городе Когалыме"</t>
  </si>
  <si>
    <t xml:space="preserve"> "Безопасность жизнедеятельности населения города Когалыма"</t>
  </si>
  <si>
    <t>1.1. Обеспечение безопасности населения на водных объектах города Когалыма  (показатель 1)</t>
  </si>
  <si>
    <t>1.2. Содержание и развитие территориальной автоматизированной системы централизованного оповещения населения города Когалыма (показатель 2)</t>
  </si>
  <si>
    <t xml:space="preserve">1.3.Снижение рисков и смягчение последствий чрезвычайных ситуаций природного и  техногенного характера </t>
  </si>
  <si>
    <t>1.4. Организация, содержание и развитие муниципальных курсов граждансой обороны в городе Когалыме</t>
  </si>
  <si>
    <t>Итого по подпрограмме 1</t>
  </si>
  <si>
    <t>Процессная часть</t>
  </si>
  <si>
    <t xml:space="preserve">Подпрограмма 2. Укрепление пожарной безопасности в городе Когалыме </t>
  </si>
  <si>
    <t>2.1. Организация противопожарной пропаганды и обучение населения мерам пожарной безопасности (показатель 3)</t>
  </si>
  <si>
    <t>2.2. Приобретение средств для организации пожаротушения (показатель 5)</t>
  </si>
  <si>
    <t>2.3.Строительство пожарного депо в городе Когалыме (в том числе ПИР) (показатель 3)</t>
  </si>
  <si>
    <t xml:space="preserve">Подпрограмма 3. Материально-техническое и финансовое обеспечение деятельности структурного подразделения Администрации города Когалыма и муниципального учреждения города Когалыма </t>
  </si>
  <si>
    <t>3.1. Финансовое обеспечение реализации отделом по делам гражданской обороны и чрезвычайных ситуаций Администрации города Когалыма полномочий в установленных сферах деятельности (показатели 1-5)</t>
  </si>
  <si>
    <t>3.2. Финансовое обеспечение осуществления муниципальным казённым учреждением «Единая дежурно-диспетчерская служба города Когалыма» установленных видов деятельности (показатели 1-5)</t>
  </si>
  <si>
    <t>Итого по подпрограмме 3</t>
  </si>
  <si>
    <t>Всего по муниципальной программе:</t>
  </si>
  <si>
    <t>Процессная часть в целом по муниципальной программ</t>
  </si>
  <si>
    <t>всего</t>
  </si>
  <si>
    <t>Всего по муниципальной программе</t>
  </si>
  <si>
    <t xml:space="preserve">Процессная часть в целом по муниципальной программе </t>
  </si>
  <si>
    <t>(подпись)</t>
  </si>
  <si>
    <t>Исполнитель: 
тел.</t>
  </si>
  <si>
    <t>ФИО</t>
  </si>
  <si>
    <t>Руководитель структурного подразделения</t>
  </si>
  <si>
    <t>Процессная часть по подпрограмме 1</t>
  </si>
  <si>
    <t>Процессная часть по подпрограмме 2</t>
  </si>
  <si>
    <t xml:space="preserve">иные источники финасирования </t>
  </si>
  <si>
    <t>Подпрограмма 1: Организация и обеспечение мероприятий в сфере гражданской обороны, защиты населения и территории города Когалыма от чрезвычайных ситуаций</t>
  </si>
  <si>
    <t>Процессная часть по подпрограмме 3</t>
  </si>
  <si>
    <t xml:space="preserve"> "Управление муниципальным имуществом города Когалыма"</t>
  </si>
  <si>
    <t xml:space="preserve">Подпрограмма 1: </t>
  </si>
  <si>
    <t xml:space="preserve">1.1. Организация обеспечения формирования состава и структуры муниципального имущества города Когалыма 
(I, II, III, 1)
</t>
  </si>
  <si>
    <t xml:space="preserve">Подпрограмма 2 </t>
  </si>
  <si>
    <t>2.1. Организационно-техническое и финансовое обеспечение органов местного самоуправления города Когалыма (III)</t>
  </si>
  <si>
    <t xml:space="preserve">Подпрограмма 3. </t>
  </si>
  <si>
    <t>3.1. Реконструкция и ремонт, в том числе капитальный, объектов муниципальной собственности города Когалыма (III, 2)</t>
  </si>
  <si>
    <t>4.1. Предоставление субсидий садоводческим, огородническим некоммерческим товариществам на возмещение части затрат на осуществление мероприятий, направленных на благоустройство и развитие инженерной инфраструктуры в границах их территорий (3)</t>
  </si>
  <si>
    <t>Итого по подпрограмме 4</t>
  </si>
  <si>
    <t xml:space="preserve">2.1.1. Расходы на обеспечение функций комитета по управлению муниципальным имуществом Администрации города Когалыма </t>
  </si>
  <si>
    <t>2.1.2. Расходы на обеспечение автотранспортом органов местного самоуправления города Когалыма и муниципальных учреждений</t>
  </si>
  <si>
    <t>2.1.2.1. Выполнение муниципальной работы «Организация и осуществление транспортного обслуживания должностных лиц, органов местного самоуправления и муниципальных учреждений»</t>
  </si>
  <si>
    <t>2.1.2.2. Приобретение автотранспортных средств, в том числе на условиях лизинга для выполнения муниципальной работы «Организация и осуществление транспортного обслуживания должностных лиц, органов местного самоуправления и муниципальных учреждений»</t>
  </si>
  <si>
    <t>2.1.3. Организационно-техническое обеспечение органов местного самоуправления города Когалыма</t>
  </si>
  <si>
    <t>2.1.4. Расходы на обеспечение хозяйственной деятельности муниципального казённого учреждения «Обеспечение эксплуатационно-хозяйственной деятельности»</t>
  </si>
  <si>
    <t>Процессная часть по подпрограмме 4</t>
  </si>
  <si>
    <t xml:space="preserve">бюджет города Когалыма </t>
  </si>
  <si>
    <t>"Профилактика правонарушений и обеспечение отдельных прав граждан в городе Когалыме"</t>
  </si>
  <si>
    <t>Подпрограмма 1: Подпрограмма 1 «Профилактика правонарушений»</t>
  </si>
  <si>
    <t xml:space="preserve">1.1.Создание условий для деятельности  народных дружин (V)
</t>
  </si>
  <si>
    <t xml:space="preserve">бюджет автономного округа </t>
  </si>
  <si>
    <t xml:space="preserve">1.2. Обеспечение функционирования и развития систем видеонаблюдения в сфере общественного порядка (I)
</t>
  </si>
  <si>
    <t xml:space="preserve">1.3. Реализация отдельных государственных полномочий, предусмотренных Законом Ханты- Мансийского автономного округа - Югры от 02.03. 2009 №5-
оз «Об административных комиссиях в Ханты- Мансийском автономном округе – Югре» (VI)
</t>
  </si>
  <si>
    <t>Процессная часть в целом по муниципальной программе</t>
  </si>
  <si>
    <t>1.4. Осуществление государственных полномочий по составлению (изменению и дополнению) списков кандидатов в присяжные заседатели федеральных судов общей юрисдикции (I)</t>
  </si>
  <si>
    <t xml:space="preserve">федеральный бюджет </t>
  </si>
  <si>
    <t>1.5. Совершенствование информационного и методического обеспечения профилактики правонарушений, повышения правосознания граждан (I)</t>
  </si>
  <si>
    <t xml:space="preserve">1.5.1. Проведение городских конкурсов
«Государство. Право. Я.»,
«Юный помощник полиции», «День правовой помощи детям»
</t>
  </si>
  <si>
    <t>1.5.2. Проведение семинаров, семинаров - тренингов, конференций, конкурсов, «круглых столов», совещаний для специалистов, преподавателей общественных организаций, волонтёров, занимающихся решением вопросов профилактики правонарушений среди подростков.Повышение профессионального уровня, квалификации специалистов субъектов профилактики правонарушений</t>
  </si>
  <si>
    <t>1.5.3. Проведение разъяснительной работы с несовершеннолетними и семьями, находящимися в социально опасном положении, с целью профилактики совершения рецидива преступлений и правонарушений</t>
  </si>
  <si>
    <t xml:space="preserve">1.5.4. Создание, распространение, проведение конкурса социальных видеороликов и иной тематической рекламы, направленной на профилактику
правонарушений
</t>
  </si>
  <si>
    <t>1.6. Тематическая социальная реклама в сфере безопасности дорожного движения (I)</t>
  </si>
  <si>
    <t>1.6.1. Приобретение световозвращающих приспособлений для распространения среди воспитанников и обучающихся образовательных организаций. Приобретение оборудования для обучения грамотного поведения детей на дороге и участие в окружном конкурсе  «Безопасное колесо»</t>
  </si>
  <si>
    <t xml:space="preserve">1.6.2. Организация и проведение игровой тематической программы среди детей и подростков
«Азбука дорог»
</t>
  </si>
  <si>
    <t>Подпрограмма 2 «Профилактика незаконного оборота и потребления наркотических средств и психотропных веществ, наркомании»</t>
  </si>
  <si>
    <t>2.1.Организация и проведение мероприятий с субъектами профилактики, в том числе с участием общественности (III,IV)</t>
  </si>
  <si>
    <t>2.1.1.Проведение семинаров, семинаров- тренингов, конференций, конкурсов, «круглых столов», совещаний для специалистов, представителей общественных организаций, волонтёров, занимающихся решением вопросов по проблемам наркомании. Повышение профессионального уровня, квалификации специалистов субъектов профилактики, занимающихся пропагандой здорового образа жизни. Приобретение учебно- методических программ, пособий по профилактике наркомании</t>
  </si>
  <si>
    <t>2.2. Проведение информационной антинаркотической пропаганды (III, IV)</t>
  </si>
  <si>
    <t>2.2.1. Создание и распространение в городе Когалыме социальной рекламы: антинаркотических баннеров, видеороликов, видеофильмов, радио- и телепередач, печатных материалов по профилактике наркомании и токсикомании</t>
  </si>
  <si>
    <t>2.3. Формирование негативного отношения к незаконному обороту и потреблению наркотиков (III,IV)</t>
  </si>
  <si>
    <t>2.3.1. Реализация мероприятий «Спорт - основа здорового образа жизни»</t>
  </si>
  <si>
    <t>2.3.2. Организация и проведение детско- юношеского марафона «Прекрасное слово - жизнь»</t>
  </si>
  <si>
    <t>2.3.3. Организация профильной смены для лидеров детско- юношеских волонтёрских движений, с целью формирования негативного отношения к незаконному обороту и потребления наркотиков</t>
  </si>
  <si>
    <t xml:space="preserve">2.3.4. Организация и проведение мероприятий среди детей, подростков, молодёжи, направленных на здоровый образ жизни, профилактику наркомании, в том числе, проведение массовых профилактических мероприятий, направленных на пропаганду здорового образа жизни (международный день борьбы с наркоманией и незаконным оборотом наркотиков, всемирный день без табачного дыма, международный день отказа от курения, всероссийский день трезвости, день зимних видов спорта в России,
международный Олимпийский день и др.)
</t>
  </si>
  <si>
    <t xml:space="preserve">2.3.5. Проведение акции «Шаг навстречу»
</t>
  </si>
  <si>
    <t xml:space="preserve">2.3.6. Цикл мероприятий «Альтернатива»
</t>
  </si>
  <si>
    <t>Подпрограмма 3 «Обеспечение защиты прав потребителей»</t>
  </si>
  <si>
    <t xml:space="preserve">3.1.Информирование и консультирование в сфере защиты прав потребителей (I,II) </t>
  </si>
  <si>
    <t>Подпрограмма 4 «Создание условий для выполнения функций, направленных на обеспечение прав и законных интересов жителей города Когалыма в отдельных сферах жизнедеятельности»</t>
  </si>
  <si>
    <t>Подпрограмма 4.</t>
  </si>
  <si>
    <t>4.1. Обеспечение выполнения полномочий и функций отдела межведомственного взаимодействия в сфере обеспечения общественного порядка и безопасности Администрации города Когалыма (VI)</t>
  </si>
  <si>
    <t>4.2. Исполнение отдельных государственных полномочий по делам несовершеннолетних и защите их прав муниципальной комиссией по делам несовершеннолетних и защите их прав при Администрации города Когалыма (VI)</t>
  </si>
  <si>
    <t xml:space="preserve">1.7. Ремонт участковых пунктов полиции города Когалыма 
</t>
  </si>
  <si>
    <t xml:space="preserve">в том числе в части софинансирования </t>
  </si>
  <si>
    <t>"Укрепление межнационального и межконфессионального согласия, профилактика экстремизма и терроризма в городе Когалыме"
«Укрепление межнационального и межконфессионального согласия, профилактика экстремизма и терроризма в городе Когалыме»
«Укрепление межнационального и межконфессионального согласия, профилактика экстремизма и терроризма в городе Когалыме»
"</t>
  </si>
  <si>
    <t>Подпрограмма 1: Укрепление межнационального и межконфессионального согласия, поддержка и развитие языков и культуры народов Российской Федерации, проживающих на территории города Когалыма, обеспечение социальной и культурной адаптации мигрантов, профилактика межнациональных (межэтнических) конфликтов</t>
  </si>
  <si>
    <t xml:space="preserve">1.1.Оказание поддержки некоммерческим организациям для реализации проектов и участия в мероприятиях в сфере межнациональных (межэтнических) отношений, профилактики экстремизма (I,1,3)
</t>
  </si>
  <si>
    <t xml:space="preserve">1.2. Мероприятия просветительского характера для представителей общественных объединений, религиозных организаций по вопросам укрепления межнационального и межконфессионального согласия, обеспечения социальной и культурной адаптации мигрантов, профилактики экстремизма и терроризма на территории города Когалыма (I,1,3)
</t>
  </si>
  <si>
    <t xml:space="preserve">1.3.Содействие религиозным организациям в культурно-просветительской и социально значимой деятельности, направленной на развитие межнационального и межконфессионального диалога, возрождению семейных ценностей, противодействию экстремизму, национальной и религиозной нетерпимости (I,1,3)
</t>
  </si>
  <si>
    <t>1.4. Реализация мер, направленных на социальную и культурную адаптацию мигрантов, анализ их эффективности, а также совершенствование системы мер, обеспечивающих уважительное отношение к культуре и традициям принимающего сообщества (I,1,3)</t>
  </si>
  <si>
    <t xml:space="preserve">1.4.1. Содействие в толерантном воспитании, мультикультурном образовании и социокультурной адаптации детей, в том числе детей мигрантов, в образовательных организациях города Когалыма </t>
  </si>
  <si>
    <t xml:space="preserve">1.5. Содействие этнокультурному многообразию народов России 
(I,1,3)
</t>
  </si>
  <si>
    <t xml:space="preserve">1.5.1. Укрепление общероссийской гражданской идентичности. Торжественные мероприятия, приуроченные к памятным датам в истории народов России, государственным праздникам (День России, День народного единства, День Конституции Российской Федерации и День образования Ханты-Мансийского автономного округа - Югры) 
</t>
  </si>
  <si>
    <t>1.5.2. Проведение мероприятий, приуроченных к Международному дню толерантности (концерты, фестивали, конкурсы рисунков, конкурсы плакатов, спортивные мероприятия и др.). Проведение выставок, конкурсов, акций, форумов, ярмарок, конференций городского, форумов общероссийского и регионального значения, направленных на изучение и популяризацию традиционной культуры народов Российской Федерации, укрепление межнационального мира и согласия, в том числе при принятии участия муниципального образования в Форуме национального Единства</t>
  </si>
  <si>
    <t xml:space="preserve">1.5.3. Содействие в функционировании деятельности Дома дружбы народов города Когалыма (имущественные, административные, финансовые и общественные формы поддержки) </t>
  </si>
  <si>
    <t xml:space="preserve">1.5.4. Просветительские мероприятия, направленные на популяризацию и поддержку русского языка, как государственного языка Российской Федерации и языка межнационального общения, а также поддержку родных языков народов России
</t>
  </si>
  <si>
    <t xml:space="preserve">бюджет автномног округа </t>
  </si>
  <si>
    <t xml:space="preserve">1.7. Издание и распространение информационных материалов, тематических словарей, разговорников для мигрантов
(I,2)
</t>
  </si>
  <si>
    <t xml:space="preserve">1.8. Привлечение средств массовой информации к формированию положительного образа мигранта, популяризация легального труда мигрантов. Конкурс социальной рекламы (видеоролик, плакат), направленной на укрепление общероссийского гражданского единства, гармонизацию межнациональных и межконфессиональных отношений, профилактику экстремизма
(I,2)
</t>
  </si>
  <si>
    <t>Подпрограмма 2 «Участие в профилактике экстремизма и терроризма, а также в минимизации и (или) ликвидации последствий проявлений экстремизма и терроризма на территории города Когалыма»</t>
  </si>
  <si>
    <t>2.1.Профилактика экстремизма и терроризма (I,1,3)</t>
  </si>
  <si>
    <t xml:space="preserve">2.1.1.Организация и проведение воспитательной и просветительской работы среди обучающихся в образовательных организациях города Когалыма, проведение  в учреждениях спорта, в спортивных секциях и клубах силовых единоборств информационно-разъяснительной работы, направленной на профилактику экстремизма, терроризма и недопущение конфликтных ситуаций на национальной почве </t>
  </si>
  <si>
    <t xml:space="preserve">2.1.2. Проведение общественных мероприятий, и мероприятий в муниципальных образовательных организациях, посвященных Дню солидарности в борьбе с терроризмом </t>
  </si>
  <si>
    <t>2.1.3. Проведение разъяснительной работы с несовершеннолетними, в отношении которых проводится индивидуальная профилактическая работа в соответствии со статьями 5, 6 Федерального закона Российской Федерации от 24.06.1999 №120-ФЗ «Об основах системы профилактики безнадзорности и правонарушений несовершеннолетних», склонными к противоправным действиям экстремистского и террористического характера, а также с молодыми людьми, освободившимися из учреждений исполнения наказания с целью формирования веротерпимости, межнационального и межконфессионального согласия, негативного отношения к экстремистским проявлениям</t>
  </si>
  <si>
    <t xml:space="preserve">2.1.4. Организация проведения проверок образовательных учреждений, учреждений культуры города Когалыма на предмет реализации мероприятий по ограничению доступа к сайтам экстремистского характера и наличия списков экстремистской литературы </t>
  </si>
  <si>
    <t xml:space="preserve">2.1.5 .Мероприятия в рамках проекта «Живое слово», направленные на профилактику экстремизма в молодежной среде:
- встречи с представителями традиционных религиозных конфессий (православие, ислам); 
 </t>
  </si>
  <si>
    <t xml:space="preserve">2.2. Проведение информационных кампаний, направленных на укрепление общероссийского гражданского единства и гармонизацию межнациональных отношений, профилактику экстремизма и терроризма 
(I,I,3)
</t>
  </si>
  <si>
    <t xml:space="preserve">2.2.1. Создание и распространение в образовательных организациях социальной рекламы, направленной на укрепление общероссийского гражданского единства, гармонизацию межнациональных и межконфессиональных отношений, профилактику экстремизма. Проведение тематических конкурсов, игр, флеш-мобов, выставок. </t>
  </si>
  <si>
    <t>2.2.2. Информационное обеспечение реализации государственной национальной политики, профилактики экстремизма и терроризма. Обеспечение эффективного мониторинга состояния межнациональных, межконфессиональных отношений и раннего предупреждения конфликтных ситуаций и выявления фактов распространения идеологии экстремизма и терроризма  (I,1,3)</t>
  </si>
  <si>
    <t xml:space="preserve">2.3. Мониторинг экстремистских настроений в молодежной среде 
(I,1,3)
</t>
  </si>
  <si>
    <t xml:space="preserve">2.3.1. Организация деятельности ячейки молодежного общественного движения «Кибердружина» для осуществления мониторинга сети Интернет на предмет выявления экстремизма, а также материалов с признаками терроризма </t>
  </si>
  <si>
    <t xml:space="preserve">2.4..Повышение профессионального уровня работников образовательных организаций, учреждений культуры, спорта, социальной и молодежной политики в сфере профилактики экстремизма, внедрение и использование новых методик, направленных на профилактику экстремизма и терроризма 
(I,1,3)
</t>
  </si>
  <si>
    <t>Подпрограмма 3. Усиление антитеррористической защищенности объектов, находящихся в муниципальной собственности</t>
  </si>
  <si>
    <t xml:space="preserve">3.1. Повышение уровня антитеррористической защищенности объектов, находящихся в муниципальной собственности (I) </t>
  </si>
  <si>
    <t>1.6. Повышение уровня компетенций и активизации деятельности лидеров молодежных объединений в деятельности по обеспечению межнационального и межконфессионального согласия, профилактике экстремизма, продвижения лучших практик по реализации проектов в сфере государственной национальной политики(I)</t>
  </si>
  <si>
    <t>Комплексный план (сетевой график) по реализации муниципальной программы  "Культурное пространство города Когалыма"</t>
  </si>
  <si>
    <t>Основные мероприятия программы</t>
  </si>
  <si>
    <t>факт</t>
  </si>
  <si>
    <t>план</t>
  </si>
  <si>
    <t>Подпрограмма 1. "Модернизация и развитие учреждений и организаций культуры"</t>
  </si>
  <si>
    <t>Проектная часть</t>
  </si>
  <si>
    <t>П.1.1. Портфель проектов «Культура», региональный проект «Культурная среда» (II)</t>
  </si>
  <si>
    <t>федеральный бюджет</t>
  </si>
  <si>
    <t>привлеченные средства</t>
  </si>
  <si>
    <t xml:space="preserve">П.1.2. Портфель проектов «Образование», региональный проект «Успех каждого ребенка» (II)
</t>
  </si>
  <si>
    <t>1.1. Развитие библиотечного дела (II, 1)</t>
  </si>
  <si>
    <t>1.1.1. Комплектование книжного фонда города Когалыма</t>
  </si>
  <si>
    <t>в т.ч. бюджет города Когалыма в части софинансирования</t>
  </si>
  <si>
    <t>1.1.2. Проведение библиотечных мероприятий, направленных на повышение читательского интереса</t>
  </si>
  <si>
    <t>1.1.3. Обеспечение деятельности (оказание услуг) общедоступных библиотек города Когалыма</t>
  </si>
  <si>
    <t>1.1.4. Подключение общедоступных библиотек города Когалыма к сети Интернет и развитие системы библиотечного дела с учетом задачи расширения инфомационных технологий и оцифровки</t>
  </si>
  <si>
    <t>1.1.5. Модернизация общедоступных библиотек города Когалыма</t>
  </si>
  <si>
    <t>1.2. Развитие музейного дела (I, 1)</t>
  </si>
  <si>
    <t>1.2.1. Пополнение фонда музея города Когалыма</t>
  </si>
  <si>
    <t>1.2.2. Информатизация музея города Когалыма</t>
  </si>
  <si>
    <t>1.2.3. Поддержка выставочных проектов на базе МБУ "МВЦ"</t>
  </si>
  <si>
    <t>1.2.4. Реализация музейных проектов</t>
  </si>
  <si>
    <t xml:space="preserve">1.2.5. Обеспечение деятельности (оказание  музейных услуг) </t>
  </si>
  <si>
    <t>1.3. Укрепление материально-технической базы учреждений культуры города Когалыма (II, 1)</t>
  </si>
  <si>
    <t>1.3.1. Развитие материально-технического состояния учреждений культуры города Когалыма/МАУ КДК "АРТ-Праздник"</t>
  </si>
  <si>
    <t>1.3.2. Развитие материально-технического состояния учреждений культуры города Когалыма /МАУ "МВЦ"</t>
  </si>
  <si>
    <t>1.3.3. Развитие материально-технического состояния учреждений культуры города Когалыма /МБУ "ЦБС"</t>
  </si>
  <si>
    <t>1.4. Развитие дополнительного образования в сфере культуры (8, 9)</t>
  </si>
  <si>
    <t xml:space="preserve">1.4.1. Обеспечение деятельности (оказание услуг дополнительного образования) </t>
  </si>
  <si>
    <t>Подпрограмма 2. "Поддержка творческих инициатив, способствующих самореализации населения"</t>
  </si>
  <si>
    <t>П.2.1. Портфель проектов «Культура», региональный проект «Творческие люди» (I)</t>
  </si>
  <si>
    <t>2.1. Сохранение нематериального и материального наследия города Когалыма и продвижение культурных проектов (I, 1)</t>
  </si>
  <si>
    <t>2.1.1. Сохранение, возрождение и развитие народных художественных промыслов и ремесел</t>
  </si>
  <si>
    <t>в том числе:</t>
  </si>
  <si>
    <t>МАУ "КДК "АРТ-Праздник"</t>
  </si>
  <si>
    <t>МБУ "МВЦ"</t>
  </si>
  <si>
    <t>МАУ "Дворец спорта"</t>
  </si>
  <si>
    <t>2.1.2 Создание условий для реализации продукции, произведенной мастерами народных художественных промыслов и ремесел города Когалыма</t>
  </si>
  <si>
    <t>2.2. Стимулирование культурного разнообразия (II, 1,4,5,6)</t>
  </si>
  <si>
    <t>2.2.1. Организация и проведение культурно-массовых мероприятий</t>
  </si>
  <si>
    <t>2.2.2. Поддержка деятелей культуры и искусства</t>
  </si>
  <si>
    <t>2.2.3. Обеспечение деятельности (оказание услуг) муниципального культурно-досугового учреждения города Когалыма</t>
  </si>
  <si>
    <t>2.2.4.Поддержка немуниципальных организаций (коммерческих, некоммерческих), осуществляющих деятельность в сфере культуры</t>
  </si>
  <si>
    <t>2.2.5.Поддержка некоммерческих организаций, в том числе добровольческих (волонтерских), по реализации проектов в сфере культуры</t>
  </si>
  <si>
    <t>Подпрограмма 3. "Организационные, экономические механизмы развития культуры, архивного дела и историко-культурного наследия"</t>
  </si>
  <si>
    <t>3.1. Реализация единой государственной политики в сфере культуры и архивного дела (II, 2,3)</t>
  </si>
  <si>
    <t>3.1.1. Обеспечение функций Управления культуры, спорта и молодежной политики Администрации города Когалыма</t>
  </si>
  <si>
    <t xml:space="preserve">3.1.2. Обеспечение деятельности (оказание услуг) архивного отдела Администрации города Когалыма </t>
  </si>
  <si>
    <t>3.2. Развитие архивного дела (II, 2,3)</t>
  </si>
  <si>
    <t>3.2.1. Осуществоение полномочий по хранению,комплектованию, учету и использованию архивных документов, относящихся к государственной собственности ХМАО-Югры</t>
  </si>
  <si>
    <t>3.3 Обеспечение хозяйственной деятельности учреждений культуры города Когалыма</t>
  </si>
  <si>
    <t>Подпрограмма 4. "Развитие туризма"</t>
  </si>
  <si>
    <t>4.1. Продвижение внутреннего и въездного туризма (II, 1,7)</t>
  </si>
  <si>
    <t>4.1.1. Создание условий для развития туризма</t>
  </si>
  <si>
    <t>4.1.2. Размещение информационного щита для продвижения туризма в городе Когалыме</t>
  </si>
  <si>
    <t>ИТОГО по программе, в том числе</t>
  </si>
  <si>
    <t>ПРОЕКТНАЯ ЧАСТЬ в целом по муниципальной программе</t>
  </si>
  <si>
    <t>ПРОЦЕССНАЯ ЧАСТЬ в целом по муниципальной программе</t>
  </si>
  <si>
    <t>Подпрограмма 1. "Повышение профессионального уровня муниципальных служащих органов местного самоуправления города Когалыма"</t>
  </si>
  <si>
    <t>иные внебюджетные источники</t>
  </si>
  <si>
    <t>Подпрограмма 2. Создание условий для развития муниципальной службы в органах местного самоуправления города Когалыма</t>
  </si>
  <si>
    <t>2.1. Цифровизация функций управления кадрами органов местного самоуправления города Когалыма, в том числе кадрового делопроизводства (4)</t>
  </si>
  <si>
    <t>2.2 Проведение мероприятий по повышению эффективности в сфере профилактики коррупции в органах местного самоуправления города Когалыма и развитию управленческой культуры и повышению престижа муниципальной службы в городе Когалыме (2)</t>
  </si>
  <si>
    <t>2.3. Обеспечение деятельности органов местного самоуправления города Когалыма и предоставление гарантий муниципальным служащим (4)</t>
  </si>
  <si>
    <t>2.3.1. Материально-техническое обеспечение органов местного самоуправления города Когалыма</t>
  </si>
  <si>
    <t>2.3.2. Организация представительских мероприятий (расходов) органов местного самоуправления города Когалыма</t>
  </si>
  <si>
    <t>2.3.3.  Обеспечение предоставления муниципальным служащим гарантий, установленных действующим законодательством о муниципальной службе</t>
  </si>
  <si>
    <t xml:space="preserve">2.3.4.  Обеспечение расходов, связанных с командировками </t>
  </si>
  <si>
    <t>2.4. Обеспечение информационной безопасности на объектах информатизации и информационных систем в органах местного самоуправления города Когалыма (3)</t>
  </si>
  <si>
    <t>2.5. Обеспечение выполнения полномочий и функций, возложенных на должностных лиц и структурные подразделения Администрации города Когалыма (4)</t>
  </si>
  <si>
    <t>2.6. Реализация переданных государственных полномочий по государственной регистрации актов гражданского состояния (5)</t>
  </si>
  <si>
    <t>Итого по программе, в том числе</t>
  </si>
  <si>
    <t>Комплексный план (сетевой график) по реализации муниципальной программы "Развитие институтов гражданского общества города Когалыма"</t>
  </si>
  <si>
    <t>Подпрограмма 1. "Поддержка социально ориентированных некоммерческих организаций города Когалыма"</t>
  </si>
  <si>
    <t>1.1. Поддержка социально
ориентированных некоммерческих
организаций (I,II)</t>
  </si>
  <si>
    <t>1.1.2.  Предоставление субсидии некоммерческой организации, не являющейся государственным (муниципальным) учреждением, в целях финансового обеспечения затрат на выполнение функций ресурсного центра поддержки НКО</t>
  </si>
  <si>
    <t>Подпрограмма 2. "Поддержка граждан, внесших значительный вклад в развитие гражданского общества"</t>
  </si>
  <si>
    <t>2.1. Оказание поддержки гражданам удостоенным звания «Почётный гражданин города Когалыма» (VII)</t>
  </si>
  <si>
    <t>2.2 Организация и проведение городского конкурса на присуждение премии «Общественное признание» (III)</t>
  </si>
  <si>
    <t>Подпрограмма 3. "Информационная открытость деятельности Администрации города Когалыма"</t>
  </si>
  <si>
    <t>3.1. Реализация взаимодействия с городскими средствами массовой информации (IV)</t>
  </si>
  <si>
    <t>3.1.1. Освещение деятельности структурных подразделений Администрации города Когалыма в телевизионных эфирах</t>
  </si>
  <si>
    <t>Подпрограмма 4. "Создание условий для выполнения отдельными структурными подразделениями Администрации города Когалыма своих полномочий
"</t>
  </si>
  <si>
    <t>4.1. Обеспечение деятельности структурных подразделений Администрации города Когалыма (I-VI)</t>
  </si>
  <si>
    <t>4.1.1. Обеспечение деятельности сектора по социальным вопросам Администрации города Когалыма</t>
  </si>
  <si>
    <t>4.1.2. Обеспечение деятельности сектора пресс-службы Администрации города Когалыма</t>
  </si>
  <si>
    <t>4.1.3. Обеспечение деятельности управления внутренней политики Администрации города Когалыма</t>
  </si>
  <si>
    <t>Комплексный план (сетевой график) по реализации муниципальной программы  "Развитие физической культуры и спорта в городе Когалыме"</t>
  </si>
  <si>
    <t>Подпрограмма 1. "Развитие физической культуры, массового и детско-юношеского спорта"</t>
  </si>
  <si>
    <t>П.1.1. Портфель проектов «Демография», региональный проект «Спорт – норма жизни» (I)</t>
  </si>
  <si>
    <t>1.1. Мероприятия по 
развитию 
физической культуры и спорта (II,1,2,3,4,5,6)</t>
  </si>
  <si>
    <t>1.1.1. Организация и проведение спортивно массовых мероприятий</t>
  </si>
  <si>
    <t>1.1.2. Содержание муниципального автономного учреждения дополнительного образования «Спортивная школа «Дворец 
спорта»</t>
  </si>
  <si>
    <t>1.1.3. Проведение мероприятий по внедрению Всероссийского физкультурно спортивного комплекса «Готов к труду и обороне» 
в городе Когалыме</t>
  </si>
  <si>
    <t xml:space="preserve">1.1.4. Организация работы по присвоению спортивных разрядов, квалификационных 
категорий </t>
  </si>
  <si>
    <t>1.1.5. Развитие материально технической базы 
МАУ ДО «СШ «Дворец спорта»</t>
  </si>
  <si>
    <t>1.2. Обеспечение 
комфортных 
условий в учреждениях физической 
культуры и спорта (1,2,3,4,5,6)</t>
  </si>
  <si>
    <t>1.2.1. Обеспечение хозяйственной деятельности 
учреждений спорта города Когалыма</t>
  </si>
  <si>
    <t>1.3. Поддержка некоммерческих организаций, реализующих проекты в сфере массовой физической культуры (II,1,2,3,4,7,8)</t>
  </si>
  <si>
    <t>1.4. Строительство, реконструкция и ремонт (в том числе капитальный) объектов спорта (I)</t>
  </si>
  <si>
    <t>1.4.1. Строительство велосипедных и беговых дорожек на территории города Когалыма</t>
  </si>
  <si>
    <t>1.4.2. Реконструкция объекта «Лыжероллерная 
трасса»</t>
  </si>
  <si>
    <t>Подпрограмма 2. "Развитие спорта высших достижений и системы подготовки спортивного резерва"</t>
  </si>
  <si>
    <t>2.1. Организация участия спортсменов города Когалыма в соревнованиях различного уровня 
окружного и  всероссийского масштаба (II,1,2,5,6,7,8)</t>
  </si>
  <si>
    <t>2.2. Обеспечение подготовки спортивного резерва и сборных команд города Когалыма по видам спорта (II,1,4,5,6,7)</t>
  </si>
  <si>
    <t>Подпрограмма 3. "Управление развитием отрасли физической культуры и спорта"</t>
  </si>
  <si>
    <t>3.1. Содержание отдела физической культуры и спорта управления культуры и спорта Администрации города Когалыма (1)</t>
  </si>
  <si>
    <t>Подпрограмма 4. "Укрепление общественного здоровья в городе Когалыме"</t>
  </si>
  <si>
    <t>4.1. Организация и проведение физкультурно оздоровительных мероприятий (II,8)</t>
  </si>
  <si>
    <t>4.2. Реализация Плана мероприятий по снижению уровня преждевременной смертности в городе Когалыме на 2021-2025 
годы (9,10)</t>
  </si>
  <si>
    <t>4.3. Реализация информационно просветительского проекта «Грани здоровья» (10,11)</t>
  </si>
  <si>
    <t>Комплексный план (сетевой график) по реализации муниципальной программы  "Развитие образования в городе Когалыме"</t>
  </si>
  <si>
    <t>Подпрограмма 1. "Общее образование. Дополнительное образование"</t>
  </si>
  <si>
    <t>П.1.1. Портфель проектов «Образование», региональный проект «Успех каждого ребенка» (III, IV, V)</t>
  </si>
  <si>
    <t xml:space="preserve">П.1.2. Портфель проектов «Образование», региональный проект «Цифровая образовательная среда» (VII, VIII, IX, X)
</t>
  </si>
  <si>
    <t>1.1. Развитие системы дошкольного и общего образования (1, 2, 3)</t>
  </si>
  <si>
    <t>1.1.2. Стимулирование роста профессионального мастерства, создание условий для выявления и поддержки педагогических работников, проявляющих творческую инициативу, в 
том числе для специалистов 
некоммерческих организаций</t>
  </si>
  <si>
    <t>1.1.3. Создание условий для распространения лучших практик и деятельности немуниципальных (коммерческих, некоммерческих) организаций по предоставлению услуг в сфере образования</t>
  </si>
  <si>
    <t>1.2. Развитие системы дополнительного образования детей (III, VI, 
11, 12, 13)</t>
  </si>
  <si>
    <t>1.2.1. Развитие системы 
доступного дополнительного образования в соответствии с индивидуальными запросами населения, оснащение материально технической базы образовательных организаций</t>
  </si>
  <si>
    <t>1.2.2. Персонифицированное 
финансирование 
дополнительного 
образования детей</t>
  </si>
  <si>
    <t>1.3. Обеспечение реализации 
общеобразовательных программ в образовательных организациях, расположенных на территории города Когалыма (I, II, 4, 12)</t>
  </si>
  <si>
    <t>1.3.2. Субсидии частным организациям для осуществления присмотра и ухода за детьми, содержания детей в частных организациях, осуществляющих образовательную деятельность по реализации образовательных программ дошкольного образования</t>
  </si>
  <si>
    <t xml:space="preserve">1.3.3. Предоставление субсидии частным организациям осуществляющим образовательную деятельность по реализации 
образовательных программ дошкольного образования, расположенных на 
территории города Когалыма (Субвенция ОБ)
</t>
  </si>
  <si>
    <t xml:space="preserve">1.4. Организация отдыха и оздоровления детей (10, 11, 12)
</t>
  </si>
  <si>
    <t>Подпрограмма 2. "Система оценки качества образования и информационная прозрачность системы образования города Когалыма"</t>
  </si>
  <si>
    <t>2.1. Развитие системы оценки качества образования, включающей оценку результатов деятельности по реализации 
федерального государственного образовательного стандарта и учет динамики 
достижений каждого обучающегося (1, 2, 3)</t>
  </si>
  <si>
    <t>2.1.1. Организация и проведение 
государственной итоговой аттестации</t>
  </si>
  <si>
    <t>Подпрограмма 3. "Молодёжь города Когалыма"</t>
  </si>
  <si>
    <t>П.3.1. Портфель проектов «Образование», региональный проект «Социальная активность» (показатель VI)</t>
  </si>
  <si>
    <t>П.3.1.1. Организация мероприятий в рамках реализации регионального проекта 
«Социальная активность»</t>
  </si>
  <si>
    <t xml:space="preserve">П.3.2. Портфель проектов «Образование», региональный проект «Патриотическое 
воспитание граждан Российской Федерации» 
(показатель 5, 6)
</t>
  </si>
  <si>
    <t>3.1. Создание условий для развития духовно-нравственных и гражданско,- военно -патриотических качеств детей и молодежи ( 5, 6, 7)</t>
  </si>
  <si>
    <t>3.2. Создание условий для разностороннего развития, самореализации и роста созидательной активности молодёжи (5, 6, 7, 14)</t>
  </si>
  <si>
    <t xml:space="preserve">3.2.3. Поддержка студентов педагогических вузов
</t>
  </si>
  <si>
    <t>3.3. Обеспечение деятельности учреждения сферы работы с молодёжью и развитие 
его материально технической базы (7, 14)</t>
  </si>
  <si>
    <t>Подпрограмма 4. "Ресурсное обеспечение в сфере образования"</t>
  </si>
  <si>
    <t xml:space="preserve">П.4.1. Портфель проектов «Образование», 
региональный проект «Современная школа» 
(показатели XI, XIII, XIV, 9)
</t>
  </si>
  <si>
    <t>П.4.1.1. Средняя общеобразовательная 
школа в г. Когалыме (Общеобразовательная 
организация с универсальной безбарьерной средой)» (корректировка, привязка проекта «Средняя общеобразовательная школа в микрорайоне 32 г. Сургута» шифр 1541-ПИ.00.32)</t>
  </si>
  <si>
    <t>П.4.2. Портфель проектов «Демография», 
региональный проект «Содействие занятости» 
(показатели I, II)</t>
  </si>
  <si>
    <t>4.1. Финансовое обеспечение полномочий управления образования и ресурсного центра (1, 2, 3, 4, 8, 10)</t>
  </si>
  <si>
    <t>4.1.1. Финансовое и организационно методическое сопровождение по исполнению бюджетными, автономными образовательными организациями и организациями дополнительного образования муниципального задания на оказание муниципальных 
услуг (выполнение работ)</t>
  </si>
  <si>
    <t>4.1.2. Проведение мероприятий аппаратом управления</t>
  </si>
  <si>
    <t xml:space="preserve">4.2. Обеспечение комплексной безопасности в образовательных организациях и 
учреждениях и создание условий для сохранения и укрепления здоровья детей в общеобразовательных организациях (8)
</t>
  </si>
  <si>
    <t>4.2.1. Обеспечение комплексной безопасности и 
комфортных условий образовательной 
деятельности в учреждениях и организациях общего и дополнительного образования</t>
  </si>
  <si>
    <t>4.2.2. Создание системных механизмов сохранения и укрепления здоровья детей 
в образовательных организациях</t>
  </si>
  <si>
    <t>4.2.2.1. Мероприятия по организации бесплатного 
горячего питания обучающихся, получающих 
начальное общее образование в муниципальных образовательных организациях</t>
  </si>
  <si>
    <t>4.2.2.2. Организация питания обучающихся 5-11 классов (не относящиеся к льготной категории)</t>
  </si>
  <si>
    <t>4.2.2.3. Субвенции на социальную поддержку отдельных категорий обучающихся в 
муниципальных общеобразовательных 
организациях,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в рамках 
основного мероприятия "Финансовое обеспечение полномочий исполнительного органа государственной власти Ханты-Мансийского автономного округа – Югры по исполнению публичных обязательств перед физическими лицами" подпрограммы "Ресурсное обеспечение в сфере образования, науки и молодежной политики" государственной программы "Развитие образования"</t>
  </si>
  <si>
    <t>4.3. Развитие материально технической базы 
образовательных организаций (XIV)</t>
  </si>
  <si>
    <t>4.3.1. Развитие инфраструктуры общего и дополнительного образования</t>
  </si>
  <si>
    <t>Комплексный план (сетевой график) по реализации муниципальной программы "Управление муниципальными финансами в городе Когалыме"</t>
  </si>
  <si>
    <t>1.1. Обеспечение деятельности Комитета финансов Администрации города Когалыма (I, II)</t>
  </si>
  <si>
    <t>1.2. Обеспеченность программно-техническими средствами специалистов Комитета финансов администрации города Когалыма в объеме, достаточном для исполнения должностных обязанностей (I, II)</t>
  </si>
  <si>
    <t>Комплексный план (сетевой график) по реализации муниципальной программы  "Развитие жилищной сферы в городе Когалыме"</t>
  </si>
  <si>
    <t>Подпрограмма 1. "Содействие развитию жилищного строительства"</t>
  </si>
  <si>
    <t>П.1.1. Портфель проектов «Жилье и городская среда», региональный проект «Жилье»  (I, III, 4)</t>
  </si>
  <si>
    <t xml:space="preserve">П.1.2. Портфель проектов «Жилье и городская среда», региональный проект«Обеспечение устойчивого сокращения непригодного для проживания жилищного фонда» (II, 6)
</t>
  </si>
  <si>
    <t>1.1. Реализация полномочий в области градостроительной деятельности (I,II)</t>
  </si>
  <si>
    <t>1.2. Приобретение жилья в целях реализации полномочий органов местного самоуправления в сфере жилищных отношений (I,III,4,2,7)</t>
  </si>
  <si>
    <t>1.3. Освобождение земельных участков, планируемых для жилищного строительства и комплекса мероприятий по формированию земельных участков для индивидуального жилищного строительства.(6)</t>
  </si>
  <si>
    <t>1.4. Проектирование и строительство систем инженерной инфраструктуры в целях обеспечения инженерной подготовки земельных участков, предназначенных для жилищного строительства</t>
  </si>
  <si>
    <t>Подпрограмма 2. "Обеспечение мерами финансовой поддержки по улучшению жилищных условий отдельных категорий граждан"</t>
  </si>
  <si>
    <t>2.1. «Обеспечение жильем молодых семей» государственной программы Российской Федерации «Обеспечение доступным и комфортным жильем и коммунальными услугами граждан Российской Федерации» (3,1,7)</t>
  </si>
  <si>
    <t>2.2. Улучшение жилищных условий ветеранов Великой Отечественной войны, ветеранов боевых действий, инвалидов и семей, имеющих детей-инвалидов, вставших на учет в качестве нуждающихся в жилых помещениях до 1 января 2005 года.(3,1,7)</t>
  </si>
  <si>
    <t>2.3. Реализация полномочий по обеспечению жилыми помещениями отдельных категорий граждан (1,7)</t>
  </si>
  <si>
    <t>2.4. Предоставление субсидии участникам специальной военной операции, членам их семей, состоящим на учете в качестве нуждающихся в жилых помещениях, предоставляемых по договорам социального найма, на приобретение (строительство) жилых помещений в собственность (3)</t>
  </si>
  <si>
    <t>Подпрограмма 3. "Организационное обеспечение деятельности структурных подразделений Администрации города Когалыма и казенных учреждений города Когалыма"</t>
  </si>
  <si>
    <t>3.1. Обеспечение деятельности отдела архитектуры и градостроительства Администрации города Когалыма(I-IV)</t>
  </si>
  <si>
    <t>3.2. Обеспечение деятельности управления по жилищной политике Администрации города Когалыма (I-IV)</t>
  </si>
  <si>
    <t>3.3. Обеспечение деятельности Муниципального казённого учреждения «Управление капитального строительства города Когалыма» (I-IV)</t>
  </si>
  <si>
    <t xml:space="preserve"> "Социально - экономическое развитие и инвестиции муниципального образования город Когалым" </t>
  </si>
  <si>
    <t>Подпрограмма 1. «Совершенствование системы муниципального стратегического управления, повышение инвестиционной привлекательности и развитие конкуренции»</t>
  </si>
  <si>
    <t xml:space="preserve">1.1. Реализация механизмов стратегического управления социально-экономическим развитием города Когалыма (I, 1, 2, 3) </t>
  </si>
  <si>
    <t>1.1.1. Мониторинг социально-экономического развития города Когалыма</t>
  </si>
  <si>
    <t>1.1.2. Реализация и корректировка стратегии социально-экономического развития города Когалыма до 2030 года</t>
  </si>
  <si>
    <t>1.1.3. Обеспечение деятельности управления экономики Администрации города Когалыма</t>
  </si>
  <si>
    <t>1.1.4. Обеспечение деятельности управления  инвестиционной деятельности и развития предпринимательства Администрации города Когалыма</t>
  </si>
  <si>
    <t>1.1.5. Организация и проведение определения поставщика (подрядчика, исполнителя) для заказчиков города Когалыма</t>
  </si>
  <si>
    <t>ИТОГО по подпрограмме 1</t>
  </si>
  <si>
    <t>Подпрограмма 2. «Развитие малого и среднего  предпринимательства»</t>
  </si>
  <si>
    <t xml:space="preserve">П.2.1. Региональный проект «Создание условий для легкого старта и комфортного ведения бизнеса» (показатели II, III, 4, 5) </t>
  </si>
  <si>
    <t>П.2.1.1. Финансовая поддержка субъектов малого и среднего предпринимательства, впервые зарегистрированных и действующих менее одного года, на развитие социального предпринимательства</t>
  </si>
  <si>
    <t>П.2.1.1.1 Финансовая поддержка субъектам малого и среднего предпринимательства (впервые зарегистрированным и действующим менее 1 года), осуществляющим социально значимые (приоритетные) виды деятельности в городе Когалыме</t>
  </si>
  <si>
    <t xml:space="preserve">П.2.1.1.2 Организация и проведение мероприятий, направленных на популяризацию деятельности в сфере социального предпринимательства </t>
  </si>
  <si>
    <t>П.2.1.1.2.1 Изготовление (приобретение материальных запасов, способствующих повышению информированности о социальном предпринимательстве, о существующих мерах и программах поддержки социального предпринимательства</t>
  </si>
  <si>
    <t>П.2.2. Региональный проект «Акселерация субъектов малого и среднего предпринимательства» (показатели II, III, 4, 5)</t>
  </si>
  <si>
    <t xml:space="preserve">П.2.2.1. Дополнительные меры государственной поддержки малого и среднего предпринимательства, а также физических лиц, применяющих специальный налоговый режим «Налог на профессиональный доход» (финансовая поддержка субъектов малого и среднего предпринимательства) </t>
  </si>
  <si>
    <t>П.2.2.1.1 Возмещение части затрат на аренду (субаренду) нежилых помещений</t>
  </si>
  <si>
    <t>П.2.2.1.2 Возмещение части затрат на приобретение нового оборудования (основных средств) и лицензионных программных продуктов</t>
  </si>
  <si>
    <t>П.2.2.1.3 Возмещение части затрат на оплату коммунальных услуг нежилых помещений</t>
  </si>
  <si>
    <t>П.2.2.1.4 Возмещение части затрат, связанных с оплатой жилищно-коммунальных услуг по нежилым помещениям, используемым в целях осуществления предпринимательской деятельности (бюджет города Когалыма сверх доли софинансирования)</t>
  </si>
  <si>
    <t>П.2.2.1.5 Возмещение части затрат на аренду нежилых помещений за счет средств бюджета города Когалыма (сверх доли софинансирования)</t>
  </si>
  <si>
    <t>П.2.2.1.6 Предоставление субсидий на создание и (или) обеспечение деятельности центров молодежного инновационного творчества (сверх доли софинансирования)</t>
  </si>
  <si>
    <t>П.2.2.1.7 Возмещение части затрат на приобретение нового оборудования (основных средств), лицензионных программных продуктов (сверх доли софинансирования)</t>
  </si>
  <si>
    <t>П.2.2.1.8 Грантовая поддержка на развитие предпринимательства (бюджет города Когалыма сверх доли софинансирования)</t>
  </si>
  <si>
    <t>П.2.2.1.9 Грантовая поддержка на развитие молодежного предпринимательства (бюджет города Когалыма сверх доли софинансирования)</t>
  </si>
  <si>
    <t>П.2.2.1.10  Грантовая поддержка социального и креативного предпринимательства (бюджет города Когалыма сверх доли софинансирования)</t>
  </si>
  <si>
    <t>П.2.2.1.11 Возмещение части затрат на обязательную сертификацию произведенной продукции</t>
  </si>
  <si>
    <t xml:space="preserve">2.1. Организация мероприятий по информационно-консультационной поддержке, популяризации и пропаганде предпринимательской деятельности (6) </t>
  </si>
  <si>
    <t>2.1.1. Размещение информационных материалов о проводимых мероприятиях в сфере малого и среднего предпринимательства в  средствах массовой информации (бюджет города Когалыма сверх доли софинансирования)</t>
  </si>
  <si>
    <t>ИТОГО по подпрограмме 2</t>
  </si>
  <si>
    <t>Проектная часть подпрограммы 2</t>
  </si>
  <si>
    <t>Процессная часть подпрограммы 2</t>
  </si>
  <si>
    <t>Проектная часть в целом по муниципальной программе</t>
  </si>
  <si>
    <t xml:space="preserve">«Экологическая безопасность города Когалыма» </t>
  </si>
  <si>
    <t>тыс.рублей</t>
  </si>
  <si>
    <t>Наименование мероприятий  программы</t>
  </si>
  <si>
    <t>План на 2024 год</t>
  </si>
  <si>
    <t>Исполнение,%</t>
  </si>
  <si>
    <t>Подпрограмма 1 «Регулирование качества окружающей среды в городе Когалыма»</t>
  </si>
  <si>
    <t xml:space="preserve">П.1.1. Портфель проектов «Экология», региональный проект «Сохранение уникальных водных объектов» (I, II, III), всего </t>
  </si>
  <si>
    <t>иные источники финансирования</t>
  </si>
  <si>
    <t>П.1.1.1. Выполнение работ по очистке береговой линии от бытового мусора в границах города Когалыма</t>
  </si>
  <si>
    <t>1.1. Предупреждение и ликвидация несанкционированных свалок на территории города Когалыма (IV), всего</t>
  </si>
  <si>
    <t>1.2. Организация и проведение экологически мотивированных культурных мероприятий города Когалыма (III), всего</t>
  </si>
  <si>
    <t>Подпрограмма 2 «Развитие системы обращения с отходами производства и потребления в городе Когалыме»</t>
  </si>
  <si>
    <t>2.1. Обеспечение регулирования деятельности по обращению с отходами производства и потребления в городе Когалыме (V), всего</t>
  </si>
  <si>
    <t>Проектная часть в целом по программе</t>
  </si>
  <si>
    <t>Процессная часть в целом по программе</t>
  </si>
  <si>
    <t xml:space="preserve">Отчет о ходе реализации (сетевой график)  муниципальной программы
«Развитие жилищно-коммунального комплекса в городе Когалыме» </t>
  </si>
  <si>
    <t>Основные мероприятия  программы</t>
  </si>
  <si>
    <t>План на
 2024 год, тыс.руб.</t>
  </si>
  <si>
    <t>Исполнено,%</t>
  </si>
  <si>
    <t>к плану на год</t>
  </si>
  <si>
    <t>Подпрограмма 1. «Содействие проведению капитального ремонта многоквартирных домов»</t>
  </si>
  <si>
    <t>1.1. Обеспечение мероприятий по проведению капитального ремонта многоквартирных домов (2)</t>
  </si>
  <si>
    <t>1.1.1.   Предоставление субсидии на оказание дополнительной помощи при возникновении неотложной необходимости в проведении капитального ремонта общего имущества в многоквартирном доме</t>
  </si>
  <si>
    <t>1.1.2 Предоставление субсидии на долевое финансовое обеспечение проведения капитального ремонта общего имущества в многоквартирных домах, расположенных на территории города Когалыма</t>
  </si>
  <si>
    <t xml:space="preserve">Подпрограмма 2. «Поддержка частных инвестиций в жилищно-коммунальный комплекс и обеспечение безубыточной деятельности организаций коммунального комплекса, осуществляющих регулируемую деятельность в сфере теплоснабжение, водоснабжения, водоотведения».  </t>
  </si>
  <si>
    <t>2.1. Предоставление субсидий на реализацию полномочий в сфере жилищно-коммунального комплекса (1)</t>
  </si>
  <si>
    <t>2.1.1. Предоставление субсидии концессионеру на создание, реконструкцию, модернизацию объектов коммунальной инфраструктуры, в том числе на возмещение понесенных затрат концессионера при выполнении мероприятий, предусмотренных концессионным соглашением</t>
  </si>
  <si>
    <r>
      <t xml:space="preserve">КУМИ Администрации г.Когалыма:
</t>
    </r>
    <r>
      <rPr>
        <sz val="12"/>
        <rFont val="Times New Roman"/>
        <family val="1"/>
        <charset val="204"/>
      </rPr>
      <t>Мероприятие направлено  на создание, реконструкцию, модернизацию объектов коммунальной инфраструктуры города Когалыма, в том числе на возмещение понесенных затрат концессионера при выполнении мероприятий, предусмотренных концессионным соглашением. Субсидия носит заявительный характер.</t>
    </r>
  </si>
  <si>
    <t>3.1. Строительство, реконструкция и капитальный ремонт объектов коммунального комплекса (I)</t>
  </si>
  <si>
    <t xml:space="preserve">Отчет о ходе реализации (сетевой график) муниципальной программы «Развитие транспортной системы города Когалыма» </t>
  </si>
  <si>
    <t>Подпрограмма 1. «Автомобильный транспорт»</t>
  </si>
  <si>
    <t>1.1. Организация пассажирских перевозок автомобильным транспортом общего пользования по городским маршрутам (I)</t>
  </si>
  <si>
    <t>Подпрограмма 2. «Дорожное хозяйство»</t>
  </si>
  <si>
    <t>2.1. Строительство, реконструкция, капитальный ремонт и ремонт автомобильных дорог общего  пользования местного значения (II, 1)</t>
  </si>
  <si>
    <t xml:space="preserve">2.1.1. Ремонт, в том числе капитальный  автомобильных дорог общего пользования местного значения (в том числе проезды и устройство ливневой канализации) </t>
  </si>
  <si>
    <t>2.1.2. Проведение лабораторных исследований материалов, применяемых при ремонте автомобильных дорог, в том числе проведение инженерно-геодезических измерений</t>
  </si>
  <si>
    <t>2.1.4 Капитальный ремонт объекта "Путепровод на км 0+468 автодороги Повховское шоссе в городе Когалыме"</t>
  </si>
  <si>
    <t>2.1.5 Реконструкция участков автомобильных дорог улица Дорожников и улица Романтиков (в том числе ПИР)</t>
  </si>
  <si>
    <t>2.2. Обеспечение функционирования сети автомобильных дорог общего пользования местного значения (3, 4, 5)</t>
  </si>
  <si>
    <t>2.2.1. Содержание и ремонт автомобильных дорог местного значения в границах города Когалыма, в том числе нанесение и восстановление дорожной разметки на проезжей части улиц города</t>
  </si>
  <si>
    <t>2.2.1.1. Выполнение муниципальной работы «Выполнение работ в области использования автомобильных дорог»</t>
  </si>
  <si>
    <t>2.2.1.2. Приобретение специализированной техники для выполнения муниципальной работы «Выполнение работ в области использования автомобильных дорог» (в том числе на условиях лизинга)</t>
  </si>
  <si>
    <t>2.2.2. Техническое обслуживание электрооборудования светофорных объектов (в том числе обеспечение электроэнергией)</t>
  </si>
  <si>
    <t xml:space="preserve">2.2.3. Приобретение, монтаж, ремонт и техническое обслуживание информационных табло </t>
  </si>
  <si>
    <t>2.2.4.  Перенос кабелей светофорного объекта, расположенного на пересечении улиц Мира - Молодежная в подземную канализацию</t>
  </si>
  <si>
    <t>2.3. "Строительство, реконструкция, капитальный ремонт, ремонт сетей наружного освещения автомобильных дорог общего пользования местного значения"</t>
  </si>
  <si>
    <t>2.3.1 Строительство сетей наружного освещения автомобильной дороги по проспекту Нефтяников (от ул.Ноябрьская до путепровода) г.Когалыма</t>
  </si>
  <si>
    <t>Подпрограмма 3. «Безопасность дорожного движения»</t>
  </si>
  <si>
    <t>3.1. Внедрение автоматизированных и роботизированных технологий организации дорожного движения и контроля за соблюдением правил дорожного движения (6)</t>
  </si>
  <si>
    <t>3.1.1. Обеспечение бесперебойного функционирования системы фотовидеофиксации</t>
  </si>
  <si>
    <t xml:space="preserve"> 3.1.2 Монтаж системы автоматической фотовидеофиксации нарушений правил дорожного движения на участке автомобильной дороги от пересечения улицы Дружбы Народов - проспекта Нефтяников до путепровода автодороги Повховское шоссе в городе Когалыме</t>
  </si>
  <si>
    <t xml:space="preserve">Отчет о ходе реализации (сетевой график) муниципальной программы "Формирование комфортной городской среды в городе Когалыме" </t>
  </si>
  <si>
    <t xml:space="preserve">Наименование мероприятий программы </t>
  </si>
  <si>
    <t>План на 2024</t>
  </si>
  <si>
    <t xml:space="preserve">Проектная часть </t>
  </si>
  <si>
    <t>П.1.1.1. Строительство, реконструкция, благоустройство общественных территорий в городе Когалыме (площадей, набережной, улиц, пешеходных зон, скверов, парков, иных территорий), в том числе:</t>
  </si>
  <si>
    <t>П.1.1.1.1. Объект благоустройства "Этнодеревня в городе Когалыме"</t>
  </si>
  <si>
    <t xml:space="preserve">Процессная часть </t>
  </si>
  <si>
    <t>1.1. Благоустройство дворовых территорий в городе Когалыме (3)</t>
  </si>
  <si>
    <t>п.п. 1.2  Основное мероприятие "Создание объектов благоустройства на территории города Когалыма" (4)</t>
  </si>
  <si>
    <t xml:space="preserve">Отчет о ходе реализации (сетевой график) муниципальной программы «Содержание объектов городского хозяйства и инженерной инфраструктуры в городе Когалыме» </t>
  </si>
  <si>
    <t>Основные мероприятия
 муниципальной программы</t>
  </si>
  <si>
    <t>касса</t>
  </si>
  <si>
    <t>1.1.   Содержание объектов благоустройства территории города Когалыма, включая озеленение территории и содержание малых архитектурных форм (I)</t>
  </si>
  <si>
    <t xml:space="preserve">Всего </t>
  </si>
  <si>
    <t>1.1.1. Выполнение муниципальной работы «Уборка территории и аналогичная деятельность»</t>
  </si>
  <si>
    <t>1.1.2. Обеспечение очистки и вывоза снега с территории города, в том числе аренда транспортных средств, в целях вывоза снега с территории города Когалыма сверх муниципального задания, ввиду отсутствия технических возможностей</t>
  </si>
  <si>
    <t>1.1.3. Обустройство и текущее содержание объектов городского хозяйства</t>
  </si>
  <si>
    <t>федерадьный бюджет</t>
  </si>
  <si>
    <t>1.1.4. Ремонт пешеходного моста через реку ИнгуЯгун (Циркуль)</t>
  </si>
  <si>
    <t>1.2. Организация освещения территорий города Когалыма (1)</t>
  </si>
  <si>
    <t>1.2.1. Исполнение обязательств по энергосервисным контрактам по энергосбережению и повышению энергетической эффективности объектов наружного (уличного) освещения города Когалыма</t>
  </si>
  <si>
    <t>1.2.2. Обеспечение наружного освещения территории города Когалыма</t>
  </si>
  <si>
    <t>1.3. Организация ритуальных услуг и содержание мест захоронения (II, 2, 3)</t>
  </si>
  <si>
    <t xml:space="preserve">1.4. Реализация полномочий переданных Администрации города Когалыма в сферах жилищно-оммунального комплекса и городского хозяйства, в рамках осуществления учреждением функций заказчика (5)
</t>
  </si>
  <si>
    <t xml:space="preserve">1.5. Организация мероприятий при осуществлении деятельности по обращению с животными без владельцев (7) </t>
  </si>
  <si>
    <t>1.6. Создание приюта для животных на территории города Когалыма (7)</t>
  </si>
  <si>
    <t>1.7. Архитектурная подсветка улиц, зданий, сооружений и жилых домов, расположенных на территории города Когалыма (9)</t>
  </si>
  <si>
    <t xml:space="preserve">Всего  </t>
  </si>
  <si>
    <t>Комплексный план (сетевой график) по реализации муниципальной программы "Развитие муниципальной службы  в городе Когалыме"</t>
  </si>
  <si>
    <t xml:space="preserve">«Развитие жилищно-коммунального комплекса в городе Когалыме» </t>
  </si>
  <si>
    <t xml:space="preserve">«Развитие транспортной системы города Когалыма» </t>
  </si>
  <si>
    <t xml:space="preserve">«Содержание объектов городского хозяйства и инженерной инфраструктуры в городе Когалыме» </t>
  </si>
  <si>
    <t xml:space="preserve"> «Содействие занятости населения города Когалыма» </t>
  </si>
  <si>
    <t xml:space="preserve"> «Развитие агропромышленного комплекса в городе Когалыме» </t>
  </si>
  <si>
    <t xml:space="preserve"> «Безопасность жизнедеятельности населения города Когалыма» </t>
  </si>
  <si>
    <t xml:space="preserve"> «Управление муниципальным имуществом города Когалыма» </t>
  </si>
  <si>
    <t xml:space="preserve"> «Культурное пространство города Когалыма» </t>
  </si>
  <si>
    <t xml:space="preserve"> «Развитие образования в городе Когалыме» </t>
  </si>
  <si>
    <t xml:space="preserve"> «Управление муниципальными финансами в городе Когалыме» </t>
  </si>
  <si>
    <t xml:space="preserve"> «Социально - экономическое развитие и инвестиции муниципального образования город Когалым» </t>
  </si>
  <si>
    <t xml:space="preserve">«Профилактика правонарушений и обеспечение отдельных прав граждан в городе Когалыме» </t>
  </si>
  <si>
    <t xml:space="preserve">«Укрепление межнационального и межконфессионального согласия, профилактика экстремизма и терроризма в городе Когалыме» </t>
  </si>
  <si>
    <t xml:space="preserve">«Развитие муниципальной службы  в городе Когалыме» </t>
  </si>
  <si>
    <t xml:space="preserve">«Развитие институтов гражданского общества города Когалыма» </t>
  </si>
  <si>
    <t xml:space="preserve">«Развитие физической культуры и спорта в городе Когалыме» </t>
  </si>
  <si>
    <t xml:space="preserve">«Развитие жилищной сферы в городе Когалыме» </t>
  </si>
  <si>
    <t xml:space="preserve">«Формирование комфортной городской среды в городе Когалыме» </t>
  </si>
  <si>
    <t>Конкурс запланирован к проведению в 4 квартале 2024 года</t>
  </si>
  <si>
    <t>0.00</t>
  </si>
  <si>
    <t xml:space="preserve">Председатель Комитета финансов </t>
  </si>
  <si>
    <t>Администрации города Когалыма</t>
  </si>
  <si>
    <t>___________</t>
  </si>
  <si>
    <t>М.Г.Рыбачок</t>
  </si>
  <si>
    <t>Исполнитель : Главный специалист:  Грязнова Е.В. 93-678</t>
  </si>
  <si>
    <t>2.1.3. Реконструкция развязки Восточная (проспект Нефтяников, улица Ноябрьская)</t>
  </si>
  <si>
    <t>Кассовый расход сформировался меньше планового в связи с: образованием листов временной нетрудоспособности, вакантных ставок (плотник, уборщик служебных помещений, уборщик территорий).</t>
  </si>
  <si>
    <r>
      <rPr>
        <b/>
        <sz val="12"/>
        <rFont val="Times New Roman"/>
        <family val="1"/>
        <charset val="204"/>
      </rPr>
      <t>МКУ "УКС и ЖКК г.Когалыма":</t>
    </r>
    <r>
      <rPr>
        <sz val="12"/>
        <rFont val="Times New Roman"/>
        <family val="1"/>
        <charset val="204"/>
      </rPr>
      <t xml:space="preserve">
Заключен МК от 25.12.2023 с АО "ЮТЭК-Когалым" на выполнение работ по оперативному, техническому обслуживанию и текущему ремонту электрооборудования сетей наружного освещения и светофорных объектов города Когалыма на сумму 27 125,2 тыс.руб. (в т.ч. ТО светофорных объектов на сумму 4 675,00 тыс.руб.).
Заключен МК от 29.12.2023 с АО "Газпром энергосбыт Тюмень" на поставку электроэнергии для светофорных объектов города Когалыма на сумму 956,6 тыс.руб.
Оплата работ производится по факту на основании актов снятия показаний приборов учета за электроэнергию и документа о приемке работ по ТО и текущему ремонту светофорных объектов.</t>
    </r>
  </si>
  <si>
    <r>
      <t xml:space="preserve">МКУ "ЕДДС г.Когалыма":
</t>
    </r>
    <r>
      <rPr>
        <sz val="12"/>
        <rFont val="Times New Roman"/>
        <family val="1"/>
        <charset val="204"/>
      </rPr>
      <t>Отклонение сложилось в результате оплаты электрической энергии согласно показаний счетчиков установленных на комплексах фотовидеофиксации города Когалыма</t>
    </r>
  </si>
  <si>
    <t>Цыганкова И.А.</t>
  </si>
  <si>
    <t>тел.93-790</t>
  </si>
  <si>
    <t>Директор МКУ "УКС и ЖКК г.Когалыма"</t>
  </si>
  <si>
    <t>Начальник управления экономики Администрации г.Когалыма</t>
  </si>
  <si>
    <t>Загорская Е.Г.</t>
  </si>
  <si>
    <t>Исполнитель: Мартынова С.В, 
тел. 93785</t>
  </si>
  <si>
    <r>
      <rPr>
        <b/>
        <sz val="12"/>
        <rFont val="Times New Roman"/>
        <family val="1"/>
        <charset val="204"/>
      </rPr>
      <t>МКУ "УКС и ЖКК г.Когалыма":</t>
    </r>
    <r>
      <rPr>
        <sz val="12"/>
        <rFont val="Times New Roman"/>
        <family val="1"/>
        <charset val="204"/>
      </rPr>
      <t xml:space="preserve">
МК от 09.09.2022 №0187300013722000151 с ООО "ГеоПроектГрупп" на выполнение проектно-изыскательских работ по объекту: "Реконструкция участков автомобильных дорог улица Дорожников и улица Романтиков". Работы выполнены и оплачены в полном объеме.</t>
    </r>
  </si>
  <si>
    <r>
      <rPr>
        <b/>
        <sz val="12"/>
        <rFont val="Times New Roman"/>
        <family val="1"/>
        <charset val="204"/>
      </rPr>
      <t>МКУ "УКС и ЖКК г.Когалыма":</t>
    </r>
    <r>
      <rPr>
        <sz val="12"/>
        <rFont val="Times New Roman"/>
        <family val="1"/>
        <charset val="204"/>
      </rPr>
      <t xml:space="preserve">
МК от 29.12.2023 №1273/1-GSM с ПАО "Ростелеком" на оказание услуг подвижной связи (сим-карты на остановочных павильонах) на сумму 201,6 тыс.руб.;
МК от 06.02.2024 №11/2024 с ООО "Умный транспорт" на оказание услуг по запуску ПО "Умный транспорт. Модуль управления табло" для сопровождения электронных указателей расписания движения общественного транспорта на сумму 70,8 тыс.руб.</t>
    </r>
  </si>
  <si>
    <t>2.2.5. Проведение мониторинга дорожного движения на автомобильных дорогах местного значения</t>
  </si>
  <si>
    <t xml:space="preserve">Кадыров И.Р.  </t>
  </si>
  <si>
    <t>Ответственный за составление сетевого графика:</t>
  </si>
  <si>
    <t>Экономия по заработной плате и начислениям на оплату труда (наличие вакансий, листов временной нетрудоспособности).</t>
  </si>
  <si>
    <t xml:space="preserve">Конкурс запланирован к проведению в 4 квартале 2024 года. Премия "Общественное признание" проводится с целью признания заслуг граждан и не имеет денежного выражения. </t>
  </si>
  <si>
    <t>П.1.1. Портфель проектов "Жилье и городская среда", региональный проект "Формирование комфортной городской среды" (I, II, 1, 2)</t>
  </si>
  <si>
    <t>1.5. Мероприятие по приспособлению по решению органа местного самоуправления жилых помещений и общего имущества в многоквартирных домах с учетом потребностей инвалидов</t>
  </si>
  <si>
    <t>В.И. Феоктистов</t>
  </si>
  <si>
    <t>Начальник УИДиРП</t>
  </si>
  <si>
    <t>Исполнитель: Главный специалист ОПРиРП Шамерзоева Т.Ф.
тел.: 93-756</t>
  </si>
  <si>
    <t xml:space="preserve">1.1.4. Реализация мероприятий профориентационной направленности, в том числе в рамках сотрудничества с Пермским научно-исследовательским политехническим университетом </t>
  </si>
  <si>
    <t xml:space="preserve">     Выполняются работы по энергосбережению и повышению энергетической эффективности при эксплуатации объектов наружного (уличного) освещения в городе Когалыме в соответствии с МК от 14.07.2020 №0187300013720000073 на сумму 51 159,4 тыс.руб. 
     Завершение работ по контракту - октябрь 2026 года.</t>
  </si>
  <si>
    <t xml:space="preserve">     На оказание услуг по акарицидной, дезинсекционной (ларвицидной) обработке, барьерной дератизации, а также сбору и утилизации трупов животных на территории города Когалыма заключен муниципальный контракт  от 25.03.2024 №0187300013724000019  с ИП Коневым Виктором Аалексеевичем на сумму 992 167,12 руб. Срок окончания оказания услуг 18.09.2024.</t>
  </si>
  <si>
    <t>В целях реализации мероприятия на отчетную дату ведутся (выполнены) следующие мероприятия:
1. Ведется исполнение муниципального контракта №0187200001721001483 от 14.10.2021 (эл/а) заключенного  с Обществом с ограниченной ответственностью "СИБВИТОСЕРВИС" город Сургут на выполнение проектно-изыскательских и строительно-монтажных работ по объекту:
1.1. Заключено дополнительное соглашение №3 от 22.12.2022, в рамках которого увеличена стоимость проектно-изыскательских работ до 25 239,24 тыс. руб. за счет уменьшения стоимости строительно-монтажных работ и продлены сроки выполнения работ;
1.2. Заключено дополнительное соглашение №4 от 23.12.2022, в рамках которого установлено авансирование по контракту в размере 20,833% от цены контракта, что составляет 312 405,40 тыс. руб.;
1.3. Заключено дополнительное соглашение №6 от 22.06.2023, в рамках которого продлены сроки выполнения проектно-изыскательских работ по 31.08.2023;
1.4. Заключено дополнительное соглашение №7 от 26.07.2023, в рамках которого увеличен размер авансирования по контракту до 46,7538905945082% от цены контракта, что составляет 701 105,65 тыс.  руб. (из них 312 405,40 тыс. руб. за счет лимитов бюджетных обязательств 2022 года, 388 700,25 тыс. руб. за счет лимитов бюджетных обязательств 2023 года);
1.5. Стоимость работ по контракту 1 499 566,43 тыс. руб., из них стоимость проектно-изыскательских работ 25 239,24 тыс. руб.;
1.6. Состав и сроки выполнения работ этапа 1 Контракта: выполнение проектно-изыскательских работ): с даты заключения настоящего контракта по 31 августа 2023 года, в том числе эскизный проект, отчеты по инженерным изысканиям, проектная документация (без смет), положительное заключение государственной экспертизы результатов инженерных изысканий и проектной документации (без смет) по 28.02.2023,
1.7. Состав и сроки выполнения работ этапа 2 Контракта: строительно-монтажные, пусконаладочные работы, поставка оборудования и ввод объекта в эксплуатацию) с момента выполнения первого этапа по 13 февраля 2025 года, в том числе строительно-монтажные, пусконаладочные работы и поставка оборудования по 20 декабря 2024 года;
2. При строительстве объекта применяется экономически эффективная проектная документация повторного применения «Средняя общеобразовательная школа в микрорайоне 32 г. Сургута» шифр 1541-ПИ.00.32;
3. Муниципальным заказчиком перечислен аванс в 2022 году в размере 312 405,40тыс. руб., в 2023 году - 388 700,25 тыс.  руб.;
4. Степень готовности объекта:
4.1 Проектно-изыскательские работы:
- получено положительное заключение государственной экспертизы результатов инженерных изысканий и проектной документации (без смет) №86-1-1-3-091907-2022 от 23.12.2022;
- разработана проектно-сметная документация – 100%;
- получено отрицательное заключение государственной экспертизы о проверке достоверности определения сметной стоимости объекта №86-1-2-2-013819-2024 от 27.03.2024. Требуется повторная ценовая экспертиза после устранения замечаний к сметной документации.
4.2 Строительство объекта - готовность 14%:
- получено разрешение на строительство № RU86–301–726–2023 от 10.01.2023;
- выполнены 100%: подготовительные работы, разработка котлована, свайные работы, фундаменты, бетонирование наружных стен и колонн цокольного этажа;
- ведутся работы: обратная засыпка фундаментов – 94% (10170 м3); бетонирование плиты цокольного перекрытия – 34% (421 м3); устройство щебеночного основания полов подвала – 90% (4500 м3); монтаж опалубки и армирование для цокольного перекрытия – 42% (2100 м2); монтаж тепловых сетей к объекту – 56% (400 м.п.).
5. Выполнение проектно-изыскательских работ по 1 этапу контракта ведется с нарушением сроков выполнения работ подрядной организацией, выставлено четыре претензии об уплате неустойки на общую сумму 2 153 748,85 руб.</t>
  </si>
  <si>
    <t>Неполное освоение плановых ассигнований обусловлено нахождением работника, осуществляющего отдельные гос.полномочия ХМАО-Югры в сфере обращения с ТКО, в отпуске. На время отсутствия данного работника приказ на доплату за исполнение его обязанностей не оформлялся.</t>
  </si>
  <si>
    <t>Подпрограмма 3. «Создание условий для обеспечения качественными коммунальными услугами».</t>
  </si>
  <si>
    <r>
      <rPr>
        <b/>
        <sz val="12"/>
        <rFont val="Times New Roman"/>
        <family val="1"/>
        <charset val="204"/>
      </rPr>
      <t>МКУ "УКС и ЖКК г.Когалыма":</t>
    </r>
    <r>
      <rPr>
        <sz val="12"/>
        <rFont val="Times New Roman"/>
        <family val="1"/>
        <charset val="204"/>
      </rPr>
      <t xml:space="preserve">
Заключен МК от 15.12.2023 №0187300013723000396  с ИП Шахбазовым Фикрет Таха оглы на выполнение работ, связанных с осуществлением регулярных перевозок на сумму 9 633,27 тыс.руб. Период оказания услуг по МК с 01.01.2024 по 31.03.2024.
Заключен МК от 25.03.2024 №0187300013724000021  с ИП Шахбазовым Фикрет Таха оглы на выполнение работ, связанных с осуществлением регулярных перевозок на сумму 30 099,182 тыс.руб. Период оказания услуг по МК с 01.04.2024 по 31.12.2024.</t>
    </r>
  </si>
  <si>
    <t xml:space="preserve">Финансирование ШКОЛЫ + д.САДЫ.    Экономия плановых ассигнований складывается,из за перечисления средств по заключенным соглашениям и фактической потребности учреждений. </t>
  </si>
  <si>
    <t>Март: Неисполнение плановых ассигнований в сумме 203,2 тыс.руб. Мероприятие будет проводиться в мае 2024 г.Заключен договор на изготовление подарочной продукции. Закупка продукции оплачена, оставшиеся ассигнования будут потрачены в мае,  после проведения мероприятия</t>
  </si>
  <si>
    <t>По результатам электронного аукциона ведется процедура заключения муниципального контракта на выполнение проектно-изыскательных работ для реконструкции объекта "Лыжероллерная трасса" в городе Когалыме.</t>
  </si>
  <si>
    <t>1. Муниципальный контракт №0187300013723000018 от 16.03.2023 на выполнение проектно-изыскательских работ на строительство объекта: "Велосипедная дорожка от комплекса зданий по улице Янтарная, дом 10 до автобусной остановки, расположенной в районе улицы Дружбы народов, 41" на сумму 965,47 тыс. руб., срок окончания выполнения работ 07.08.2023, ведется выполнение работ.
2. Муниципальный контракт №0187300013723000267 от 28.08.2023 на выполнение проектно-изыскательских работ на строительство объекта :"Велосипедная дорожка от БУ "Когалымский политехнический колледж" до Лыжной базы в г.Когалым" на сумму 1 884,23 тыс. руб., срок окончания выполнения работ 30.11.2023, ведется выполнение работ.</t>
  </si>
  <si>
    <t xml:space="preserve">Кассовый расход сформировался меньше планового в связи с: образованием листов временной нетрудоспособности, вакантных ставок (уборщик служебных помещений, уборщик территории, маляр, токарь, столяр, электрогазосварщик, подсобный рабочий).        </t>
  </si>
  <si>
    <t>Исполнитель: Харченко Ольга Владимировна
тел. 9 36 49</t>
  </si>
  <si>
    <t xml:space="preserve">Перечисление средств происходит по фактической потребности учреждени, согласно предоставленных счетов по организации питания.  </t>
  </si>
  <si>
    <t>В рамках данного мероприятия предусмотрена компенсация затрат, связанных с выплатой заработной платы, налогов и приобретение оборудования для реализации образовательных программ Частный ДС "Академия детства" и АНО "Город детства". Согласно фактически предоставленных документов.</t>
  </si>
  <si>
    <t>бюджет города Когалыма - софинансирование</t>
  </si>
  <si>
    <t xml:space="preserve">Организация отдыха и оздоровления детей.   ОБ оплата питания в пришкольных лагерях, ОБ приобретение путевок,  МБ  - софинансирование питание. Перечисление средств происходит согласно, фактической потребности.
</t>
  </si>
  <si>
    <t>Лаврентьева А.Н.</t>
  </si>
  <si>
    <t xml:space="preserve">НЕОБХОДИМО ПРОПИСАТЬ ПРИЧИНЫ ОТКЛОНЕНИЙ ПЛАНА НА 1 КВ  ОТ КАССЫ </t>
  </si>
  <si>
    <t>Сложившаяся экономия по заработной плате и начислениям на нее, в связи с наличием больничных листов.</t>
  </si>
  <si>
    <t>Приобретение товара (диск, пленка для ламинирования, картриджи, канц. товары, грамоты,дипломы для награждения, книги для награждения)</t>
  </si>
  <si>
    <t xml:space="preserve"> В январе запланированы денежные средства на сумму 864,9 тыс. руб., израсходовано 691,6 тыс. руб. Остаток на текущую дату в размере 173,3 тыс. руб. в связи с меньшим количеством участников соревнований, фактическими расходами за проживание      В феврале произведена помесячная корректировка планов в связи с потребностью.</t>
  </si>
  <si>
    <t>В феврале запланированны денежные средства на сумму 210,7 тыс.руб., израсходованы денежные средства в размере 17,6 тыс.руб. 
Остаток на текущую дату  в размере 193,1 тыс.руб., из них: 
-на  оплату по договорам ГПХ за февраль в марте месяце в связи с несвоевременным предоставлением табеля рабочего времени;
- мед услуги в связи с фактическими расходами;
-типография  в сязи с не предоставлением платежных документов;
-приобретение канцелярских товаров на стадии заключения договора, выбор поставщика;
-приобретение наградной атрибутики и поощрительных призов для награждения спортсменов согласно фактических расходов</t>
  </si>
  <si>
    <t>всего отклонения</t>
  </si>
  <si>
    <t xml:space="preserve">ПРИЧИНЫ ОТКЛОНЕНИЙ ПЛАНА ОТ КАССЫ, КАКИЕ РАБОТЫ ВЫПОЛНЕНЫ </t>
  </si>
  <si>
    <t>По стостояниюна 01.04.2024 передано на исполнение НКО финансовые средства в размере 1900 тыс. рублей. Финансовые средства на сумму 1741,1 тыс. руб. будут переданы в апреле месяце (конкурсные процедуры проведены, соглашения находятся на подписи)</t>
  </si>
  <si>
    <t>1.1. Дополнительное профессиональное образование муниципальных служащих органов местного самоуправления города Когалыма по приоритетным и иным направлениям деятельности" (1)</t>
  </si>
  <si>
    <t>Неисполнение по заработной плате и начислениям по оплате труда (предоставление листов временной нетрудоспособности, выплаты денежного поощрения по результатам работы за год за фактически отработанное время)</t>
  </si>
  <si>
    <r>
      <t xml:space="preserve"> В январе денежные средства запланированы в сумме 1840,1 тыс.руб., израсходованно в размере 1177,1 тыс.руб., Остаток денежных средств 662,9  сформировался согласно фактически предоставленным документам      В феврале денежные средства запланированы в сумме 1685,25 тыс.руб., израсходованно в размере 1103,78 тыс.руб., Остаток денежных средств 1244,4  сформировался согласно фактически предоставленным документам         </t>
    </r>
    <r>
      <rPr>
        <b/>
        <sz val="9"/>
        <color rgb="FFFF0000"/>
        <rFont val="Times New Roman"/>
        <family val="1"/>
        <charset val="204"/>
      </rPr>
      <t xml:space="preserve">  В марте денежные средства запланированы в сумме 1717,44 тыс. руб., израсходовано в размере 1527,65 тыс. руб., Остаток денежных средств 1434,2 сформировался согласно фактически предоставленным документам.  (Договора заключены в феврале. Денежные средства не освоены в связи с задержкой товара поставщиком( спорт инвентаря,гимнастические маты, экипировка и т.д.)  Оконч. опл. за приобретение основных средств МБ(полусфера, турник и др.)согл.сч.270 от 26.02.2024г.,д.24ДС-35 от 28.02.2024г.            ИП Белых Владимир Сергеевич          
   -Част.оплата за приобретение основных средств МБ(гонг, лонжа)согл.сч.196 от 14.02.2024г.,д.24ДС-25 от 14.02.2024г.           ИП Белых Владимир Сергеевич 
        - Окон.оплата за приобретение основных средств МБ(груша, мешок)согл.сч.11 от 22.03.2024г.,д.24ДС-25 от 08.02.2024г.        Индивидуальный предприниматель Чурбанов Александр Иванович  
  - Окон.оплата за приобретение основных средств МБ(мешок бокс. и др.)согл.сч.14 от 22.03.2024г.,д.24ДС-47 от 21.03.2024г.         Индивидуальный предприниматель Чурбанов Александр Иванович    
</t>
    </r>
  </si>
  <si>
    <t>Исполнитель: Смекалин Д.А.
тел. 93-861</t>
  </si>
  <si>
    <t>С.С.Алексеев</t>
  </si>
  <si>
    <t>Исполнитель: Колесник Елена Николаевна
тел.93-736</t>
  </si>
  <si>
    <t>П.1.1.1. Развитие системы выявления, поддержки, сопровождения и стимулирования одаренных детей в различных сферах деятельности (03 01 11,12)</t>
  </si>
  <si>
    <t xml:space="preserve">1.3.1.1. Иной межбюджетный трансферт, имеющий целевое назначение на обеспечение выплат ежемесячного денежного вознаграждения за классное руководство педагогическим работникам муниципальных образовательных организаций, реализующих образовательные программы начального общего, основного общего и среднего общего образования, в том числе адаптированные основные общеобразовательные программы (03 01 59)
</t>
  </si>
  <si>
    <t>1.3.1.3. Субвенции для обеспечения 
государственных гарантий на получение образования и осуществления переданных органам местного самоуправления муниципальных образований Ханты Мансийского автономного округа - Югры отдельных государственных полномочий в области образования в рамках основного мероприятия "Обеспечение реализации основных и дополнительных общеобразовательных программ в образовательных организациях, расположенных на территории Ханты Мансийского автономного округа – Югры" подпрограммы "Общее образование. Дополнительное образование детей" государственной программы "Развитие образования" * (53,54,55)</t>
  </si>
  <si>
    <t>1.3. Обеспечение доступности качественного общего образования в соответствии с современными требованиями, оснащение материально-технической базы образовательных организаций</t>
  </si>
  <si>
    <t>1.4.1. Организация деятельности лагерей с дневным пребыванием детей, лагерей 
труда и отдыха на базах муниципальных учреждений и организаций. Организация отдыха и оздоровления детей в санаторно оздоровительных учреждениях. Организация отдыха и оздоровления детей в загородных стационарных детских оздоровительных лагерях. Организация пеших походов и экспедиций. Участие в практических 
обучающих семинарах по подготовке и повышению квалификации педагогических кадров (03 01 61,62,63,64,65,69)</t>
  </si>
  <si>
    <t>А.В. Ковальчук</t>
  </si>
  <si>
    <t>Хамадуллина А.О.
93-758</t>
  </si>
  <si>
    <t>В соответсвии с фактически оказанными услугами</t>
  </si>
  <si>
    <r>
      <t xml:space="preserve">МБУ "КСАТ":
</t>
    </r>
    <r>
      <rPr>
        <sz val="12"/>
        <rFont val="Times New Roman"/>
        <family val="1"/>
        <charset val="204"/>
      </rPr>
      <t>Неисполнение субсидии по статье арендная плата 444,27 тыс. руб. за пользование имуществом возникло, в связи с тем, что оплата произведена согласно графика платежей.</t>
    </r>
  </si>
  <si>
    <r>
      <rPr>
        <b/>
        <sz val="12"/>
        <rFont val="Times New Roman"/>
        <family val="1"/>
        <charset val="204"/>
      </rPr>
      <t>МКУ "УКС и ЖКК г.Когалыма":</t>
    </r>
    <r>
      <rPr>
        <sz val="12"/>
        <rFont val="Times New Roman"/>
        <family val="1"/>
        <charset val="204"/>
      </rPr>
      <t xml:space="preserve">
Бюджетные ассигнования перераспределены на мероприятие по ремонту автомобильных дорог (в процессе выполнения работ технологических «окон» потребовалось меньше, чем предусмотрено проектом)</t>
    </r>
  </si>
  <si>
    <r>
      <rPr>
        <b/>
        <sz val="12"/>
        <rFont val="Times New Roman"/>
        <family val="1"/>
        <charset val="204"/>
      </rPr>
      <t>МКУ "УКС и ЖКК г.Когалыма":</t>
    </r>
    <r>
      <rPr>
        <sz val="12"/>
        <rFont val="Times New Roman"/>
        <family val="1"/>
        <charset val="204"/>
      </rPr>
      <t xml:space="preserve">
МК от 08.04.2024 №0187300013724000041 на выполнение работ по монтажу системы автоматической фотовидеофиксации нарушений правил дорожного движения на участке автомобильной дороги от пересечения улицы Дружбы Народов - проспекта Нефтяников до путепровода автодороги Повховское шоссе в городе Когалыме на сумму 2 964,187 тыс.руб.</t>
    </r>
  </si>
  <si>
    <t xml:space="preserve">3.1.2. Организация и проведение городского конкурса среди общеобразовательных организаций на лучшую подготовку граждан РФ к военной службе (03 01 83)
</t>
  </si>
  <si>
    <t>3.1.1. Организация мероприятий 
по развитию духовно -нравственных и 
гражданско-патриотических качеств (03 01 82,81)
молодёжи и детей</t>
  </si>
  <si>
    <t>3.3.1. Финансовое и организационное 
сопровождение по исполнению МАУ «МКЦ «Феникс» муниципального задания, укрепление 
материально-технической базы учреждения 03 01 А1</t>
  </si>
  <si>
    <t xml:space="preserve"> В январе запланированы денежные средства на сумму 130,5,8 тыс. руб., израсходованы денежные средства в размере 28,4 тыс. руб. 
Остаток на текущую дату в размере 102,1 тыс. руб., из них: 
-оплата ГПХ за январь будет произведена в феврале 2024г.
- мед. услуги в связи с фактическими расходами.
В феврале запланированы денежные средства на сумму 1130,4 тыс. руб., израсходованы денежные средства в размере 141,2 тыс. руб. 
Остаток на текущую дату в размере 1091,3 тыс. руб., из них: 
-оплата ГПХ за февраль будет произведена в марте 2024г.
- мед. услуги в связи с фактическими расходами.
-на сумму 224,5 заключен договор на приобретение  кубков и дипломов.денежные средства будут освоены в марте.
 В марте запланированы денежные средства на сумму 242,6, тыс. руб., израсходованы денежные средства в размере 295,3 тыс. руб. 
Остаток на текущую дату в размере 1038,6 тыс. руб., из них: 
-оплата ГПХ за март будет произведена в апреле 2024г.
- мед. услуги в связи с фактическими расходами.
В апреле запланированы денежные средства на сумму 169,0, тыс. руб., израсходованы денежные средства в размере 333,9 тыс. руб. 
Остаток на текущую дату в размере 873,7 тыс. руб., из них: 
-оплата ГПХ за апрель будет произведена в мае 2024г.
- мед. услуги в связи с фактическими расходами.
</t>
  </si>
  <si>
    <t xml:space="preserve"> В январе запланированы денежгые средства на сумму 22467,9 тыс.руб., израсходованы денежные средства в размере 7535,2 тыс.руб. Остаток на текущую дату в размере 14932,7 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водоснабжению, согласно приборов учета
-по уборке снега согласно фактически предоставленным услугам;
-мед. услугам согласно фактически представленным платежным документам
-по физ.охране объектов, в связи с проведением закупочной процедуры ; 
-по налогам и сборам. В феврале запланированы денежгые средства на сумму 15159,5 тыс.руб., израсходованы денежные средства в размере 13602,3 тыс.руб. Остаток на текущую дату в размере 16489,9 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водоснабжению, согласно приборов учета
-по уборке снега согласно фактически предоставленным услугам;
-мед. услугам согласно фактически представленным платежным документам
-по физ.охране объектов, в связи с проведением закупочной процедуры ; 
-по налогам и сборам.    В марте запланированы денежные средства на сумму 14292,7 тыс. руб., израсходованы денежные средства в размере 13188,3 тыс. руб. Остаток на текущую дату в размере 1104,4тыс.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водоснабжению, согласно приборов учета
-по уборке снега согласно фактически предоставленным услугам;
-мед. услугам согласно фактически представленным платежным документам
-по физ. охране объектов, в связи с проведением закупочной процедуры ; 
-по налогам и сборам. 
В апреле запланированы денежные средства на сумму 20075,5 тыс. руб., израсходованы денежные средства в размере 11509,9 тыс. руб. Остаток на текущую дату в размере 26146,3 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водоснабжению, согласно приборов учета
-по уборке снега согласно фактически предоставленным услугам;
-мед. услугам согласно фактически представленным платежным документам
-по физ. охране объектов, в связи с проведением закупочной процедуры ; 
-по налогам и сборам. </t>
  </si>
  <si>
    <t xml:space="preserve"> В январе запланированы денежные средства на сумму 12,8 тыс. руб.
Остаток на текущую дату в размере 12,8 тыс. руб., из них: 
--оплата ГПХ за январь будет произведена в феврале 2024г.
- мед услуги в связи с фактическими расходами;
-приобретение наградной атрибутики и поощрительных призов для награждения спортсменов согласно фактическим расходам
 В марте запланированы денежные средства на сумму 123,7 тыс. руб.
Остаток на текущую дату в размере 118,5 тыс. руб., из них: 
--оплата ГПХ за март будет произведена в апреле 2024г.
- мед услуги в связи с фактическими расходами;
-приобретение наградной атрибутики и поощрительных призов для награждения спортсменов согласно фактическим расходам       В апреле запланированы денежные средства на сумму 12,82 тыс. руб.
Остаток на текущую дату в размере 78,8 тыс. руб., из них: 
--оплата ГПХ за апрель будет произведена в мае 2024г.
- мед услуги в связи с фактическими расходами;
-приобретение наградной атрибутики и поощрительных призов для награждения спортсменов согласно фактическим расходам
</t>
  </si>
  <si>
    <t xml:space="preserve">В марте денежные средства запланированы в сумме 404,8 тыс. руб.,  Договора в стадии согласования. Денежные средства будут освоены в апреле. (Договор  ИП Чурбанов № 24-ДС-62 поставка расходников для картингов.) В апреле денежные средства не запланированы. Сумма 314,8 запланирована на приобретение шин, расходных материалов для картинга и гимнастических ковриков.  Договор по картингу заключен. Оплата будет произведена после поставки. (согласно договора поставка до 20.0.5.2024г.) На приобретение гимнастических ковриков проходит котировка.
</t>
  </si>
  <si>
    <t xml:space="preserve"> В апреле денежные средства запланированы в сумме 1378,05 тыс. руб., израсходовано в размере 1566,40 тыс. руб., Остаток денежных средств 1335,9 сформировался согласно фактически предоставленным документам. (Оплата за услуги оказанные в апреле по медицинскому сопровождению медсестры тренировочного процесса будет произведена в мае, согл. акта окзанных услуг.</t>
  </si>
  <si>
    <t xml:space="preserve">     Заключены муниципальные контракты:
- №0187300013723000407 от 25.12.2023 на выполнение работ по оперативному, тех.обслуживанию и текущему ремонту эл/оборудования сетей НО и светофорных объектов г.Когалыма с АО "ЮТЭК-Когалым" на сумму 27 125,2 тыс.руб.;
- №ЭС1902000062/24 от 29.12.2023 на поставку эл/энергии для наружного освещения г.Когалыма с АО "Газпром энергосбыт Тюмень" на сумму 20 523,8 тыс.руб. 
- №0187300013724000059 от 19.04.2024 на выполнение работ по ремонту(замене) оборудования сетей наружного освещения на территории города Когалыма (ул. Прибалтийская, д.20/1, ул. Дружбы Народов, д. 43) на сумму 785,02 тыс.руб.
     Ежемесячная оплата электроэнергии и ТО сетей НО производятся на основании выставленных счетов и актов оказанных услуг (выполненных работ).</t>
  </si>
  <si>
    <t xml:space="preserve">     На основании постановления Администрации г.Когалыма от 13.02.2024 №295 выделены плановые ассигнования в сумме       6 871,9 тыс.руб., в том числе на архитектурную подсветку путепровода автодороги Повховское шоссе г.Когалыма в сумме      4 109,1 тыс.руб.; на архитектурную подсветку пешеходного моста "Циркуль" в сумме 2 762,8 тыс.руб.
     Заключен МК от 22.04.2024 №0187300013724000064 на выполнение работ по монтажу архитектурной подсветки пешеходного моста через реку Ингу-Ягун по адресу: город Когалым, район Административного здания блока «С» на сумму 699,051 тыс.руб.</t>
  </si>
  <si>
    <t>Остаток денежных средств образовался в связи с больничными листами, изменения графика отпусков, в связи с меньшими затратами на оплату услуг: связи, коммунальных услуг, охранных услуг. Денежные средства будут израсходованы в будущем периоде.</t>
  </si>
  <si>
    <t>4.3.2. Капитальный ремонт здания МАОУ СОШ №7 (03 01 У2)</t>
  </si>
  <si>
    <t xml:space="preserve">Остаток плановых ассигнований сcоставил: 57,75 тыс. руб. в том числе:
1) по местному бюджету - 33,98 тыс. руб. 
-15,83 тыс. руб: оплата труда гражданского персонала (работники приняты не в запланированные даты и отработали не полный месяц) и налоги с заработной платы работников (НДФЛ и страховые взносы будут перечислены в апреле 2024 года (в соответствии со сроками установленными в Налоговом Кодексе РФ));        
- 18,15 тыс. руб. - возмещение работникам, связанных с прохождением первичного медосмотра. Остаток средств в связи с тпрохожденеим первичного медосмотра ранее.
2) по бюджету ХМАО-Югры - 23,77 тыс. руб.: оплата труда гражданского персонала  (работники приняты не в запланированные даты, отработали не полный месяц) и налоги с заработной платы работников (НДФЛ и страховые взносы будут перечислены в апреле 2024 года (в соответствии со сроками установленными в Налоговом Кодексе РФ)).         </t>
  </si>
  <si>
    <t xml:space="preserve">Остаток плановых ассигнований сcоставил: 533,35 тыс. руб. в том числе:
1) по местному бюджету - 533,35 тыс. руб.  (приобретение спец.одежды). В связи с  проведением котировки и поиском наиболее выгодного предложения.
</t>
  </si>
  <si>
    <t xml:space="preserve">Остаток плановых ассигнований сcоставил: 304,24 тыс. рублей, в том числе:
1) по местному бюджету - 304,24 тыс. руб. (налоги с заработной платы работников). НДФЛ и страховые взносы будут перечислены в мае 2024 года (в соответствии со сроками установленными в Налоговом Кодексе РФ).               
 </t>
  </si>
  <si>
    <t>Остаток плановых ассигнований составил: 54,74 тыс. рублей в том числе:
1) по местному бюджету -54,74 тыс. руб. (приобретение мягкого инвентаря и прочих мат.запасов).  В связи с поиском наиболее выгодного предложения.</t>
  </si>
  <si>
    <t>Остаток плановых ассигнований по бюджету автономного округа в сумме 503,42 тыс. рублей возник в связи с тем, что кассовые расходы на связь, комунальные услуги и услуги по техническому обслуживанию оргтехники производились по фактически выставленым поставщиками счетам. Специалистами отдела по труду и занятости: рассмотрено 310 устных и 1 письменное обращений, поступивших от организаций и работников касающихся охраны труда, оплаты труда, занятости, нарушений ТК РФ; подготовлены отчёты и направлены в установленные сроки в Департамент по труду и занятости населения ХМАО-Югры.</t>
  </si>
  <si>
    <t>План на 01.06.2024</t>
  </si>
  <si>
    <t>Профинансировано на 01.06.2024</t>
  </si>
  <si>
    <t>Кассовый расход на 01.06.2024</t>
  </si>
  <si>
    <r>
      <rPr>
        <b/>
        <sz val="12"/>
        <rFont val="Times New Roman"/>
        <family val="1"/>
        <charset val="204"/>
      </rPr>
      <t>МКУ "УКС и ЖКК г.Когалыма":</t>
    </r>
    <r>
      <rPr>
        <sz val="12"/>
        <rFont val="Times New Roman"/>
        <family val="1"/>
        <charset val="204"/>
      </rPr>
      <t xml:space="preserve">
Заключен МК от 08.04.2024 №23/2024 с ООО "ДорГИС"на оказание услуг по проведению мониторинга дорожного движения на автомобильных дорогах местного значения муниципального образования город Когалым на сумму 500,00 тыс.руб.</t>
    </r>
  </si>
  <si>
    <t>2.2.6. Обустройство пешеходных переходов города Когалыма объектами дорожной инфраструктуры</t>
  </si>
  <si>
    <t>МКУ "УКС и ЖКК г.Когалыма", МБУ "КСАТ"</t>
  </si>
  <si>
    <t>1. На основании Постановления Администрации города Когалыма от 23.05.20243 № 986 плановые асигнования в сумме 360,0 тыс.руб. доведены до получателя.</t>
  </si>
  <si>
    <t xml:space="preserve">В 2024 муниципальной программой «Развитие агропромышленного комплекса в городе Когалыме» предусмотрены мероприятия по предоставлению сельскохозяйственным товаропроизводителям субсидий на содержание маточного поголовья сельскохозяйственных животных за счёт субвенций из бюджета ХМАО – Югры, в рамках реализации переданных муниципальным образованиям государственных полномочий по поддержке сельскохозяйственного производства в соответствии с Законом ХМАО – Югры от 16.12.2010 №228-оз «О наделении органов местного самоуправления муниципальных образований Ханты-Мансийского автономного округа - Югры отдельными государственными полномочиями в сфере поддержки сельскохозяйственного производства и деятельности по заготовке и переработке дикоросов». 
Порядками предоставления субсидий на поддержку сельскохозяйственного производства и деятельности по заготовке и переработке дикоросов, утвержденными постановлением Администрации города Когалыма от 15.03.2021 №500 предусмотрены следующие сроки подачи заявок:
- на субсидию на содержание маточного поголовья сельскохозяйственных животных по 06 мая.
заявка от Главы КФХ Шиманского В.М. на предоставление субсидии на содержание маточного поголовья сельскохозяйственных животных (за исключением личных подсобных хозяйств) принята 06.05.2024 г. через АИС «АПК». Список получателей субсидии на содержание маточного поголовья сельскохозяйственных животных за 2024 год утвержден постановлением Администрации города Когалыма №992 от 24 мая 2024.
</t>
  </si>
  <si>
    <t xml:space="preserve"> </t>
  </si>
  <si>
    <t>ПК. 1.1. Реализация инициативного проекта "развитие и популяризация зимних видов спорта в г. Когалыме"</t>
  </si>
  <si>
    <t>3.1.1 Строительство, реконструкция, капитальный ремонт объектов инженерной инфраструктуры на территории города Когалыма (в том числе ПИР)</t>
  </si>
  <si>
    <t>п.п. 3.1.2 «Магистральные инженерные сети водоснабжения и канализации жилых комплексов «Философский камень» и «ЛУКОЙЛ» в городе Когалыме»</t>
  </si>
  <si>
    <t>бюджет Ханты-Мансийского автономного округа - Югры</t>
  </si>
  <si>
    <t>Отклонение сложилось в результате заключения контрактов на меньшую стоимость в результате закупочных процедур по 44 - ФЗ РФ</t>
  </si>
  <si>
    <t>1.1.1.  Организация и проведение конкурса социально значимых проектов среди социально ориентированных некоммерческих организаций города Когалыма</t>
  </si>
  <si>
    <t xml:space="preserve">межбюджетные трансферты  за счет бюджетных ассигнований  резервного фонда  Правительства ХМАО-Югры </t>
  </si>
  <si>
    <t>межбюджетные трансферты  за счет бюджетных ассигнований  резервного фонда  Правительства ХМАО-Югры</t>
  </si>
  <si>
    <t>Март: Неисполнение плановых ассигнований в сумме 203,2. Мероприятие будет проводится в мае 2024 г. Закупка продукции оплачена сейчас, оставшиеся ассигнования будут потрачены в мае, после завершения мероприятия Апрель: остаток ассигнований в сумме 176,0 тыс.руб. Мероприятие будет проводится в мае 2024 года. Май: Исполнение плановых ассигнований в полном объеме</t>
  </si>
  <si>
    <t>Остаток средств в сумме -250,725 т.руб., в т.ч., оплата командировочных расходов -117,225 т.руб.,   приобретение ОС - 18,760 т.руб., прочее приобретение - 10,200 т.руб., сувенирная продукция - 104,540 т.руб. оплата по факту на основании документов на оплату, товарных накладных и акта выполненных работ, средства будут использованы в июне.</t>
  </si>
  <si>
    <t xml:space="preserve"> Денежные средства в мае не запланированы. Сформированный остаток  не освоен в связи с переносом мероприятия на неопределенный срок, согласно письма от Управления Федеральной службы по надзору в сфере защиты прав потребителей и благополучия человека по ХМАО-Югре  от 26.03.2024 №438 "О заболеваемости коревой инфекции в г. Когалыме и дополнительных противоэпидемических мероприятий".</t>
  </si>
  <si>
    <t xml:space="preserve">Отклонение от плана составляет 12752,67 тыс.руб. в том числе:
1. 5210,61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1464,31 тыс.руб.  -неисполнение субсидии по статье начисления на оплату труда возникло в связи с оплатой страховых взносов в июне 2024г.
3. 9,32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4. 1302,22 тыс.руб.-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5. 171,37 тыс. руб. - неисполнение субсидии по статье оплата услуг по содержанию имущества возникла в связи с: 1.   Оплата за  техническое обслуживание контрольных устройств установленных на транспортные средства (Автограф, тахограф, системы мониторинга "ГЛОНАСС") будет произведена, согласно выставленных счетов. 2. Оплата за прохождения технического осмотра, будет произведена по факту оказанных услуг
6. 333,7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произведена по факту оказанных услуг, на основании выставленных документов; 2.  Оказание услуг по охране базы, так как оплата произведена по факту оказанных услуг. 3.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произведена согласно заключенного договора (договор заключен на меньшую стоимость); 4. Оплата за оказание услуг по уборке снега будет произведена по факту выставленных документов к оплате
7. 212,76 тыс.руб.- неисполнение субсидии по статье увеличение стоимости горюче-смазочных материалов оплата произведена по факту оказанных услуг согласно выставленных счетов
8. 1962,13 тыс. руб. – неисполнение субсидии по статье увеличение стоимости прочих оборотных запасов (материалов), в связи : 1. Оплата счетов за приобретение запасных частей  будет произведена по факту поставки товара. 2 Оплата счетов за приобретение шин будет произведена по факту поставки товара.3 Оплата счетов за приобретение материалов для объектов благоустройства, будет произведена по факту поставки товара
9. 25,98 тыс. руб. - неисполнение по статье расходов прочие расходы  оплата налога на имущество будет произведена в феврале, в связи со сдачей декларации в апреле 2024г.
10. 188,64 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а так же в связи с оплатой по факту поставки молока, согласно поданных заявок..
11. 4,43 тыс. руб. неисполнение по статье расходов  пособий за первые три дня временной нетрудоспособности за счет средств работодателя, корректировка платежей  произведена по факту предоставленных документов. 
12. 46,1 тыс.руб.-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13. 20,0 тыс. руб. неисполнение субсидии по статье  расходов на приобретение мягкого инвентаря, оплата будет произведена по факту поставки товара
14. 24,5 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использования оплаты  санаторно-курортных путевок, а так же в связи с оплатой по факту поставки молока, согласно поданных заявок..
15. 1776,60 тыс. руб. неисполнение субсидии по статье  расходов на приобретение основных средств, оплата будет произведена по факту поставки товара
</t>
  </si>
  <si>
    <t xml:space="preserve">     На оказание услуг по очистке и вывозу снегу с территории города Когалыма в 2024-2025 годах заключены МК:
- №0187300013723000349 от 17.10.2023 с ООО "РУСАВТО" на сумму 17 272,25 тыс.руб. Работы выполнены на сумму 8 277,66 тыс.руб. МК расторгнут по соглашению Сторон;
- №0187300013723000351 от 23.10.2023 с ООО "ТФК КИТ" на сумму 14 154,87 тыс.руб.;
- №0187300013723000352 от 23.10.2023 с ООО "ТФК КИТ"на сумму 18 932,41 тыс.руб.;
- №0187300013723000353 от 23.10.2023  с ООО "РУСАВТО" на сумму 14 968,32 тыс.руб. Работы выполнены на сумму 7027,97 тыс.руб. МК расторгнут по соглашению Сторон.
     Работы ведутся. Оплата производится по факту выполненных работ.
     В соответствии с постановлением Администрации г.Когалыма от 22.05.2024 №975 перераспределена экономия плановых ассигнований с ремонта пешеходного моста через реку Ингу-Ягун по адресу: город Когалым, район Административного здания блока «С» в сумме 599,9 тыс.руб.</t>
  </si>
  <si>
    <t xml:space="preserve">     Заключены МК:
- №0187300013723000393 от 15.12.2023 с ИП Сагидовым М.С.  на сумму 1 159,686 тыс.руб. на оказание услуг по содержанию площадок для выгула животных. Период оказания услуг с 01.01.2024 по 31.12.2025.
- №0187300013723000397 от 15.12.2023 с ИП Сагидовым М.С.  на сумму 540,565 тыс.руб. на оказание услуг по содержанию мест (площадок) накопления твердых комунальных отходов. Период оказания услуг с 01.01.2024 по 31.12.2024;
- №7/2024 от 01.02.2024 с ИП Скляр Л.П. на сумму 302,5 тыс.руб.на оказание услуг по содержанию специальных урн (дог-боксов). Период оказания услуг с 01.01.2024 по 31.12.2024;
- №0187300013724000013 от 11.03.2024 на сумму 1 977,23 тыс.руб. с ИП Козер С.А. на выполнение работ по ремонту тротуара от административного здания ООО "АИК" вдоль улицы Мира в г.Когалыме;
- №0187300013724000023 от 26.03.2024 на сумму 708,63 тыс.руб. на выполнение работ по ремонту тротуаров в городе Когалыме;
- №20/2024 от 27.03.2024 с ООО "Экотехсервис"на сумму 594,00 тыс.руб. на оказание услуг по откачке дождевых вод;
- №21/2024 от 28.03.2024 с ИП Никулиной Н.Э. на сумму 391,17 тыс.руб. на поставку флагов;
- №0187300013724000036 от 05.04.2024 с ИП Козер С.А. на сумму 1 396,89 тыс.руб. на выполнение работ по обустройству тротуара от жилого дома по улице Молодежная, дом 26 до жилого дома по улице Ленинградская, дом 8 в городе Когалыме;
- №0187300013724000034 от 15.04.2024 с ООО "Юграпромэнерго" на сумму 6 152,24 тыс.руб. на выполнение работ по ремонту тротуаров в городе Когалыме (вдоль ул. Ленинградская 1, 9,17,19);
- №0187300013724000067 от 02.05.2024 с ООО "АКВАСТРОЙ-СЕРВИС" на выполнение работ по обустройству ливневой канализации в районе детской поликлиники и инфекционного отделения БУ "Когалымской городской больницы" города Когалыма на сумму 1 377,743 тыс.руб.;
- №30/2024 от 02.05.2024 с ООО "Сантехсервис" на оказание услуг по расконсервации и запуску фонтана (ул. Мира) на сумму 71,078 тыс.руб.;
- №ЮЭ86КО1700000345 от 02.05.2024 с АО "Югра-Экология" на оказание услуг по обращению с твердыми коммунальными отходами (общественные территории при проведении меропрятий) на сумму 78,799 тыс.руб.; 
- №0187300013724000093 от 20.05.2024 с ООО "АКВАСТРОЙ-СЕРВИС" на выполнение работ по обустройству ливневой канализации в районе МАОУ "Средняя школа №5" по улице Прибалтийская в городе Когалыме на сумму 698,495 тыс.руб.;
- №37/2024 от 29.05.2024 на разработку проектно-сметной документации системы видеонаблюдения на объекте "Зона отдыха по улице Сибирская в городе Когалыме" на сумму 478,975 руб.;
-№38/2024 от 29.05.2024 на оказание услуг по обслуживанию и консервации фонтана на сумму 547,849 тыс.руб.
     В соответствии с постановлением Администрации г.Когалыма  от 22.05.2024 №975 перераспределена экономия плановых ассигнований на откачку талых вод на территории города Когалыма в сумме 599,5 тыс.руб.
     Неполное освоение бюджетных ассигнований обусловлено сложившейся экономией по итогам заключения муниципальных контрактов на поставку и содержание зимних горок,  а также обслуживание контейнерных площадок для сбора ТКО.</t>
  </si>
  <si>
    <t xml:space="preserve">     В соответствии с МК от 15.12.2023 №119/2023 на сумму 576,312 тыс.руб. ведутся работы по ремонту сетей наружного освещения пешеходного моста через реку Ингу-Ягун по адресу: г.Когалым, район Административного здания блока "С".
     Заключены МК:
- №0187300013724000068 от 02.05.2024 с ИП Бикбовым А.А. на выполнение работ по покраске конструкций Пешеходного моста через реку Ингу-Ягун по адресу: город Когалым, район Административного здания блока "С" на сумму 2 499,999 руб.;
- №0187300013724000069 от 08.05.2024 с ООО "Ягуар" на выполнение работ по ремонту Пешеходного моста через реку Ингу-Ягун по адресу: город Когалым, район Административного здания блока «С» на сумму 7 808,982 руб.      
     В соответствии с постановлением Администрации г.Когалыма  от 22.05.2024 №975 перераспределена экономия плановых ассигнований в сумме 1 199,4 тыс.руб. на вывоз снега и откачку дождевых и талых вод.</t>
  </si>
  <si>
    <t xml:space="preserve">     С ООО "Ритуал" заключены муниципальные контракты с периодом оказания услуг с 01.01.2024 по 31.12.2025:
- №0187300013723000388 от 04.12.2023 на оказание услуг по перевозке умерших с места летального исхода на сумму 2 390,386 тыс.руб.;
- №0187300013723000392 от 15.12.2023 на оказание услуг по содержанию городского кладбища на территории города Когалыма на сумму 2 901,36 тыс.руб.
     На 2024 год с ООО "Ритуал" заключено соглашение №1-32-КО от 09.01.2024 о предоставлении из бюджета г.Когалыма субсидии на возмещение части затрат в связи с оказанием ритуальных услуг на сумму 1 517,24 тыс.руб.
     Оплата производится за фактически оказанные услуги на основании актов.
     Заключен МК №0187300013724000086 от  20.05.2024 на оказание услуг по инвентаризации мест захоронений (кладбищ), расположенных на территории города Когалыма на сумму 388,444 тыс.руб.</t>
  </si>
  <si>
    <t xml:space="preserve">     На оказание услуг по обращению с животными без владельцев на территории г.Когалыма заключены МК с ИП Скляр Л.П.:
     - № 115/2023 от 15.12.2023 (услуги на сумму 582,6 тыс.руб. оказаны в период с 15.12.2023 по 21.01.2024). Услуги по МК выполнены и оплачены в полном объеме.;
     - № 6/2024 от 25.01.2024  на сумму 600,00 тыс.руб. Услуги по МК выполнены и оплачены в полном объеме.
     - №13/2024/13 от 01.03.2024 на сумму 600,00 тыс.руб. Услуги по МК выполнены и оплачены в полном объеме.
     - №26/2024 от 11.04.2024 на сумму 582,59 тыс.руб. 
     Заключены МК с Абабий О.Н. на оказание услуг по подготовке животного к проведению ветеринарных мероприятий с послеоперационным уходом на территории города Когалыма:
      - №8/2024 от 01.02.2024  на сумму 99,9 тыс.руб. Услуги по МК выполнены и оплачены в полном объеме.
     - 13/2024/14 от 01.03.2024 на сумму 99,9 тыс.руб. Услуги по МК выполнены и оплачены в полном объеме.     
     Неполное освоение плановых ассигнований обусловлено несвоевременным предоставлением документов (31.05.2024) на возмещение части затрат в связи с осуществлением деятельности по обращению с животными без владельцев на территории города Когалыма.</t>
  </si>
  <si>
    <t xml:space="preserve">     Заключены МК:
     -№4/2024 от 25.01.2024 на выполнение работ по устройству будок в вольерах с 1го-4й ряд на территории "Приют для животных в городе Когалыме" по адресу: город Когалым, улица Повховское шоссе, 2 на сумму 416,479 тыс.руб.; 
     - №5/2024 от 25.01.2024 на выполнение работ по устройству будок в вольерах с 5го-6й ряд на территории "Приют для животных в городе Когалыме" по адресу: город Когалым, улица Повховское шоссе, 2 на сумму 208,239 тыс.руб.;
     - №24/2024 от 08.04.2024 на выполнение отделочных, сантехнических и электромонтажных работ в сооружениях, находящихся в зоне содержания животных на объекте "Приют для животных в городе Когалыме", расположенном по адресу: город Когалым, улица Повховское шоссе, 2 на сумму 461,812 тыс.руб.
     Работы по МК выполнены и оплачены в полном объеме.
 </t>
  </si>
  <si>
    <t xml:space="preserve">План на 01.06.2024 </t>
  </si>
  <si>
    <t xml:space="preserve">Профинансировано на 01.06.2024 </t>
  </si>
  <si>
    <t xml:space="preserve">Кассовый расход на 01.06.2024  </t>
  </si>
  <si>
    <t>В соответствии в решением Думы г.Когалыма от 17.01.2024 №362-ГД выделены плановые ассигнования в сумме 10,8 тыс.руб. на услуги связи для фотоловушек, в целях выявления с помощью фотофиксации лиц, допустивших несанкционированный сброс отходов в непредназначенных для этого местах, в том числе с автомобильного транспорта.
     В процессе использования фотоловушек выявлена разрядка батарей при низкой температуре воздуха. Контракт на услуги связи для фотоловушек будет заключен при наступлении благоприятных погодных условий.
     Заключен муниципальный контракт №32/2024 от 03.05.2024 с ПАО "Ростелеком" на услуги связи для фотоловушек на сумму 1,89 тыс.руб.</t>
  </si>
  <si>
    <t>п.п 1.1. "Реализация инициативного проэкта "Литературный сквер"</t>
  </si>
  <si>
    <t>п.п. 1.2  Объект "Архитектурная композиция "Термометр", наружное освещение сквера</t>
  </si>
  <si>
    <t>п.п. 1.2  Объект благоустройства "Этностойбище коренных народов ХМАО -Югры "Вонг-Лунг" (лесной дух) в г.Когалыме"</t>
  </si>
  <si>
    <t>15.00</t>
  </si>
  <si>
    <t>п.п. 1.2  Строительство объекта благоустройства "Экотропа в городе Когалыме"</t>
  </si>
  <si>
    <t>п.п. 1.2  Строительство объекта благоустройства "Сквер по Солнечному проезду в городе Когалыме"</t>
  </si>
  <si>
    <t>Муниципальный контракт № 0187300013724000097 от 27.05.2024 г. на выполнение работ по ремонту объектов благоустройства дворовой территории по адресу: город Когалым, улица Степана Повха, дом 16
-цена контракта 8 749,79 тыс.руб.;
-срок выполнения работ: 15.10.2024 г.;
-ведется выполнение работ.</t>
  </si>
  <si>
    <t>3.1.2. Обеспечение деятельности муниципального казенного учреждения «Редакция газеты «Когалымский вестник»</t>
  </si>
  <si>
    <t>окружной бюджет</t>
  </si>
  <si>
    <t>Остаток плана на 01.06.2024г. составляет 55211,18 руб. Услуги связи (фактические расходы на услуги связи (м/г) сложились меньше, чем было запланировано).Приобретение маркированной продукции, канцтоваров (бумага) по факту поставки товара.</t>
  </si>
  <si>
    <t>Заключен муниципальный контракт от 11.03.2024 №0187300013724000011 с ИП Исмаиловым Араз Казанфар оглы на выполнение работ по ремонту участкового пункта полиции, расположенного по адресу: г.Когалым, ул.Дружбы Народов, д.8 на сумму 591 978,93 рублей. 
Работы по контракту выполнены и оплачены в полном объеме.</t>
  </si>
  <si>
    <t>Профинансировано на 01.07.2024</t>
  </si>
  <si>
    <t>План на 01.07.2024</t>
  </si>
  <si>
    <t>Кассовый расход на  01.07.2024</t>
  </si>
  <si>
    <t>1206.11</t>
  </si>
  <si>
    <t>Кассовый расход на 01.07.2024</t>
  </si>
  <si>
    <t xml:space="preserve">Неисполнение плановых ассигнований в размере 2 537,34 тыс. рублей по заработной плате и начислениям на выплаты по оплате труда, в связи с наличием вакансий, предоставлением листов нетрудоспособности </t>
  </si>
  <si>
    <r>
      <rPr>
        <b/>
        <sz val="12"/>
        <rFont val="Times New Roman"/>
        <family val="1"/>
        <charset val="204"/>
      </rPr>
      <t>МКУ "УКС и ЖКК г.Когалыма":</t>
    </r>
    <r>
      <rPr>
        <sz val="12"/>
        <rFont val="Times New Roman"/>
        <family val="1"/>
        <charset val="204"/>
      </rPr>
      <t xml:space="preserve">
На основании приказа КФ от 31.01.2024 №13-О, в соответствии с распоряжением Правительства ХМАО-Югры от 26.01.2024 №21-рп "О Соглашении о сотрудничестве между Правительством ХМАО-Югры и ПАО "ЛУКОЙЛ" на 2024-2028 годы", доведены плановые ассигнования в сумме 54 339,0 тыс.руб. на ремонт автомобильных дорог г.Когалыма, в т.ч.:
- на участок улицы Дружбы Народов (от кольцевого пересечения улиц Дружбы Народов-Береговая до моста через реку Ингуягун на км 2+289 автодороги улица Дружбы Народов), 0,15 км, в сумме 4 716,0 тыс.руб.;
- на участок улицы Повховское шоссе (подходы к Путепроводу), 0,75 км, в сумме 29 670,0 тыс.руб.;
- на участок улицы проспект Нефтяников (поворот на ПТП), 0,27 км, в сумме 6 765,0 тыс.руб.;
- на участок улицы Романтиков (участок от улицы Береговая до улицы Нефтяников), 0,40 км, в сумме 13 188,0 тыс.руб.
Заключен МК от 26.02.2024 №13/2024 на оказание услуг по проведению негосударственной экспертизы проверки достоверности сметной стоимости ремонта автомобильных дорог г.Когалыма на сумму 59,00 тыс.руб. Услуги по МК оказаны и оплачены в полном объеме.
Закючены МК:  
- от 13.05.2024 №0187300013724000073 на выполнение работ по ремонту автомобильных дорог города Когалыма (участок ул. Проспект Нефтяников поворот на ПТП) на сумму 7 324,12 тыс.руб.;
- от 27.05.2024 №35/2024 на оказание услуг по проведению негосударственной экспертизы проверки достоверности сметной стоимости ремонта автомобильных дорог города Когалыма (Шмидта, Бакинская) на сумму 26,0 тыс.руб.;
- от 27.05.2024 №0187300013724000089 на выполнение работ по ремонту автомобильных дорог города Когалыма (участок ул. Романтиков, ул.Береговая до Нефтяников) на сумму 19 418,912 тыс.руб.;
- от 28.05.2024 №0187300013724000099 на выполнение работ по ремонту автомобильных дорог города Когалыма (участок ул.Повховское шоссе (подходы к Путепроводу) на сумму 39 883,29 тыс.руб.
В соответствии с решением Думы г.Когалыма от 19.06.2024 №410-ГД плановые ассигнования:
- в сумме 1 856,8 тыс.руб. перераспределены на п.п.2.2.4.  Перенос кабелей светофорного объекта, расположенного на пересечении улиц Мира - Молодежная в подземную канализацию;
- в сумме 72 927,0 тыс.руб. скорректированы с мероприятия п.п.2.1.3 Реконструкция развязки Восточной (проспект Нефтяников, улица Ноябрьская).</t>
    </r>
  </si>
  <si>
    <r>
      <rPr>
        <b/>
        <sz val="12"/>
        <rFont val="Times New Roman"/>
        <family val="1"/>
        <charset val="204"/>
      </rPr>
      <t>МКУ "УКС и ЖКК г.Когалыма":</t>
    </r>
    <r>
      <rPr>
        <sz val="12"/>
        <rFont val="Times New Roman"/>
        <family val="1"/>
        <charset val="204"/>
      </rPr>
      <t xml:space="preserve">
В соответствии с решением Думы г.Когалыма от 19.06.2024 №410-ГД на данное мероприятие дополнительно перераспределены плановые ассигнования в сумме 767,9 тыс.руб.</t>
    </r>
  </si>
  <si>
    <r>
      <rPr>
        <b/>
        <sz val="12"/>
        <rFont val="Times New Roman"/>
        <family val="1"/>
        <charset val="204"/>
      </rPr>
      <t>МКУ "УКС и ЖКК г.Когалыма":</t>
    </r>
    <r>
      <rPr>
        <sz val="12"/>
        <rFont val="Times New Roman"/>
        <family val="1"/>
        <charset val="204"/>
      </rPr>
      <t xml:space="preserve">
Заключен МК от 04.08.2023 с ООО Строительная Компания «ЮВ и С» на выполнение работ на сумму 366 990,6 тыс.руб. 
Сроки выполнения работ: 1 этап с 04.08.2023 по 16.11.2023; 2 этап с 01.01.2024 по 18.10.2024.
В 2023 году выполнен и оплачен 1 этап на сумму 84 566,83 тыс.руб.
Заключен МК от 02.10.2023 №24-23АН с ООО "Югорский Проектный Институт" на оказание услуг по авторскому надзору по объекту на сумму 737,669 тыс.руб. В 2023 году выполнены и оплачены работы на сумму 169,959 тыс.руб.; в 2024 году на сумму 180,0 тыс.руб. 
На основании приказа КФ от 31.01.2024 №13-О, в соответствии с распоряжением Правительства ХМАО-Югры от 26.01.2024 №21-рп "О Соглашении о сотрудничестве между Правительством ХМАО-Югры и ПАО "ЛУКОЙЛ" на 2024-2028 годы", доведены плановые ассигнования в сумме 156 414,0 тыс.руб.
В соответствии с решением Думы г.Когалыма от 19.06.2024 №410-ГД:
-  скоррректированы плановые ассигнования в сумме 72 927,0 тыс.руб. на мероприятие п.п.2.1.1. Ремонт, в том числе капитальный, автомобильных дорог общего пользования местного значения (в том числе проезды и устройство ливневой канализации);
- выделены плановые ассигнования в сумме 1 227,2 тыс .руб. на оказание услуг по лабораторному сопровождению СМР по объекту Реконструкция развязки Восточной (проспект Нефтяников, улица Ноябрьская).</t>
    </r>
  </si>
  <si>
    <r>
      <t xml:space="preserve">МКУ "УКС и ЖКК г.Когалыма":
</t>
    </r>
    <r>
      <rPr>
        <sz val="12"/>
        <rFont val="Times New Roman"/>
        <family val="1"/>
        <charset val="204"/>
      </rPr>
      <t xml:space="preserve"> В соответствии с постановлением Администрации города Когалыма от 29.05.2024 №1026 перераспределены ПА на установку светофорных объектов в районе лыжной базы "Снежинка" и в районе парка Победы в сумме 2 333,75 тыс.руб., а также на обустройство объектов дорожной инфраструктуры в сумме 1 113,110 тыс.руб. (отв. исполнитель МБУ "КСАТ").
МК от 28.06.2024 №45/2024 на выполнение работ по разработке проекта на перенос кабелей светофорного объекта, расположенного на пересечении улиц Мира-Молодежная в подземную канализацию в городе Когалыме на сумму 275,0 тыс.руб.</t>
    </r>
  </si>
  <si>
    <r>
      <rPr>
        <b/>
        <sz val="12"/>
        <rFont val="Times New Roman"/>
        <family val="1"/>
        <charset val="204"/>
      </rPr>
      <t>МКУ "УКС и ЖКК г.Когалыма":</t>
    </r>
    <r>
      <rPr>
        <sz val="12"/>
        <rFont val="Times New Roman"/>
        <family val="1"/>
        <charset val="204"/>
      </rPr>
      <t xml:space="preserve">
МК от 15.04.2024 №0187300013724000046 на выполнение работ по сторительству сетей наружного освещения автомобильной дороги по проспекту Нефтяников (от улицы Ноябрьская до путепровода) на сумму 3 732,16 тыс.руб.
В соответствии с решением Думы г.Когалыма от 19.06.2024 №410-ГД экономия плановых ассигнований по итогам электронного аукциона в сумме 3 105,1 тыс.руб. перераспределена на другие мероприятия в рамках муниципальных программ города Когалыма.</t>
    </r>
  </si>
  <si>
    <t xml:space="preserve"> 3.1.3. Перенос кабелей системы автоматической фотовидеофиксации нарушений правил дорожного движения города Когалыма в подземную канализацию на улице Мира</t>
  </si>
  <si>
    <r>
      <rPr>
        <b/>
        <sz val="12"/>
        <rFont val="Times New Roman"/>
        <family val="1"/>
        <charset val="204"/>
      </rPr>
      <t>МКУ "УКС и ЖКК г.Когалыма":</t>
    </r>
    <r>
      <rPr>
        <sz val="12"/>
        <rFont val="Times New Roman"/>
        <family val="1"/>
        <charset val="204"/>
      </rPr>
      <t xml:space="preserve">
На основании решения Думы г.Когалыма от 19.06.2024 №410-ГД выделены плановые ассигнования  в сумме 3 922,9 тыс.руб. на перенос кабелей системы автоматической фотовидеофиксации нарушений ПДД г.Когалыма в подземную канализацию на ул.Мира.</t>
    </r>
  </si>
  <si>
    <r>
      <rPr>
        <b/>
        <sz val="12"/>
        <rFont val="Times New Roman"/>
        <family val="1"/>
        <charset val="204"/>
      </rPr>
      <t>МБУ"КСАТ":</t>
    </r>
    <r>
      <rPr>
        <sz val="12"/>
        <rFont val="Times New Roman"/>
        <family val="1"/>
        <charset val="204"/>
      </rPr>
      <t xml:space="preserve">
Отклонение от плана составляет 20 643,35 тыс. руб. в том числе:
1. 8 716,12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2 755,74 тыс. руб.  -неисполнение субсидии по статье начисления на оплату труда возникло в связи с оплатой страховых взносов в июле 2024 г.
3. 30,96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4. 142,33 тыс. 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5. 375,25 тыс. руб. - неисполнение субсидии по статье оплата услуг по содержанию имущества возникла в связи с: 1. Оплата за  техническое обслуживание контрольных устройств установленных на транспортные средства (Автограф, тахограф, системы мониторинга "ГЛОНАСС") будет, согласно выставленных счетов. 2. Оплата за прохождения технического осмотра, будет произведена по факту оказанных услуг
6. 335,19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будет произведена по факту оказанных услуг, на основании выставленных документов; 2.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будет  произведена согласно заключенного договора. 3.  Оказание услуг по охране базы, так как оплата произведена по факту оказанных услуг
7. 209,05 тыс.руб.-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8. 3 913,07 тыс.руб.- неисполнение субсидии по статье увеличение стоимости горюче-смазочных материалов оплата будет произведена по факту оказанных услуг согласно выставленных счетов
9. 2 540,76 тыс. руб. – неисполнение субсидии по статье увеличение стоимости прочих оборотных запасов (материалов), в связи : 1. Приобретение соли, оплата будет  произведена по факту поставки товара. 2. Оплата счетов за приобретение запасных частей  будет произведена по факту поставки товара. 3 Оплата за приобретение шин, будет по факту поставки товара
10. 621,23 тыс. руб. - неисполнение по статье расходов прочие расходы  оплата налога на имущество будет произведена в феврале, в связи со сдачей декларации в мае 2024 г  и транспортного налога (согласно декларации)
11. 33,31тыс. руб. неисполнение по статье расходов  пособий по уходу за ребенком инвалидом, оплата  произведена по факту предоставленных документов
12.  827,45 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использования оплаты  санаторно-курортных путевок, а так же в связи с оплатой по факту поставки молока, согласно поданных заявок..
13. 38,38тыс. руб. неисполнение субсидии по статье  расходов на приобретение мягкого инвентаря, оплата будет произведена по факту поставки товара
14. 7,01 тыс. руб. неисполнение по статье расходов  пособий за первые три дня временной нетрудоспособности за счет средств работодателя, корректировка платежей  произведена по факту предоставленных документов. 
15. 97,5 тыс.руб неисполнение по статье расходов на приобретение основных средств, оплата будет произведена по факту поставки товара.</t>
    </r>
  </si>
  <si>
    <t>Заключно соглашение о предоставление из  бюджета города Когалыма Югорскому фонду капитального ремонта многоквартирных домов субсидии на долевое финансирование обеспечение  проведения капитального ремонта общего имущества в многоквартирных домах, расположенных на территории города Когалыма № 31/МС от 06.05.2024 года;</t>
  </si>
  <si>
    <t>-сумма соглашения: 2 958 026,73</t>
  </si>
  <si>
    <t>-сроки предоставления : с 06.05.2024 по 31.12.2024 г.</t>
  </si>
  <si>
    <t>На отчетную дату ведется исполнение следующих контрактов:
1. Муниципальный контаркт № 5К/2023 от 20.11.2023 на выполнение работ по объекту: "Реконструкция участка ВЛ 35кВ ПП-35кВ "Аэропорт "ПС №35"
-сроки выполнения работ 14.02.2024;
-цена контракта 43 988,590 тыс.руб; в 2023 году перечислен аванс в размере 30% от цены контракта, что составило 13 196,58 тыс.руб;
- срок окончания работ 30.06.2024г. ( Дополнительное соглашение № 3 от 22.05.2024)</t>
  </si>
  <si>
    <t>2. Муниципальный контракт № Т2/23/0013-ДТП от 18.12.2023 на осуществление технологического присоединения к электрическим сетям Этнодеревни в городе Когалыме.
-срок выполнения работ по 25.12.2024;
-цена контракта 8697,74 тыс.руб; по условиям которого произведено авансирование 10%, что составляет 869,774 тыс.руб.
В адрес филиала АО "Россети Тюмень"  направлено письмо от 18.03.2024 №69-Исх-820 о расторжении договора.
 Технологическое присоединение объекта включено в инвестиционную программу АО "ЮТЭК-Региональные сети".</t>
  </si>
  <si>
    <t xml:space="preserve">3. Контракт № 1229-23 от 29.12.2023 (функции заказчика переданы 02.02.2024г.) на выполнение проектно изыскательских работ для строительства объекта: "Котельная по улице Сибирская и магистральные сети теплоснабжения в городе Когалыме"
-срок выполнения работ 30.10.2024 г.;
-цена контракта 22 602,62 тыс.руб;
-ведется выполнение работ.
Неисполнение сетевого графика из-за нарушения сроков выполнения работ и начатой процедуры расторжения договора.
В соответствии с решением Думы города Когалыма от 19.06.2024 №410-ГД:
- выделены плановые ассигнования в размере 107,6 тыс. руб. на технологическое присоединение для электроснабжения объекта: "Котельная по улице Сибирской и магистральные тепловые сети в городе Когалыме" 
-закрыты плановые ассигнования по соглашению с ПАО "Лукойл" в размере 149,46 тыс.руб.
</t>
  </si>
  <si>
    <t>Подведены итоги  электронного аукциона на строительство объекта: "Магистральные инженерные сети водоснабжения и канализации жилых комплексов "Философский камень" и "ЛУКОЙЛ" в городе Когалыме",планируемая  дата зподписания Заказчиком  - 08.07.2024г.</t>
  </si>
  <si>
    <t>п.п 3.1.3 Разработка топливно-энергетического баланса города Когалыма за 2023 год и актуализация прогнозного баланса  до 2030 года</t>
  </si>
  <si>
    <t>В соответствии с решением Думы города Когалыма от 19.06.2024 №410-ГД:
- выделены плановые ассигнования в размере 118,0 тыс. руб. на разработку топливно-энергетического баланса г.Когалыма за 2023 год и на период до 2030 года (письмо от 06.06.2024 №69-Исх-1798).</t>
  </si>
  <si>
    <t>1.Муниципальный контракт №0187300013724000066 от 26.04.2024 на выполнение работ по замене оконных блоков в здании Администрации города Когалыма, расположенном по адресу: город Когалым, улица Дружбы Народов дом 7:
-цена контракта: 2 864,95 тыс.руб;
-срок завершения работ:19.08.2024
2. Муниципальный контракт № 41/2024 от 13.06.2024 на выполнение работ по замене оконных блоков в здании Администрации города Когалыма, расположенном по адресу: город Когалым, улица Дружбы Народов дом 7
-цена контракта: 591,21 тыс.руб;
-срок завершения работ: 12.08.2024.
3. Муниципальный контракт № 42/2024 от 13.06.2024 выполнение работ по замене декоративной панели на оконных блоках в здании Администрации города Когалыма, расположенном по адресу улица Дружбы Народов, 7
-цена контракта: 194,95 тыс.руб;
-срок завершения работ: 12.08.2024.
4. Размещен электронный аукцион на выполнение работ по частичному ремонту кровли здания Администрации города Когалыма, расположенного по адресу: город Когалым, улица Дружбы Народов, дом 7, дата торгов 09.07.2024.
1. Муниципальный контракт №0187300013724000031 от 29.03.2024 на выполнение работ по разработке проектно-сметной документации для выполнения капитального ремонта здания МАУ «Молодёжный комплексный центр «Феникс» в городе Когалыме», расположенного по улице Сибирская, 11:
- цена контракта 2 791,29 тыс.руб.;
- срок завершения работ 29.11.2024 г.;
2. На основании решения Думы города Когалыма от 19.06.2024 № 410-ГД перераспределение экономии
плановых ассигнований, сложившейся по результатам проведения электронного аукциона в размере 1058,9 тыс.руб. - бюджет города Когалыма.
1.Контракт 4/Р от 28.04.2023 на выполнение ремонтных работ:
- цена контракта 99 266,00 тыс. руб.;
- перечислен аванс в сумме 29 779,80 тыс. руб. (30%);
- срок завершения выполнения работ 15.02.2024 г.
- работы выполнены и оплачены в полном объеме.
2. Контракт 14/Р от 05.10.2023 на выполнение  работ по капитальному ремонту комплекса зданий, находящихся в муниципальной собственности, расположенных по адресу: г. Когалым, улица Югорская, 3
-цена контракта 2 976,00 тыс.руб; (произведена оплата за фактически выполненные работы в 2023 году 2 137,97 тыс.руб)
-срок завершения выполненных работ:15.02.2024 г.
-работы выполнены и оплачены в полном объеме.
3. Контракт № 4/Р от 18.06.2024 на выполнение работ по капитальному ремонту комплекса зданий, находящихся в муниципальной собственности, расположенных по адресу: г. Когалым, улица Югорская, 3
- цена контракта50 000,0 тыс. руб.;
- по условиям контракта аванс в сумме 15 000,0 тыс. руб. (30%) - планируемая дата оплаты первая половина июля.
- срок завершения выполнения работ 31.10.2024 г.
1..Муниципальный контракт №16/2024 от 07.03.2024 на выполнение работ по разработке проектной документации на установку коммерческих узлов учёта тепловой энергии на объекте "Комплекс зданий, находящихся в муниципальной собственности" по адресу г. Когалым ул. Янтарная, 10:
- цена контракта 125,99 тыс.руб;
- работы выполнены и оплачены в полном объеме.
2. Муниципальный контракт № 0187300013724000055 от 19.04.2024 на выполнение работ по капитальному ремонту АИТП в комплексе зданий, находящихся в муниципальной собственности по адресу: город Когалым, улица Янтарная, 10;
-цена контракта 6 559,57 тыс.руб;
-начало работ: 17.06.2024
-срок окончания работ: 21.10.2024.
3.  На основании решения Думы города Когалыма от 19.06.2024 № 410-ГД перераспределение экономии
плановых ассигнований, сложившейся по результатам проведения электронного аукциона в размере 13,7 тыс.руб. - бюджет города Когалыма.
1.Муниципальный контракт № 43/2024 от 25.06.2024 на выполнение работ по ремонту жилого помещения, расположенного по адресу: город Когалым, улица Дорожников, дом 2, квартира 22
- цена контракта 435,90 тыс.руб.;
- срок завершения работ 26.08.2024 г.;
2. Размещены электронные аукционны на:
- Выполнение работ по ремонту жилого помещения, находящегося в муниципальной собственности, расположенном по адресу: город Когалым, улица Таллинская, дом 17, квартира 46; дата торгов 05.07.2024.
-Выполнение работ по ремонту жилого помещения, находящегося в муниципальной собственности, расположенном по адресу: город Когалым, улица Привокзальная, дом 3, квартира 14 ; дата торгов 05.07.2024.
-Выполнение работ по ремонту квартир №2, №6, находящихся в муниципальной собственности, расположенных по адресу: город Когалым, улица Олимпийская, дом 3; дата торгов 05.07.2024.
-Выполнение работ по ремонту жилого помещения, находящегося в муниципальной собственности, расположенном по адресу: город Когалым, улица Нефтяников, дом 9, квартира 4; дата торгов: 05.07.2024.
-Выполнение работ по ремонту жилого помещения, находящегося в муниципальной собственности, расположенном по адресу: город Когалым, улица Мира, дом 14, квартира 46 ; дата торгов 05.07.2024.
- Выполнение работ по ремонту жилого помещения, находящегося в муниципальной собственности, расположенном по адресу: город Когалым, улица Ленинградская, дом 17, квартира 50; дата торгов 05.07.2024</t>
  </si>
  <si>
    <t xml:space="preserve">Остаток плана на 01.07.2024г. составляет 7309,08 тыс.руб., в том числе:                                                                                                                                                                                                                                                                                                                          1) 1506,69 тыс.руб. - оплата труда гражданского персонала и начисления на них (выплата премии по итогам работы за 2023 год за фактически отработанное время, наличие вакансий), оплата листа по временной нетрудоспособности за счет работодателя за первые три дня по факту), проезд в отпуск и обратно;
2) 703,78 тыс.руб. - в связи с фактическими расходами на услуги связи;
3) 1116,94 тыс.руб. -  в связи с фактическими расходами на оплату коммунальных услуг согласно показаниям приборов учета;
4) 721,95 тыс.руб. - в связи с фактическими расходами (замена расходных материалов) на оплату услуг: сан-тех.обслуж-ию оборудования и инженерных сетей зданий; ТО и ТР систем вентиляции и кондиционирования воздуха, лифтового оборудования, выполнение работ по ремонту и ТО электрооборудования внутренних инженерных сетей зданий; выполнение работ по ТО и ТР оборудования средств пожарной безопасности зданий, водных диспенсеров;
5) 8,61 тыс.руб. - предоставление права использования системы "Контур-Экстерн", тех.поддержка программного обеспечения "Кибер Бэкап", согласно коммерчеческих предложений заключено на меньшую сумму, чем было запланировано.
6) 489,07 руб. - по факту начисления налога на имущество;
7) 2762,04 руб. - оплата оргтехники по факту поставки товара. </t>
  </si>
  <si>
    <t xml:space="preserve">Отклонение от плана составляет 6588,86тыс.руб. в том числе:
1. 2690,2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683,6 тыс.руб.  -неисполнение субсидии возникло по статье прочие выплаты в связи  оплатой возмещение работникам (сотрудникам) расходов, связанных со служебными командировками по фактической потребности
3.  895,28 тыс.руб.  -неисполнение субсидии по статье начисления на оплату труда возникло в связи с оплатой страховых взносов в июле 2024г.
4.  22,86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5.  40,29 тыс.руб.-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6. 769,46 тыс. руб. - неисполнение субсидии по статье оплата услуг по содержанию имущества возникла в связи с: 1. Оплата за мойку автомобилей произведена согласно выставленных документов. 3. Оплата за прохождение техосмотра, будет произведена согласно выставленных документов. 4 Оплата за техническое обслуживание контрольных устройств установленных на транспортные средства (Автограф, тахограф, системы мониторинга "ГЛОНАСС"), будет произведена согласно выставленных документов. 5. Оплата за вывоз и транспортировку прочих отходов будет произведена по факту оказанных услуг
7.  132,02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произведена по факту оказанных услуг, на основании выставленных документов; 2.  Оказание услуг по охране базы, так как оплата будет произведена по факту оказанных услуг. 3.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будет произведена согласно заключенного договора .4. Оплата за возмещение работникам (сотрудникам) расходов, связанных со служебными командировками по фактической потребности.
8.  204,31 тыс. 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9. 286,2тыс.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а так же в связи с оплатой по факту поставки молока, согласно поданных заявок.
10. 483,13 тыс. руб.- неисполнение субсидии по статье увеличение стоимости горюче-смазочных материалов оплата произведена по факту оказанных услуг согласно выставленных счетов
11.  203,64 тыс. руб. – неисполнение субсидии по статье увеличение стоимости прочих оборотных запасов (материалов), в связи : 1. Оплата счетов за приобретение запасных частей  и шин будет произведена по факту поставки товара
12.  85,44 тыс.руб. неисполнение субсидии по статье  оплата земельного и  транспортного налога, оплата будет произведена согласно декларации
13. 62,85 тыс. руб. неисполнение по статье расходов  пособий по уходу за ребенком инвалидом, оплата  произведена по факту предоставленных документов
14. 29,58 тыс. руб. неисполнение по статье расходов  пособий за первые три дня временной нетрудоспособности за счет средств работодателя, корректировка платежей  произведена по факту предоставленных документов. </t>
  </si>
  <si>
    <t>Оплата б/л за счет работодателя.</t>
  </si>
  <si>
    <t>Компенсация стоимости путевок на санаторно - курортное лечение.</t>
  </si>
  <si>
    <t>Техническое обслуживание ИТКБ. Оказание услуг по поставкам электрической энергии.  Оказание услуг связи по передаче данных ИТКБ.</t>
  </si>
  <si>
    <t xml:space="preserve">1.1.1. Развитие системы выявления, поддержки, сопровождения и стимулирования одаренных 
детей в различных сферах деятельности 03 01 </t>
  </si>
  <si>
    <t>1.3.1.4. Субвенции на выплату компенсации части родительской платы за присмотр и уход за детьми в образовательных организациях, реализующих образовательные программы дошкольного образования в рамках основного мероприятия "Финансовое обеспечение полномочий исполнительного органа государственной власти Ханты-Мансийского автономного округа –Югры по исполнению публичных обязательств перед физическими лицами" подпрограммы "Ресурсное обеспечение в сфере образования, науки и молодежной политики" государственной программы "Развитие образования"  (сады и уо) (020105)</t>
  </si>
  <si>
    <t>1.4.2. Организации культурно досуговой деятельности и совершенствование условий 
для развития сферы молодёжного отдыха, 
массовых видов спорта и туризма, обеспечивающих разумное и полезное 
проведение детьми свободного времени, их 
духовно-нравственное развитие (66,67,68)</t>
  </si>
  <si>
    <t>3.2.1. Организация мероприятий, проектов по повышению уровня потенциала и вовлечению молодёжи в творческую деятельность (91,92)</t>
  </si>
  <si>
    <t xml:space="preserve">3.2.2. Организация мероприятий, проектов по вовлечению молодежи в добровольческую 
деятельность (03 01 93)
</t>
  </si>
  <si>
    <t xml:space="preserve">3.2.4. Субсидии некоммерческим организациям, не являющимся 
государственными (муниципальными), на выполнение функций ресурсного центра поддержки и развития добровольчества в городе Когалыме" (03 01 95)
</t>
  </si>
  <si>
    <t xml:space="preserve">3.3.2. Обеспечение хозяйственного обслуживания и надлежащего состояния учреждения молодежной политики (03 01 А2)
</t>
  </si>
  <si>
    <t>4.1.3. Финансовое и организационно методическое сопровождение по исполнению МАУ «Информационно ресурсный центр города 
Когалыма» муниципального задания на 
оказание муниципальных услуг (выполнение работ), оснащение материально технической базы 
организации (03 01 И3)</t>
  </si>
  <si>
    <t>1.3.1.2. Реализация полномочий органов местного самоуправления в сфере 
общего образования (51,52</t>
  </si>
  <si>
    <t>Муниципальный контракт № 0187300013724000090 от 24.05.2024  на выполнение работ на выполнение работ по строительству объекта благоустройства "Литературный сквер в городе Когалыме" 
-цена контракта 19 001,24 тыс.руб.;
-перечислен аванс в сумме 9 120,54 тыс.руб. (48%)
-срок выполнения работ: 16.08.2024 г.;
-ведется выполнение работ.</t>
  </si>
  <si>
    <t>1. Муниципальный контракт № 12/2024 от 12.02.2024 на выполнение инженерных изысканий для объекта благоустройства "Этностойбище коренных народов ХМАО-Югры "Вонт-Лунг" (лесной дух) в г. Когалыме"
-цена контракта 594,1 тыс.руб.;
-срок выполнения работ: 29.02.2024 г.
-работы выполнены и оплачены в полном объеме.
2. Муниципальный контракт №15/2024 от 07.03.2024 на выполнение работ по разработке проектно-сметной документации на строительство объекта благоустройства "Этностойбище коренных народов ХМАО-Югры "Вонт-Корт" (лесное стойбище) в г. Когалыме:
- цена контракта 597,01 тыс.руб.;
- срок выполнения работ: 31.05.2024 г. 
3.  Муниципальный контракт №36/2024 от 27.05.2024 на оказание услуг по проведению негосударственной экспертизы сметной документации на выполнение работ по устройству этнических сооружений на объекте благоустройства "Этностойбище коренных народов ХМАО-Югры "Вонт-Корт" (Лесное стойбище) в г. Когалыме"
- цена контракта 15,0 тыс.руб.;
- срок выполнения работ: 25.06.2024г.;
-услуги оказаны и оплачены в полном объеме.
4. Муниципальный контракт № 0187300013724000129 от 24.06.2024 на выполнение работ по устройству этнических сооружений на объекте благоустройства «Этностойбище коренных народов ХМАО-Югры «Вонт-Корт» (лесное стойбище) в г. Когалыме»
-цена контракта 13 699,46 тыс.руб.;
-срок выполнения работ: 20.09.2024г.
5. Размещен электронный аукцион на  выполнение работ по строительству объекта благоустройства "Этностойбище коренных народов ХМАО-Югры "Вонт-Корт (лесное стойбище) в городе Когалыме"   дата проведения торгов: 11.07.2024.</t>
  </si>
  <si>
    <t>Финансовая поддержка предоставлена 3 субъектам предпринимательской деятельности. На оставшийся объем финансирования объявлен дополнительный приём заявок (срок приёма с 09.07 по 19.07.2024).</t>
  </si>
  <si>
    <t>17 субъектов предпринимательской деятельности стали получателями финансовой поддержки по данному мероприятию</t>
  </si>
  <si>
    <t>8 субъектов предпринимательской деятельности стали получателями финансовой поддержки по данному мероприятию</t>
  </si>
  <si>
    <t>9 субъектов предпринимательской деятельности стали получателями финансовой поддержки по данному мероприятию</t>
  </si>
  <si>
    <t>16 субъектов предпринимательской деятельности стали получателями финансовой поддержки по данному мероприятию</t>
  </si>
  <si>
    <t>4 субъекта предпринимательской деятельности стали получателями финансовой поддержки по данному мероприятию.
На оставшийся объем финансирования (504 724 руб)  объявлен дополнительный приём заявок (срок приёма с 09.07 по 19.07.2024).</t>
  </si>
  <si>
    <t xml:space="preserve">26.06.2024 комиссией по рассмотрению заявок участников отбора на получение грантов в форме субсидий субъектам МСП принято решение о предоставлении 2-х грантов в размере 500 тыс. рублей каждый для реализацииследующих проектв:
- ИП Богдановой О.В. «Туристический центр «Йети»;
- ИП Дёмина О. Н. «Логопедический центр «Кубик» 
(перечисление денежных средств в июле 2024 года). </t>
  </si>
  <si>
    <t xml:space="preserve">26.06.2024 комиссией по рассмотрению заявок участников отбора на получение грантов в форме субсидий субъектам МСП принято решение о предоставлении 2-х грантов в размере 300 тыс. рублей каждый для реализацииследующих проектв:
- ИП Фаритов Р.Ф. «Проведение интеллектуально-развлекательных игр»;
- ИП Зырянов М. И.
«Прокат детских электромобилей»
(перечисление денежных средств в июле 2024 года). </t>
  </si>
  <si>
    <t xml:space="preserve">26.06.2024 комиссией по рассмотрению заявок участников отбора на получение грантов в форме субсидий субъектам МСП принято решение о предоставлении гранта в размере 600 тыс. рублей для реализации следующего  проека:
- ИП Голуб К.А. «Собственное производство одежды. Создание и реализация бренда в г. Когалыме"
(перечисление денежных средств в июле 2024 года). </t>
  </si>
  <si>
    <t>1 субъект предпринимательской деятельности стал получателем финансовой поддержки по данному мероприятию.
На оставшийся объем финансирования (85 600 руб)  объявлен дополнительный приём заявок (срок приёма с 09.07 по 19.07.2024).</t>
  </si>
  <si>
    <t>1.Муниципальный контракт №0187300013724000020 от 25.03.2024 на выполнение работ по строительству объекта благоустройства "Этнодеревня в городе Когалыме" 3 этап:
- цена контракта 21 952,37 тыс.рублей;
- срок выполнения работ: 01.08.2024 г.
- внесены изменения в существенные условия контракта, в части установления аванса в размере 45% от цены контракта, перечислен аванс в сумме 9 878, 57 тыс.руб. (45%),                                                                                                               2.На основании решения Думы города Когалыма от 19.06.2024 № 410-ГД перераспределения экономии ПА сложившейся по результатам проведения электронного аукциона в сумме - 35,8 тыс.руб.</t>
  </si>
  <si>
    <t xml:space="preserve"> 1. Муниципальный контракт № 117/2023 от 15.12.2023 на поставку и монтаж светильников объекта благоустройства "Литературный сквер в городе Когалыме"
-цена контракта 580,00 тыс.руб; (произведена частичная оплата за фактически поставленные и установленные светильники в размере 348,0 тыс.руб. в 2023 году)
-срок поставки и монтажа:22.12.2023;
-работы выполнены и оплачены в полном объеме.
2. Договор № Т2/24/0007-ДТП от 16.05.2024 на Осуществление технологического присоединения к электрическим сетям (Архитектурная композиция "Термометр").
- цена контракта 43,55 тыс.руб.;  перечислен аванс в сумме 34,84 тыс.руб. (80%), 
- срлк выполнения работ: 01.12.2024 г.
-ведется выполнение работ.
3.На основании решения Думы города Когалыма от 19.06.2024 № 410-ГД выделены ПА, в размере 15536,0 тыс.руб. - средства посоглашению с ПАО "Лукойл"</t>
  </si>
  <si>
    <t>1.Муниципальный контракт № 0187300013724000088 от 24.05.2024 на выполнение проектно-изыскательских работ для строительства объекта благоустройства "Экотропа в городе Когалыме".
- цена контракта: 799,07 тыс.руб.;
- срок выполнения работ: 01.08.2024 г.
- ведется выполнение работ.                                                                                          2.На основании решения Думы города Когалыма от 19.06.2024 № 410-ГД перераспределение экономии ПА, сложившейся по результатам проведения электронного аукциона в сумме - 757,9 тыс.руб.</t>
  </si>
  <si>
    <t xml:space="preserve">Муниципальный контракт № 46/2024 от 28.06.2024 на Выполнение работ по разработке проектно-сметной документации на строительство объекта благоустройства "Сквер по проезду Солнечному в городе  Когалыме"
- цена контракта:595,00  тыс.руб.;
- срок выполнения работ: 31.07.2024 г.
- ведется выполнение работ.                                                                                       </t>
  </si>
  <si>
    <t>Расхождение плановых средств по п.3.1.1. от фактических расходов составляет 144,36 тыс.руб. сложилось ввиду оплаты, согласно счетов по  фактически оказаному объему услуг.</t>
  </si>
  <si>
    <t>Разница фактических расходов по п.4.1.2. от плановых составляет  222,88 тыс.руб.Расхождение фактических расходов  от плановых сложилось по причине неисполнения по заработной плате и начисленниям по оплате труда, в связи с тем что выплаты денежного поощрения по результам работы за год были выплачены за фактически отработанное время. Кроме того,  по причине досрочной уплаты запланированных на 2024 год страховых взносов в декабре 2023 года.</t>
  </si>
  <si>
    <t xml:space="preserve">Расхождение плановых от фактических показателей по пункту 3.1.2.в размере  866,29 тыс.руб. образовалось по  следующим причинам:  - работы сотрудников в режиме неполного рабочего времени (режим неполного рабочего времени, внешнее совместительство) , в  связи с тем, что оплата расходов произведена на основании выставленных счетов-фактур за работы и услуги.                                                                                                                                                                                                                                                                                                                                                                                                                                                                                                                                                                                                                                    </t>
  </si>
  <si>
    <t>Расхождение фактических показателей от запланированных составляет по данному пункту -1012,65 тыс.руб.</t>
  </si>
  <si>
    <r>
      <t xml:space="preserve">          В целях финансового обеспечения затрат на выполнение функций ресурсного центра поддержки НКО в 2024 году из бюджета города Когалыма направлена субсидия  АНО «Ресурсный центр поддержки НКО города Когалыма» . В штате ресурсного центра 5 человек, из них : 2- основных сотрудника (директор и менеджер), 3 - внешних сотрудника – бухгалтер и два специалиста по развитию СО НКО. У трех членов команды опыт в сфере поддержки некоммерческих организаций более трех лет.
Ресурсный центр функционирует на базе "Дома Дружбы" (по адресу пр. Нефтяников 2а), который оснащен всей необходимой мебелью и офисной техникой для полноценной работы и оказания услуг. Предоставляются кабинеты, оборудована коворгинг-зона  для проведения мероприятий.
График работы и вся информация размещена на информационном стенде в здании РЦ и на сайте учреждения https://vk.link/rcnkokgl
            В ходе деятельности  ресурсного центра осуществляются: консультации для НКО по вопросам реализации проектов и участия в мероприятиях (всего по различным направлениям консультаций) запланировано -50 консультаций . Фактически показатели выполнены.Методическое сопровождение участия социально ориентированных некоммерческих организаций, их руководителей, организаторов в конкурсах.Поданы заявки на конкурс президентских грантов КГОО ТБНКО «НУР» и АНО «Ермак». Ожидаются результаты.  Были поданы заявки от АНО «РЦ НКО Когалыма», МОО «Совет Ветеранов» и КГОО ТБНКО «НУР». АНО «Ресурсный центр поддержки НКО» одержал победу в конкурсе для ресурсный центров Югры . Общая сумма проекта более 7 млн рублей. Ведется активное консультирование на конкурс Гранта Губерна-тора Югры.
- 18.01.2024 специалисты РЦ приня+AF23ли участие в вебинаре «Правовой команды» на тему «Изменение состава учредителей НКО: новое в процедуре регистрации в 2024 году» Ссылка на публикацию: https://vk.com/wall-203821726_1282;
- 27.01.2024 специалисты РЦ, совместно с ТГКОО «НУР» организовали и приняли участие в лектории «Информация в век информации: национальный аспект», который провел Ответственный секретарь комиссии по вопросам информационного сопровождения государственной национальной политики Совета при Президенте Российской Федерации по межнациональным отношениям А,Н. Худолеев: Ссылка на пресс-релиз: https://vk.com/wall-203821726_1294
-22.02.2024 Специалисты РЦ организовали и провели открытие Этно-мастерской для молодежи «ЮХ» в Доме Дружбы: Ссылка на пресс-релиз https://vk.com/wall-203821726_1340
-27.02.2024 на базе ресурсного центра прошел День открытых дверей в рамках всемирного дня НКО. Ссылка на пресс-релиз:https://vk.com/wall-203821726_1360
             </t>
    </r>
    <r>
      <rPr>
        <u/>
        <sz val="8"/>
        <rFont val="Times New Roman"/>
        <family val="1"/>
        <charset val="204"/>
      </rPr>
      <t>Реализация образовательного проекта "Школа  актива НКО":   - 30.0</t>
    </r>
    <r>
      <rPr>
        <sz val="8"/>
        <rFont val="Times New Roman"/>
        <family val="1"/>
        <charset val="204"/>
      </rPr>
      <t xml:space="preserve">1.2024  в рамках «Проектной мастерской» Фонда «Центр гражданских и социальных инициатив Югры» с участием спикеров Фонда Дмитириевой М.В. и Шипиловой В. : https://vk.com/wall-203821726_1296
             АНО Ресцрсный центр поддержки НКО осуществляется медиа-продвижение социально ориентированных некоммерческих организаций, деятельности их руководителей и/или членов (участников), гражданских инициатив, социальных практик; создание инфоповодов; информирование социально ориентированных некоммерческих организаций (публикаций, сюжетов, интервью и др. Все ссылки на посты в социальных сетях ресурсного центра (https://vk.link/rcnkokgl /https://vk.com/public203821726) и на официальном сайте: https://рцнкокогалыма.рф/  
Всего в отчетном периоде была размещено публикаций на различных площадках: январь-25, февраль -27 , март-30, апрель- 40, май - 49. 
   За отчетный период  проведены консультации для НКО по вопросам реализации проектов и участия в мероприятиях (март:  15 по телефону, 14 – электронная почта  и мессенджеры). 
       Проведены мероприятия в рамках проекта "Школа актива НКО ":  30.01.2024 с привлечением специалистов  Фонда «Центр гражданских и социальных инициатив», 
07.03.2024 в формате офлайн по ФПГ, с привлечением эксперта А.А.Спасибина и 04.04.2024  по заявочной кампании конкурса Гранта Губернатора Югры, 13.05.2024 Специалисты РЦ провели Школу актива НКО по заявочным кампаниям на конкурсы Гранта Губернатора Югры и ПАО «Лукойл»:
- 02.03.2024 на базе ресурсного центра прошел мастер-класс в рамках проекта Гранта Губернатора Югры «Этно-мастерская для молодежи «Юх».                                                                                             - 06.03.2024 Специалисты РЦ ознакомились с памяткой Правовой команды на тему « Что нужно знать о последствиях признания контрагентов НКО иноагентами» .
- 15.03.2024 Специалисты РЦ приняли участие в консультации Правовой команды на тему: «Ввод и вывод учредителей НКО» : Ссылка на публикацию: https://vk.com/wall-203821726_1338                                                                                    -в  рамках рнализации социально значимого проекта «Правовой аудит в НКО Когалыма» 28.03.2024 Специалисты РЦ провели итоговое мероприятие «Единый день самопроверки НКО».Меропритятие прошло при участии  привлеченных спикеров А.А. Спасибина и AF23М.Н.Миронова.                                                                                                                     
         Поведен обучающий семинар на стартовавшие грантовые конкурсы 2024г – Президентский фонд культурных инициатив и Фонд Президентских грантов. Поданы заявки на ПФКИ КГОО ТБНКО «НУР» и АНО «Ермак». Результаты ожидаются. НА ФПГ были поданы заявки от АНО «РЦ НКО Когалыма», МОО «Совет Ветеранов» и КГОО ТБНКО «НУР». АНО «Ресурсный центр поддержки НКО» одержала победу в конкурсе для ресурсный центров Югры . Общая сумма проекта более 7 млн рублей.
-06.04.2024 Специалисты РЦ провели занятие в Этно-мастерской «ЮХ» . Ссылка на пресс-релиз: https://vk.com/wall-203821726_1455
-08.04.2024 Специалисты РЦ организовали встречу НКО города с Генеральным директором Фонда гражданских и социальных инициатив Югры Д.М. Сафиолиным : Ссылка на публикацию: https://vk.com/wall-203821726_1457, https://vk.com/wall-203821726_1461
-09.04.2024 Специалисты РЦ прослушали вебинар Центра гражданских и социальных инициатив Югры «отчетность  НКО в контролирующие органы» 
- 23-25.04.2024 состоялось участие  во «Всероссийском форуме национального единства» в составе делегации г.Когалыма.                                                                                                                                                                                                               04.05.2024 Специалисты РЦ провели занятие в этно-мастерской «ЮХ», были изготовлены  памятные сувениры к Дню Победы. Ребята приняли участие не только в мастер-классе, но и поучаствовали в патриотической беседе. 
05-08.05.2024 Менеджер РЦ приняла участие во Всероссийском форуме «Пик Возможностей» в Нижнем Новгороде в составе делегации ХМАО-Югры. 
 16.05.2024 Специалисты РЦ ознакомились с материалом от Правовой команды «Чек-лист: 66 контрольных вопросов соблюдения НКО требований законодательства в сфере персональных данных»  
-02.06.2024 Специалисты РЦ приняли участие в Международном дне соседний, организованным ТОС Мечта. Провели выездной мастер-класс этно-мастерской «ЮХ» Ссылка на пресс-релиз: https://vk.com/wall-203821726_1601                                                                                                                                                                                                        -22-28.06.2024 Специалист РЦ Беседин С.Н. приял участие в Форуме уральской молодежи «Утро»: </t>
    </r>
  </si>
  <si>
    <t xml:space="preserve">Предоставление неисключительных прав на использование программного обеспечения по защите информации
«Компонент Device Control программного комплекса «Кибер Протего» (с дополнительной лицензией Компонента Search Server программного комплекса «Кибер Протего» на 116 рабочих мест
</t>
  </si>
  <si>
    <t>,</t>
  </si>
  <si>
    <t>П.3.2.1. Проведение мероприятий по обеспечению деятельности советников директора по воспитанию и взаимодействию с детскими общественными объединениями в образовательных организациях</t>
  </si>
  <si>
    <t xml:space="preserve">ПРИЧИНЫ ОТКЛОНЕНИЙ НЕОБХОДИМО ПРОПИСАТЬ (Неисполнение в связи с изменением порядка финансирования МБТ и перечислением средств  по фактической потребности)       
20,31 тыс. рублей (ФБ)
31,70 тыс. рублей (ОБ)
0,54 тыс. рублей (МБ) </t>
  </si>
  <si>
    <t>Отклонение 15 710,310 тыс. руб., из них: 15 390,0 тыс. руб. - консоли светодиодные, заключены три договора с ООО "Группа компаний "Мегаполис" № 1КТ от 02.05.2024г. на сумму  5 228 762,50 руб., №2 КГ от 03.05.2024г. на сумму 4 944 658,66 руб., № 3КГ от 06.05.2024г. на сумму              5 216 578,38 руб., оплата - по факту поставки; 320,31 тыс. руб. - оплата за приобретение костюмов сценических осуществляется по факту поставки товара.</t>
  </si>
  <si>
    <t>Отклонение 11,476 тыс. руб. - экономия по приобретению призов на мер. "День оленевода" (произведена корректировка типа мероприятия).</t>
  </si>
  <si>
    <t>Отклонение - 649,980 тыс.руб. - в том числе: 75,858 тыс. руб. - командировочные расходы,  81,567 тыс. руб. -экономия по оплате транспортных услуг на мер. Новый год, "Проводы зимы", "День Победы" не предоставлены, 389,420 тыс. руб. - оплата за участие в конкурсах-фестивалях, 102,760 тыс. руб.   - украшения для новогодней ели не приобретались,  0,375 тыс. руб. - документы на потребление электроэнергии Снежного городка предоставлены на меньшую сумму.</t>
  </si>
  <si>
    <t>Отклонение - 9524,944 тыс. руб., в том числе: 6287,626 тыс. руб. - заработная плата, 41,829 тыс. руб. - оплата листка нетрудоспособности за счет средств работодателя, 0,727 тыс. руб. - оплата первичного медосмотра не производилась, 1007,475 тыс. руб. - начисление на выплаты по оплате труда,  63,079 тыс. руб. - услуги связи, 8,107 тыс. руб. - экономия по транспортным услугам, 13,515тыс. руб. - экономия по водопотреблению, 99,261 тыс. руб. - услуги по обращению с ТКО, 72,709 тыс. руб. - уборка снега,  217,239 тыс. руб. - экономия по техническому обслуживанию зданий, 104,202 тыс. руб. - экономия по противопожарному обслуживанию,  24,0 тыс. руб. - сопровождение УРМ, 43,055 тыс. руб. - медосмотр, 34,909тыс. руб. - услуги охраны, 30,000 тыс. руб. - канцтовары, 1,617 тыс. руб. -теплопотребление, 108,281тыс.руб.  - энергоснабжение; 773,200 тыс. руб. - налог на землю, 112,590 тыс руб. - содержание объекта благоустройства Набережная реки Ингу-Ягун., 481,523 тыс. руб. - оплата льготного проезда.</t>
  </si>
  <si>
    <t>Приобретение печатных изданий для комплектования библиотечного фонда 2 069 шт. 982,56т.р. (МБ- 748,76т.р.,ОБ-128,59т.р.ФБ-105,21т.р.)</t>
  </si>
  <si>
    <t xml:space="preserve">Отклонение возникло:
-по оплате труда и начисления - 4431,46т.р (большое количество больничных листов,средства будут освоены на очередной отпуск сотрудников в течение 2024г.)                                                -прочие несоц. выплаты персоналу в денежной форме -2,4т.р. (остаток средств будет освоен в течение 2024г.)                                                                                                                                                                                                - услуги связи -4,93т.р. (в учреждении действует режим экономиии на телефонную связь)                                                                                                                                                                                                                                                                                                                                                                                                                                                                                                                                                                                                                                                                                                                                                                                                                                                                           
-по коммунальным услугам -162,07т.р.(фактические показания счетчиков);
-по работам и услугам по содержанию имущества-170,022т.р. (остаток средств по дог.на тех. обслуживание,содержание,тек. ремонт жил. фонда, также на уборку снега,анализ сточных вод, проектирование, монтаж системы ОПС будут освоены в течение 2024г.)                                                                                                                                                     - прочие работы, услуги- 27,63т.р. (остаток средств на оплату командировочн.расходов, охрану обьекта,спец. оценке усл.труда,производ.контролю,подписке на периодич. издания будет освоен в течение 2024г.р.)                                                                                                                                                                                                                                                                                                                                                                                                                                                                                - социальные компенсации персоналу в натуральной форме - 49,00т.р. (остаток средств будет освоен в течение 2024г.)                                                                                                                         -страхование -0,3т.р. (остаток средств будет освоен в течение 2024г.)                                             -соц. пособия и компенсации персоналу в денежной форме -1,82т.р.  (остаток средств будет освоен в июле 2024г.)                                                                                                                                                                                                                                                                                                                            -увеличение стоимости основных средств -127,56т.р. (остаток средств будет освоен в течение 2024г.)                                                                                                                                                                                                                 - прочие несоциальные выплаты персоналу в натуральной форме - 418,04т.р. (остаток средств будет освоен в течение 2024г. на оплату проезда в отпуск и обратно сотрудн.,а также проезда заочника)                                                                                                                                                                                                                                                                                                                                                                                                                                                                                                                                                                                                                                                                                                                                                                                                                                                                                         </t>
  </si>
  <si>
    <t>Оказание инфоррмационных услуг (Консультант Плюс) 58,25 т.р. (ОБ-43,20т.р.,МБ-15,05т.р.)</t>
  </si>
  <si>
    <t>Подписка на периодические печатные издания 42,70 т.р. (ОБ-36,27т.р.,МБ-6,43т.р.)</t>
  </si>
  <si>
    <t>Услуги связи интернет) 47,50 т.р.(ОБ-33,10т.р.,МБ-14,40 т.р.)</t>
  </si>
  <si>
    <t>Перевод документов в эл. форму 70,00 т.р.(ОБ-59,50т.р.,МБ-10,50 т.р.)</t>
  </si>
  <si>
    <t>Выполнение работ по текущему ремонту уличной библиотеки 331,00 т.р. (ОБ-00,00т.р.,МБ-331,00т.р.)</t>
  </si>
  <si>
    <t>Остаток средств в сумме 0,040 т.руб.-прочее приобретение, средства будут использованы в июле.</t>
  </si>
  <si>
    <t>Остаток средств в сумме 5,902 т.руб.-приобретение ОС,  оплата по факту на основании документов на оплату и товарных накладных, средства будут использованы в июле.</t>
  </si>
  <si>
    <t>Остаток средств в сумме 5 558,160 т.руб., в т.ч.  остаток по  выплате заработной платы и соц.выплат   - 2 441,211 т.р. , начисл. на зар.плату - 1 593,677 т.руб., оплаты за коммунальные услуги по фактическим расходам и показаниям счетчиков- 342,561 т.р.,оплаты за содержание здания по факту предоставленных документов на оплату от поставщика - 374,326т.руб., оплата услуг связи - 46,461 т.руб., оплата б/л за счет ср-в работод - 101,044 т.руб.оплаты налога на имущество - 421,919 т.руб.оплата командировочных расходов - 27,385 т.руб., приобретение ОС - 23,200 т.руб., оплата проезда в отпуск и обратно - 186,376 т.руб.</t>
  </si>
  <si>
    <t>Остаток средств в сумме -1 262,500 т.руб., в т.ч., прочее приобретение, оплата по факту на основании документов на оплату и товарных накладных, средства будут использованы в июле.</t>
  </si>
  <si>
    <t>Расхождение фактических расходов  от плановых по  п.4.1.1. составляет 780,02 ты.руб.  сложилось по причине неисполнения по заработной платы и начисленниям по оплате труда, в связи с тем, что выплаты денежного поощрения по результам работы за год была выплачены за фактически отработанное время и в связи с наличием листов временной нетрудоспособности. Кроме того,  по причине досрочной уплаты запланированных на 2024 год страховых взносов в декабре 2023 года.</t>
  </si>
  <si>
    <t>Расхождение фактических расходов по п.4.1.3. от плановых составляет  999,16 тыс.руб. сложилось по причине неисполнения по заработной платы и начисленниям по оплате труда, в связи с тем, что выплаты денежного поощрения по результам работы  выплачены за фактически отработанное время. Кроме того,  по причине досрочной уплаты запланированных на 2024 год страховых взносов в декабре 2023 года.</t>
  </si>
  <si>
    <t>Отклонение по п. 4.1. составляет 2002,05 тыс.руб.</t>
  </si>
  <si>
    <t xml:space="preserve">В сответсвии с постановлением Администрации города Когалыма от 06.05.2024 №895 </t>
  </si>
  <si>
    <t>Страхование народных дружинников согласно выставленного счета на основании заключенного контракта</t>
  </si>
  <si>
    <t>Сложилась экономия 15,68 тыс.рублей согласно заключенного контракта</t>
  </si>
  <si>
    <t>Сложилась экономия 15,86 тыс.рублей согласно заключенного контракта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</si>
</sst>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_-;\-* #,##0.00_-;_-* &quot;-&quot;??_-;_-@_-"/>
    <numFmt numFmtId="164" formatCode="_-* #,##0.00\ _₽_-;\-* #,##0.00\ _₽_-;_-* &quot;-&quot;??\ _₽_-;_-@_-"/>
    <numFmt numFmtId="165" formatCode="#,##0.0_ ;[Red]\-#,##0.0\ "/>
    <numFmt numFmtId="166" formatCode="#,##0_ ;[Red]\-#,##0\ "/>
    <numFmt numFmtId="167" formatCode="#,##0.000\ _₽"/>
    <numFmt numFmtId="168" formatCode="#,##0.00\ _₽"/>
    <numFmt numFmtId="169" formatCode="#,##0.00_ ;[Red]\-#,##0.00\ "/>
    <numFmt numFmtId="170" formatCode="_(* #,##0.00_);_(* \(#,##0.00\);_(* &quot;-&quot;??_);_(@_)"/>
    <numFmt numFmtId="171" formatCode="#,##0.0"/>
    <numFmt numFmtId="172" formatCode="#,##0.00_р_."/>
    <numFmt numFmtId="173" formatCode="0.0%"/>
    <numFmt numFmtId="174" formatCode="#,##0.00_ ;\-#,##0.00\ "/>
    <numFmt numFmtId="175" formatCode="0.000"/>
    <numFmt numFmtId="176" formatCode="0.0"/>
    <numFmt numFmtId="177" formatCode="#,##0.000"/>
    <numFmt numFmtId="178" formatCode="_(* #,##0.000_);_(* \(#,##0.000\);_(* &quot;-&quot;??_);_(@_)"/>
  </numFmts>
  <fonts count="88"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b/>
      <sz val="14"/>
      <name val="Times New Roman"/>
      <family val="1"/>
      <charset val="204"/>
    </font>
    <font>
      <sz val="14"/>
      <name val="Times New Roman"/>
      <family val="1"/>
      <charset val="204"/>
    </font>
    <font>
      <sz val="14"/>
      <color rgb="FFFF0000"/>
      <name val="Times New Roman"/>
      <family val="1"/>
      <charset val="204"/>
    </font>
    <font>
      <sz val="10"/>
      <name val="Arial"/>
      <family val="2"/>
      <charset val="204"/>
    </font>
    <font>
      <sz val="14"/>
      <color theme="1"/>
      <name val="Times New Roman"/>
      <family val="1"/>
      <charset val="204"/>
    </font>
    <font>
      <sz val="12"/>
      <name val="Times New Roman"/>
      <family val="1"/>
      <charset val="204"/>
    </font>
    <font>
      <sz val="11"/>
      <color rgb="FFFF0000"/>
      <name val="Calibri"/>
      <family val="2"/>
      <scheme val="minor"/>
    </font>
    <font>
      <sz val="11"/>
      <name val="Calibri"/>
      <family val="2"/>
      <scheme val="minor"/>
    </font>
    <font>
      <b/>
      <sz val="14"/>
      <color rgb="FFFF0000"/>
      <name val="Times New Roman"/>
      <family val="1"/>
      <charset val="204"/>
    </font>
    <font>
      <i/>
      <sz val="14"/>
      <name val="Times New Roman"/>
      <family val="1"/>
      <charset val="204"/>
    </font>
    <font>
      <b/>
      <sz val="11"/>
      <color theme="1"/>
      <name val="Calibri"/>
      <family val="2"/>
      <charset val="204"/>
      <scheme val="minor"/>
    </font>
    <font>
      <b/>
      <sz val="14"/>
      <color theme="1"/>
      <name val="Times New Roman"/>
      <family val="1"/>
      <charset val="204"/>
    </font>
    <font>
      <sz val="18"/>
      <name val="Times New Roman"/>
      <family val="1"/>
      <charset val="204"/>
    </font>
    <font>
      <b/>
      <sz val="16"/>
      <name val="Times New Roman"/>
      <family val="1"/>
      <charset val="204"/>
    </font>
    <font>
      <sz val="16"/>
      <name val="Times New Roman"/>
      <family val="1"/>
      <charset val="204"/>
    </font>
    <font>
      <b/>
      <sz val="9"/>
      <name val="Times New Roman"/>
      <family val="1"/>
      <charset val="204"/>
    </font>
    <font>
      <b/>
      <sz val="13"/>
      <name val="Times New Roman"/>
      <family val="1"/>
      <charset val="204"/>
    </font>
    <font>
      <b/>
      <sz val="11"/>
      <name val="Calibri"/>
      <family val="2"/>
      <scheme val="minor"/>
    </font>
    <font>
      <sz val="13"/>
      <name val="Times New Roman"/>
      <family val="1"/>
      <charset val="204"/>
    </font>
    <font>
      <sz val="9"/>
      <name val="Times New Roman"/>
      <family val="1"/>
      <charset val="204"/>
    </font>
    <font>
      <b/>
      <sz val="12"/>
      <name val="Times New Roman"/>
      <family val="1"/>
      <charset val="204"/>
    </font>
    <font>
      <b/>
      <sz val="8"/>
      <name val="Times New Roman"/>
      <family val="1"/>
      <charset val="204"/>
    </font>
    <font>
      <sz val="12"/>
      <color rgb="FFFF0000"/>
      <name val="Times New Roman"/>
      <family val="1"/>
      <charset val="204"/>
    </font>
    <font>
      <sz val="16"/>
      <color rgb="FFFF0000"/>
      <name val="Times New Roman"/>
      <family val="1"/>
      <charset val="204"/>
    </font>
    <font>
      <b/>
      <sz val="16"/>
      <color rgb="FFFF0000"/>
      <name val="Times New Roman"/>
      <family val="1"/>
      <charset val="204"/>
    </font>
    <font>
      <b/>
      <sz val="20"/>
      <name val="Times New Roman"/>
      <family val="1"/>
      <charset val="204"/>
    </font>
    <font>
      <b/>
      <sz val="18"/>
      <name val="Times New Roman"/>
      <family val="1"/>
      <charset val="204"/>
    </font>
    <font>
      <sz val="11"/>
      <name val="Times New Roman"/>
      <family val="1"/>
      <charset val="204"/>
    </font>
    <font>
      <sz val="10"/>
      <name val="Times New Roman"/>
      <family val="1"/>
      <charset val="204"/>
    </font>
    <font>
      <sz val="13"/>
      <color rgb="FFFF0000"/>
      <name val="Times New Roman"/>
      <family val="1"/>
      <charset val="204"/>
    </font>
    <font>
      <b/>
      <sz val="12"/>
      <color indexed="8"/>
      <name val="Times New Roman"/>
      <family val="1"/>
      <charset val="204"/>
    </font>
    <font>
      <sz val="12"/>
      <color indexed="8"/>
      <name val="Times New Roman"/>
      <family val="1"/>
      <charset val="204"/>
    </font>
    <font>
      <sz val="12"/>
      <color theme="1"/>
      <name val="Times New Roman"/>
      <family val="1"/>
      <charset val="204"/>
    </font>
    <font>
      <b/>
      <sz val="12"/>
      <color rgb="FFFF0000"/>
      <name val="Times New Roman"/>
      <family val="1"/>
      <charset val="204"/>
    </font>
    <font>
      <sz val="12"/>
      <color rgb="FFFF0000"/>
      <name val="Calibri"/>
      <family val="2"/>
      <charset val="204"/>
      <scheme val="minor"/>
    </font>
    <font>
      <b/>
      <sz val="12"/>
      <color rgb="FFFF0000"/>
      <name val="Calibri"/>
      <family val="2"/>
      <charset val="204"/>
      <scheme val="minor"/>
    </font>
    <font>
      <sz val="12"/>
      <color theme="1"/>
      <name val="Calibri"/>
      <family val="2"/>
      <charset val="204"/>
      <scheme val="minor"/>
    </font>
    <font>
      <sz val="12"/>
      <name val="Calibri"/>
      <family val="2"/>
      <charset val="204"/>
      <scheme val="minor"/>
    </font>
    <font>
      <i/>
      <sz val="12"/>
      <name val="Times New Roman"/>
      <family val="1"/>
      <charset val="204"/>
    </font>
    <font>
      <sz val="11"/>
      <name val="Calibri"/>
      <family val="2"/>
      <charset val="204"/>
      <scheme val="minor"/>
    </font>
    <font>
      <u/>
      <sz val="11"/>
      <color theme="10"/>
      <name val="Calibri"/>
      <family val="2"/>
      <scheme val="minor"/>
    </font>
    <font>
      <u/>
      <sz val="14"/>
      <name val="Times New Roman"/>
      <family val="1"/>
      <charset val="204"/>
    </font>
    <font>
      <sz val="12"/>
      <color theme="0"/>
      <name val="Times New Roman"/>
      <family val="1"/>
      <charset val="204"/>
    </font>
    <font>
      <sz val="8"/>
      <name val="Times New Roman"/>
      <family val="1"/>
      <charset val="204"/>
    </font>
    <font>
      <sz val="13"/>
      <color theme="1"/>
      <name val="Times New Roman"/>
      <family val="1"/>
      <charset val="204"/>
    </font>
    <font>
      <sz val="16"/>
      <color rgb="FFFF0000"/>
      <name val="Calibri"/>
      <family val="2"/>
      <scheme val="minor"/>
    </font>
    <font>
      <b/>
      <sz val="16"/>
      <color rgb="FFFF0000"/>
      <name val="Calibri"/>
      <family val="2"/>
      <charset val="204"/>
      <scheme val="minor"/>
    </font>
    <font>
      <sz val="11"/>
      <color theme="1"/>
      <name val="Times New Roman"/>
      <family val="1"/>
      <charset val="204"/>
    </font>
    <font>
      <sz val="8"/>
      <color theme="1"/>
      <name val="Times New Roman"/>
      <family val="1"/>
      <charset val="204"/>
    </font>
    <font>
      <sz val="14"/>
      <color theme="1"/>
      <name val="Times New Roman"/>
      <family val="1"/>
      <charset val="204"/>
    </font>
    <font>
      <u/>
      <sz val="8"/>
      <name val="Times New Roman"/>
      <family val="1"/>
      <charset val="204"/>
    </font>
    <font>
      <b/>
      <sz val="14"/>
      <color rgb="FF7030A0"/>
      <name val="Times New Roman"/>
      <family val="1"/>
      <charset val="204"/>
    </font>
    <font>
      <sz val="14"/>
      <color theme="1"/>
      <name val="Calibri"/>
      <family val="2"/>
      <scheme val="minor"/>
    </font>
    <font>
      <sz val="13"/>
      <name val="Times New Roman"/>
      <family val="1"/>
      <charset val="204"/>
    </font>
    <font>
      <sz val="8"/>
      <color theme="1"/>
      <name val="Times New Roman"/>
      <family val="1"/>
      <charset val="204"/>
    </font>
    <font>
      <sz val="14"/>
      <color rgb="FFC00000"/>
      <name val="Times New Roman"/>
      <family val="1"/>
      <charset val="204"/>
    </font>
    <font>
      <b/>
      <sz val="14"/>
      <color rgb="FFC00000"/>
      <name val="Times New Roman"/>
      <family val="1"/>
      <charset val="204"/>
    </font>
    <font>
      <b/>
      <sz val="12"/>
      <color rgb="FFC00000"/>
      <name val="Times New Roman"/>
      <family val="1"/>
      <charset val="204"/>
    </font>
    <font>
      <b/>
      <sz val="14"/>
      <color rgb="FFFF0000"/>
      <name val="Calibri"/>
      <family val="2"/>
      <charset val="204"/>
      <scheme val="minor"/>
    </font>
    <font>
      <sz val="18"/>
      <color theme="1"/>
      <name val="Calibri"/>
      <family val="2"/>
      <scheme val="minor"/>
    </font>
    <font>
      <sz val="16"/>
      <color theme="1"/>
      <name val="Calibri"/>
      <family val="2"/>
      <charset val="204"/>
      <scheme val="minor"/>
    </font>
    <font>
      <sz val="14"/>
      <name val="Calibri"/>
      <family val="2"/>
      <charset val="204"/>
      <scheme val="minor"/>
    </font>
    <font>
      <sz val="12"/>
      <color theme="1"/>
      <name val="Calibri"/>
      <family val="2"/>
      <scheme val="minor"/>
    </font>
    <font>
      <sz val="9"/>
      <color theme="1"/>
      <name val="Times New Roman"/>
      <family val="1"/>
      <charset val="204"/>
    </font>
    <font>
      <sz val="18"/>
      <color theme="1"/>
      <name val="Times New Roman"/>
      <family val="1"/>
      <charset val="204"/>
    </font>
    <font>
      <b/>
      <sz val="9"/>
      <color rgb="FFFF0000"/>
      <name val="Times New Roman"/>
      <family val="1"/>
      <charset val="204"/>
    </font>
    <font>
      <b/>
      <sz val="15"/>
      <color rgb="FF7030A0"/>
      <name val="Times New Roman"/>
      <family val="1"/>
      <charset val="204"/>
    </font>
    <font>
      <b/>
      <sz val="15"/>
      <color rgb="FF7030A0"/>
      <name val="Calibri"/>
      <family val="2"/>
      <scheme val="minor"/>
    </font>
    <font>
      <sz val="14"/>
      <name val="Times New Roman"/>
      <family val="1"/>
      <charset val="204"/>
    </font>
    <font>
      <sz val="11"/>
      <color theme="1"/>
      <name val="Times New Roman"/>
      <family val="1"/>
      <charset val="204"/>
    </font>
    <font>
      <i/>
      <sz val="14"/>
      <color theme="1"/>
      <name val="Times New Roman"/>
      <family val="1"/>
      <charset val="204"/>
    </font>
    <font>
      <sz val="14"/>
      <color theme="1"/>
      <name val="Times New Roman"/>
      <family val="1"/>
      <charset val="204"/>
    </font>
    <font>
      <sz val="14"/>
      <name val="Times New Roman"/>
      <family val="1"/>
      <charset val="204"/>
    </font>
    <font>
      <sz val="20"/>
      <name val="Calibri"/>
      <family val="2"/>
      <scheme val="minor"/>
    </font>
    <font>
      <sz val="14"/>
      <name val="Times New Roman"/>
      <family val="1"/>
      <charset val="204"/>
    </font>
    <font>
      <sz val="10"/>
      <name val="Arial"/>
      <family val="2"/>
      <charset val="204"/>
    </font>
    <font>
      <sz val="12"/>
      <name val="Times New Roman"/>
      <family val="1"/>
      <charset val="204"/>
    </font>
    <font>
      <sz val="14"/>
      <color theme="1"/>
      <name val="Times New Roman"/>
      <family val="1"/>
      <charset val="204"/>
    </font>
    <font>
      <sz val="9"/>
      <color indexed="81"/>
      <name val="Tahoma"/>
      <family val="2"/>
      <charset val="204"/>
    </font>
    <font>
      <b/>
      <sz val="9"/>
      <color indexed="81"/>
      <name val="Tahoma"/>
      <family val="2"/>
      <charset val="204"/>
    </font>
  </fonts>
  <fills count="27">
    <fill>
      <patternFill patternType="none"/>
    </fill>
    <fill>
      <patternFill patternType="gray125"/>
    </fill>
    <fill>
      <patternFill patternType="solid">
        <fgColor theme="2"/>
        <bgColor indexed="64"/>
      </patternFill>
    </fill>
    <fill>
      <patternFill patternType="solid">
        <fgColor theme="2" tint="-0.249977111117893"/>
        <bgColor indexed="64"/>
      </patternFill>
    </fill>
    <fill>
      <patternFill patternType="solid">
        <fgColor rgb="FFFFFF00"/>
        <bgColor indexed="64"/>
      </patternFill>
    </fill>
    <fill>
      <patternFill patternType="solid">
        <fgColor theme="2" tint="-0.49998474074526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ABF3CC"/>
        <bgColor indexed="64"/>
      </patternFill>
    </fill>
    <fill>
      <patternFill patternType="solid">
        <fgColor rgb="FF66FFCC"/>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rgb="FF92D050"/>
        <bgColor indexed="64"/>
      </patternFill>
    </fill>
    <fill>
      <patternFill patternType="solid">
        <fgColor rgb="FFFF0000"/>
        <bgColor indexed="64"/>
      </patternFill>
    </fill>
    <fill>
      <patternFill patternType="solid">
        <fgColor rgb="FF6CF4C0"/>
        <bgColor indexed="64"/>
      </patternFill>
    </fill>
    <fill>
      <patternFill patternType="solid">
        <fgColor rgb="FF6CF8CD"/>
        <bgColor indexed="64"/>
      </patternFill>
    </fill>
    <fill>
      <patternFill patternType="solid">
        <fgColor rgb="FFFFC000"/>
        <bgColor indexed="64"/>
      </patternFill>
    </fill>
    <fill>
      <patternFill patternType="solid">
        <fgColor rgb="FFFBFBFB"/>
        <bgColor indexed="64"/>
      </patternFill>
    </fill>
    <fill>
      <patternFill patternType="solid">
        <fgColor theme="4" tint="0.79998168889431442"/>
        <bgColor indexed="64"/>
      </patternFill>
    </fill>
  </fills>
  <borders count="14">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s>
  <cellStyleXfs count="58">
    <xf numFmtId="0" fontId="0" fillId="0" borderId="0"/>
    <xf numFmtId="164"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0" fontId="11" fillId="0" borderId="0"/>
    <xf numFmtId="164" fontId="11" fillId="0" borderId="0" applyFont="0" applyFill="0" applyBorder="0" applyAlignment="0" applyProtection="0"/>
    <xf numFmtId="0" fontId="6" fillId="0" borderId="0"/>
    <xf numFmtId="0" fontId="11" fillId="0" borderId="0"/>
    <xf numFmtId="164" fontId="7" fillId="0" borderId="0" applyFont="0" applyFill="0" applyBorder="0" applyAlignment="0" applyProtection="0"/>
    <xf numFmtId="0" fontId="6" fillId="0" borderId="0"/>
    <xf numFmtId="0" fontId="11" fillId="0" borderId="0"/>
    <xf numFmtId="0" fontId="11" fillId="0" borderId="0"/>
    <xf numFmtId="0" fontId="11" fillId="0" borderId="0"/>
    <xf numFmtId="0" fontId="6" fillId="0" borderId="0"/>
    <xf numFmtId="0" fontId="11" fillId="0" borderId="0"/>
    <xf numFmtId="0" fontId="6" fillId="0" borderId="0"/>
    <xf numFmtId="0" fontId="6" fillId="0" borderId="0"/>
    <xf numFmtId="0" fontId="6" fillId="0" borderId="0"/>
    <xf numFmtId="9" fontId="11" fillId="0" borderId="0" applyFont="0" applyFill="0" applyBorder="0" applyAlignment="0" applyProtection="0"/>
    <xf numFmtId="164" fontId="11" fillId="0" borderId="0" applyFont="0" applyFill="0" applyBorder="0" applyAlignment="0" applyProtection="0"/>
    <xf numFmtId="0" fontId="5" fillId="0" borderId="0"/>
    <xf numFmtId="170" fontId="11" fillId="0" borderId="0" applyFont="0" applyFill="0" applyBorder="0" applyAlignment="0" applyProtection="0"/>
    <xf numFmtId="0" fontId="5" fillId="0" borderId="0"/>
    <xf numFmtId="0" fontId="5" fillId="0" borderId="0"/>
    <xf numFmtId="0" fontId="48" fillId="0" borderId="0" applyNumberFormat="0" applyFill="0" applyBorder="0" applyAlignment="0" applyProtection="0"/>
    <xf numFmtId="0" fontId="11" fillId="0" borderId="0"/>
    <xf numFmtId="0" fontId="4" fillId="0" borderId="0"/>
    <xf numFmtId="164" fontId="4"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3" fillId="0" borderId="0"/>
    <xf numFmtId="43"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1"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cellStyleXfs>
  <cellXfs count="1205">
    <xf numFmtId="0" fontId="0" fillId="0" borderId="0" xfId="0"/>
    <xf numFmtId="165" fontId="9" fillId="0" borderId="1" xfId="0" applyNumberFormat="1" applyFont="1" applyBorder="1" applyAlignment="1">
      <alignment horizontal="right" vertical="center" wrapText="1"/>
    </xf>
    <xf numFmtId="166" fontId="9" fillId="0" borderId="9" xfId="0" applyNumberFormat="1" applyFont="1" applyBorder="1" applyAlignment="1">
      <alignment horizontal="center" vertical="top" wrapText="1"/>
    </xf>
    <xf numFmtId="0" fontId="8" fillId="0" borderId="9" xfId="0" applyFont="1" applyBorder="1" applyAlignment="1">
      <alignment horizontal="center" vertical="center" wrapText="1"/>
    </xf>
    <xf numFmtId="14" fontId="8" fillId="0" borderId="9" xfId="0" applyNumberFormat="1" applyFont="1" applyBorder="1" applyAlignment="1">
      <alignment horizontal="center" vertical="center" wrapText="1"/>
    </xf>
    <xf numFmtId="49" fontId="8" fillId="0" borderId="9" xfId="0" applyNumberFormat="1" applyFont="1" applyBorder="1" applyAlignment="1">
      <alignment horizontal="center" vertical="center" wrapText="1"/>
    </xf>
    <xf numFmtId="166" fontId="9" fillId="0" borderId="9" xfId="0" applyNumberFormat="1" applyFont="1" applyBorder="1" applyAlignment="1">
      <alignment horizontal="center" vertical="center" wrapText="1"/>
    </xf>
    <xf numFmtId="0" fontId="9" fillId="0" borderId="9" xfId="0" applyFont="1" applyBorder="1" applyAlignment="1">
      <alignment horizontal="left" wrapText="1"/>
    </xf>
    <xf numFmtId="0" fontId="9" fillId="0" borderId="9" xfId="0" applyFont="1" applyBorder="1" applyAlignment="1">
      <alignment horizontal="left" vertical="center" wrapText="1"/>
    </xf>
    <xf numFmtId="0" fontId="9" fillId="0" borderId="0" xfId="0" applyFont="1" applyAlignment="1">
      <alignment wrapText="1"/>
    </xf>
    <xf numFmtId="0" fontId="15" fillId="0" borderId="0" xfId="0" applyFont="1"/>
    <xf numFmtId="0" fontId="8" fillId="0" borderId="9" xfId="0" applyFont="1" applyBorder="1" applyAlignment="1">
      <alignment horizontal="left" wrapText="1"/>
    </xf>
    <xf numFmtId="0" fontId="8" fillId="0" borderId="9" xfId="4" applyFont="1" applyBorder="1" applyAlignment="1">
      <alignment horizontal="justify" wrapText="1"/>
    </xf>
    <xf numFmtId="0" fontId="9" fillId="0" borderId="9" xfId="4" applyFont="1" applyBorder="1" applyAlignment="1">
      <alignment horizontal="justify" wrapText="1"/>
    </xf>
    <xf numFmtId="0" fontId="9" fillId="0" borderId="9" xfId="4" applyFont="1" applyBorder="1" applyAlignment="1">
      <alignment horizontal="left" wrapText="1"/>
    </xf>
    <xf numFmtId="0" fontId="9" fillId="0" borderId="9" xfId="4" applyFont="1" applyBorder="1" applyAlignment="1">
      <alignment horizontal="left" vertical="top" wrapText="1"/>
    </xf>
    <xf numFmtId="0" fontId="9" fillId="0" borderId="0" xfId="0" applyFont="1" applyAlignment="1">
      <alignment horizontal="left" wrapText="1"/>
    </xf>
    <xf numFmtId="4" fontId="9" fillId="0" borderId="9" xfId="4" applyNumberFormat="1" applyFont="1" applyBorder="1" applyAlignment="1">
      <alignment horizontal="left" wrapText="1"/>
    </xf>
    <xf numFmtId="0" fontId="8" fillId="0" borderId="9" xfId="4" applyFont="1" applyBorder="1" applyAlignment="1">
      <alignment horizontal="justify" vertical="top" wrapText="1"/>
    </xf>
    <xf numFmtId="0" fontId="8" fillId="0" borderId="9" xfId="4" applyFont="1" applyBorder="1" applyAlignment="1">
      <alignment horizontal="left" vertical="top" wrapText="1"/>
    </xf>
    <xf numFmtId="0" fontId="13" fillId="0" borderId="0" xfId="0" applyFont="1" applyAlignment="1">
      <alignment horizontal="center" vertical="top" wrapText="1"/>
    </xf>
    <xf numFmtId="166" fontId="9" fillId="0" borderId="9" xfId="0" applyNumberFormat="1" applyFont="1" applyBorder="1" applyAlignment="1">
      <alignment vertical="center" wrapText="1"/>
    </xf>
    <xf numFmtId="0" fontId="13" fillId="0" borderId="0" xfId="0" applyFont="1" applyAlignment="1">
      <alignment vertical="top" wrapText="1"/>
    </xf>
    <xf numFmtId="0" fontId="9" fillId="0" borderId="0" xfId="0" applyFont="1" applyAlignment="1">
      <alignment horizontal="center" wrapText="1"/>
    </xf>
    <xf numFmtId="0" fontId="8" fillId="0" borderId="8" xfId="0" applyFont="1" applyBorder="1" applyAlignment="1">
      <alignment horizontal="left" vertical="center" wrapText="1"/>
    </xf>
    <xf numFmtId="0" fontId="9" fillId="0" borderId="0" xfId="0" applyFont="1" applyAlignment="1">
      <alignment horizontal="left" vertical="top" wrapText="1"/>
    </xf>
    <xf numFmtId="0" fontId="9" fillId="0" borderId="1" xfId="0" applyFont="1" applyBorder="1" applyAlignment="1">
      <alignment horizontal="center" wrapText="1"/>
    </xf>
    <xf numFmtId="0" fontId="0" fillId="0" borderId="9" xfId="0" applyBorder="1"/>
    <xf numFmtId="0" fontId="9" fillId="2" borderId="9" xfId="0" applyFont="1" applyFill="1" applyBorder="1" applyAlignment="1">
      <alignment horizontal="left" wrapText="1"/>
    </xf>
    <xf numFmtId="0" fontId="12" fillId="0" borderId="9" xfId="0" applyFont="1" applyBorder="1"/>
    <xf numFmtId="164" fontId="9" fillId="0" borderId="9" xfId="1" applyFont="1" applyFill="1" applyBorder="1" applyAlignment="1">
      <alignment vertical="center" wrapText="1"/>
    </xf>
    <xf numFmtId="164" fontId="12" fillId="0" borderId="9" xfId="1" applyFont="1" applyBorder="1"/>
    <xf numFmtId="164" fontId="12" fillId="0" borderId="9" xfId="1" applyFont="1" applyFill="1" applyBorder="1"/>
    <xf numFmtId="0" fontId="12" fillId="0" borderId="0" xfId="0" applyFont="1"/>
    <xf numFmtId="166" fontId="9" fillId="2" borderId="10" xfId="0" applyNumberFormat="1" applyFont="1" applyFill="1" applyBorder="1" applyAlignment="1">
      <alignment vertical="center" wrapText="1"/>
    </xf>
    <xf numFmtId="164" fontId="10" fillId="0" borderId="9" xfId="1" applyFont="1" applyFill="1" applyBorder="1"/>
    <xf numFmtId="166" fontId="9" fillId="0" borderId="10" xfId="0" applyNumberFormat="1" applyFont="1" applyBorder="1" applyAlignment="1">
      <alignment horizontal="left" vertical="center" wrapText="1"/>
    </xf>
    <xf numFmtId="0" fontId="8" fillId="0" borderId="9" xfId="0" applyFont="1" applyBorder="1" applyAlignment="1">
      <alignment horizontal="left" vertical="center" wrapText="1"/>
    </xf>
    <xf numFmtId="0" fontId="8" fillId="0" borderId="11" xfId="4" applyFont="1" applyBorder="1" applyAlignment="1">
      <alignment horizontal="left"/>
    </xf>
    <xf numFmtId="164" fontId="12" fillId="0" borderId="11" xfId="1" applyFont="1" applyFill="1" applyBorder="1" applyAlignment="1">
      <alignment horizontal="left"/>
    </xf>
    <xf numFmtId="164" fontId="12" fillId="0" borderId="12" xfId="1" applyFont="1" applyFill="1" applyBorder="1" applyAlignment="1">
      <alignment horizontal="left"/>
    </xf>
    <xf numFmtId="164" fontId="12" fillId="0" borderId="9" xfId="0" applyNumberFormat="1" applyFont="1" applyBorder="1"/>
    <xf numFmtId="0" fontId="8" fillId="3" borderId="10" xfId="4" applyFont="1" applyFill="1" applyBorder="1" applyAlignment="1">
      <alignment horizontal="left"/>
    </xf>
    <xf numFmtId="0" fontId="8" fillId="3" borderId="9" xfId="4" applyFont="1" applyFill="1" applyBorder="1" applyAlignment="1">
      <alignment vertical="center"/>
    </xf>
    <xf numFmtId="0" fontId="9" fillId="0" borderId="0" xfId="0" applyFont="1" applyAlignment="1">
      <alignment horizontal="left" vertical="center" wrapText="1"/>
    </xf>
    <xf numFmtId="164" fontId="12" fillId="0" borderId="9" xfId="1" applyFont="1" applyFill="1" applyBorder="1" applyAlignment="1"/>
    <xf numFmtId="0" fontId="0" fillId="4" borderId="0" xfId="0" applyFill="1"/>
    <xf numFmtId="164" fontId="9" fillId="0" borderId="9" xfId="1" applyFont="1" applyFill="1" applyBorder="1"/>
    <xf numFmtId="0" fontId="9" fillId="2" borderId="9" xfId="4" applyFont="1" applyFill="1" applyBorder="1" applyAlignment="1">
      <alignment horizontal="justify" wrapText="1"/>
    </xf>
    <xf numFmtId="166" fontId="9" fillId="2" borderId="9" xfId="0" applyNumberFormat="1" applyFont="1" applyFill="1" applyBorder="1" applyAlignment="1">
      <alignment horizontal="center" vertical="center" wrapText="1"/>
    </xf>
    <xf numFmtId="0" fontId="9" fillId="2" borderId="9" xfId="4" applyFont="1" applyFill="1" applyBorder="1" applyAlignment="1">
      <alignment horizontal="left" vertical="top" wrapText="1"/>
    </xf>
    <xf numFmtId="0" fontId="9" fillId="2" borderId="9" xfId="4" applyFont="1" applyFill="1" applyBorder="1" applyAlignment="1">
      <alignment wrapText="1"/>
    </xf>
    <xf numFmtId="0" fontId="9" fillId="0" borderId="9" xfId="4" applyFont="1" applyBorder="1" applyAlignment="1">
      <alignment horizontal="left" vertical="center" wrapText="1"/>
    </xf>
    <xf numFmtId="0" fontId="10" fillId="0" borderId="9" xfId="0" applyFont="1" applyBorder="1"/>
    <xf numFmtId="0" fontId="8" fillId="3" borderId="9" xfId="4" applyFont="1" applyFill="1" applyBorder="1" applyAlignment="1">
      <alignment horizontal="left" wrapText="1"/>
    </xf>
    <xf numFmtId="0" fontId="9" fillId="2" borderId="9" xfId="4" applyFont="1" applyFill="1" applyBorder="1" applyAlignment="1">
      <alignment horizontal="left" vertical="center" wrapText="1"/>
    </xf>
    <xf numFmtId="0" fontId="8" fillId="5" borderId="9" xfId="4" applyFont="1" applyFill="1" applyBorder="1" applyAlignment="1">
      <alignment horizontal="left" vertical="top" wrapText="1"/>
    </xf>
    <xf numFmtId="0" fontId="8" fillId="2" borderId="9" xfId="4" applyFont="1" applyFill="1" applyBorder="1" applyAlignment="1">
      <alignment horizontal="left" vertical="top" wrapText="1"/>
    </xf>
    <xf numFmtId="164" fontId="9" fillId="0" borderId="9" xfId="0" applyNumberFormat="1" applyFont="1" applyBorder="1"/>
    <xf numFmtId="0" fontId="16" fillId="0" borderId="8" xfId="0" applyFont="1" applyBorder="1" applyAlignment="1">
      <alignment horizontal="left" vertical="center" wrapText="1"/>
    </xf>
    <xf numFmtId="0" fontId="10" fillId="2" borderId="9" xfId="4" applyFont="1" applyFill="1" applyBorder="1" applyAlignment="1">
      <alignment horizontal="left" vertical="center" wrapText="1"/>
    </xf>
    <xf numFmtId="0" fontId="10" fillId="0" borderId="0" xfId="0" applyFont="1"/>
    <xf numFmtId="0" fontId="14" fillId="0" borderId="0" xfId="0" applyFont="1"/>
    <xf numFmtId="166" fontId="10" fillId="2" borderId="9" xfId="0" applyNumberFormat="1" applyFont="1" applyFill="1" applyBorder="1" applyAlignment="1">
      <alignment horizontal="left" vertical="center" wrapText="1"/>
    </xf>
    <xf numFmtId="166" fontId="9" fillId="0" borderId="9" xfId="0" applyNumberFormat="1" applyFont="1" applyBorder="1" applyAlignment="1">
      <alignment horizontal="left" vertical="center" wrapText="1"/>
    </xf>
    <xf numFmtId="164" fontId="12" fillId="0" borderId="0" xfId="1" applyFont="1" applyFill="1"/>
    <xf numFmtId="166" fontId="9" fillId="2" borderId="9" xfId="0" applyNumberFormat="1" applyFont="1" applyFill="1" applyBorder="1" applyAlignment="1">
      <alignment horizontal="left" vertical="center" wrapText="1"/>
    </xf>
    <xf numFmtId="0" fontId="8" fillId="2" borderId="9" xfId="0" applyFont="1" applyFill="1" applyBorder="1" applyAlignment="1">
      <alignment horizontal="left" wrapText="1"/>
    </xf>
    <xf numFmtId="0" fontId="9" fillId="6" borderId="9" xfId="4" applyFont="1" applyFill="1" applyBorder="1" applyAlignment="1">
      <alignment horizontal="left" vertical="top" wrapText="1"/>
    </xf>
    <xf numFmtId="0" fontId="9" fillId="6" borderId="9" xfId="4" applyFont="1" applyFill="1" applyBorder="1" applyAlignment="1">
      <alignment wrapText="1"/>
    </xf>
    <xf numFmtId="4" fontId="9" fillId="2" borderId="9" xfId="4" applyNumberFormat="1" applyFont="1" applyFill="1" applyBorder="1" applyAlignment="1">
      <alignment horizontal="left" wrapText="1"/>
    </xf>
    <xf numFmtId="164" fontId="0" fillId="0" borderId="0" xfId="0" applyNumberFormat="1"/>
    <xf numFmtId="0" fontId="9" fillId="0" borderId="9" xfId="4" applyFont="1" applyBorder="1" applyAlignment="1">
      <alignment wrapText="1"/>
    </xf>
    <xf numFmtId="4" fontId="17" fillId="0" borderId="9" xfId="4" applyNumberFormat="1" applyFont="1" applyBorder="1" applyAlignment="1">
      <alignment horizontal="left" wrapText="1"/>
    </xf>
    <xf numFmtId="0" fontId="17" fillId="0" borderId="0" xfId="0" applyFont="1" applyAlignment="1">
      <alignment wrapText="1"/>
    </xf>
    <xf numFmtId="0" fontId="17" fillId="0" borderId="9" xfId="0" applyFont="1" applyBorder="1" applyAlignment="1">
      <alignment wrapText="1"/>
    </xf>
    <xf numFmtId="164" fontId="14" fillId="0" borderId="0" xfId="0" applyNumberFormat="1" applyFont="1"/>
    <xf numFmtId="4" fontId="9" fillId="0" borderId="9" xfId="4" applyNumberFormat="1" applyFont="1" applyBorder="1" applyAlignment="1">
      <alignment horizontal="left" vertical="top" wrapText="1"/>
    </xf>
    <xf numFmtId="4" fontId="9" fillId="2" borderId="9" xfId="4" applyNumberFormat="1" applyFont="1" applyFill="1" applyBorder="1" applyAlignment="1">
      <alignment horizontal="left" vertical="top" wrapText="1"/>
    </xf>
    <xf numFmtId="0" fontId="8" fillId="0" borderId="8" xfId="0" applyFont="1" applyBorder="1" applyAlignment="1">
      <alignment horizontal="left" vertical="top" wrapText="1"/>
    </xf>
    <xf numFmtId="166" fontId="9" fillId="2" borderId="9" xfId="0" applyNumberFormat="1" applyFont="1" applyFill="1" applyBorder="1" applyAlignment="1">
      <alignment horizontal="left" vertical="top" wrapText="1"/>
    </xf>
    <xf numFmtId="166" fontId="9" fillId="0" borderId="9" xfId="0" applyNumberFormat="1" applyFont="1" applyBorder="1" applyAlignment="1">
      <alignment horizontal="left" vertical="top" wrapText="1"/>
    </xf>
    <xf numFmtId="0" fontId="9" fillId="0" borderId="9" xfId="4" applyFont="1" applyBorder="1" applyAlignment="1">
      <alignment horizontal="justify" vertical="top" wrapText="1"/>
    </xf>
    <xf numFmtId="0" fontId="9" fillId="2" borderId="9" xfId="4" applyFont="1" applyFill="1" applyBorder="1" applyAlignment="1">
      <alignment horizontal="justify" vertical="top" wrapText="1"/>
    </xf>
    <xf numFmtId="4" fontId="17" fillId="0" borderId="9" xfId="4" applyNumberFormat="1" applyFont="1" applyBorder="1" applyAlignment="1">
      <alignment horizontal="left" vertical="top" wrapText="1"/>
    </xf>
    <xf numFmtId="0" fontId="9" fillId="2" borderId="9" xfId="4" applyFont="1" applyFill="1" applyBorder="1" applyAlignment="1">
      <alignment vertical="top" wrapText="1"/>
    </xf>
    <xf numFmtId="0" fontId="9" fillId="0" borderId="9" xfId="4" applyFont="1" applyBorder="1" applyAlignment="1">
      <alignment vertical="top" wrapText="1"/>
    </xf>
    <xf numFmtId="0" fontId="9" fillId="2" borderId="9" xfId="0" applyFont="1" applyFill="1" applyBorder="1" applyAlignment="1">
      <alignment horizontal="left" vertical="top" wrapText="1"/>
    </xf>
    <xf numFmtId="0" fontId="9" fillId="0" borderId="9" xfId="0" applyFont="1" applyBorder="1" applyAlignment="1">
      <alignment horizontal="left" vertical="top" wrapText="1"/>
    </xf>
    <xf numFmtId="0" fontId="14" fillId="0" borderId="0" xfId="0" applyFont="1" applyAlignment="1">
      <alignment vertical="top"/>
    </xf>
    <xf numFmtId="0" fontId="9" fillId="0" borderId="9" xfId="0" applyFont="1" applyBorder="1"/>
    <xf numFmtId="0" fontId="8" fillId="3" borderId="9" xfId="4" applyFont="1" applyFill="1" applyBorder="1" applyAlignment="1">
      <alignment horizontal="left" vertical="top" wrapText="1"/>
    </xf>
    <xf numFmtId="0" fontId="17" fillId="0" borderId="0" xfId="0" applyFont="1" applyAlignment="1">
      <alignment vertical="top" wrapText="1"/>
    </xf>
    <xf numFmtId="0" fontId="17" fillId="0" borderId="9" xfId="0" applyFont="1" applyBorder="1" applyAlignment="1">
      <alignment vertical="top" wrapText="1"/>
    </xf>
    <xf numFmtId="0" fontId="15" fillId="0" borderId="9" xfId="0" applyFont="1" applyBorder="1"/>
    <xf numFmtId="165" fontId="8" fillId="0" borderId="9" xfId="0" applyNumberFormat="1" applyFont="1" applyBorder="1" applyAlignment="1">
      <alignment horizontal="center" vertical="center" wrapText="1"/>
    </xf>
    <xf numFmtId="165" fontId="9" fillId="0" borderId="9" xfId="0" applyNumberFormat="1" applyFont="1" applyBorder="1" applyAlignment="1">
      <alignment horizontal="center" vertical="center" wrapText="1"/>
    </xf>
    <xf numFmtId="0" fontId="19" fillId="0" borderId="0" xfId="0" applyFont="1"/>
    <xf numFmtId="0" fontId="8" fillId="8" borderId="9" xfId="0" applyFont="1" applyFill="1" applyBorder="1" applyAlignment="1">
      <alignment horizontal="left" vertical="top" wrapText="1"/>
    </xf>
    <xf numFmtId="2" fontId="9" fillId="8" borderId="9" xfId="0" applyNumberFormat="1" applyFont="1" applyFill="1" applyBorder="1" applyAlignment="1">
      <alignment horizontal="right" wrapText="1"/>
    </xf>
    <xf numFmtId="2" fontId="10" fillId="8" borderId="9" xfId="0" applyNumberFormat="1" applyFont="1" applyFill="1" applyBorder="1" applyAlignment="1">
      <alignment horizontal="right" wrapText="1"/>
    </xf>
    <xf numFmtId="0" fontId="12" fillId="8" borderId="9" xfId="0" applyFont="1" applyFill="1" applyBorder="1"/>
    <xf numFmtId="2" fontId="12" fillId="0" borderId="0" xfId="0" applyNumberFormat="1" applyFont="1"/>
    <xf numFmtId="167" fontId="8" fillId="8" borderId="9" xfId="0" applyNumberFormat="1" applyFont="1" applyFill="1" applyBorder="1" applyAlignment="1">
      <alignment horizontal="left" wrapText="1"/>
    </xf>
    <xf numFmtId="168" fontId="8" fillId="8" borderId="9" xfId="0" applyNumberFormat="1" applyFont="1" applyFill="1" applyBorder="1" applyAlignment="1">
      <alignment horizontal="right" wrapText="1"/>
    </xf>
    <xf numFmtId="168" fontId="8" fillId="8" borderId="9" xfId="0" applyNumberFormat="1" applyFont="1" applyFill="1" applyBorder="1" applyAlignment="1">
      <alignment vertical="center" wrapText="1"/>
    </xf>
    <xf numFmtId="167" fontId="9" fillId="8" borderId="9" xfId="0" applyNumberFormat="1" applyFont="1" applyFill="1" applyBorder="1" applyAlignment="1">
      <alignment horizontal="left" wrapText="1"/>
    </xf>
    <xf numFmtId="168" fontId="9" fillId="8" borderId="9" xfId="0" applyNumberFormat="1" applyFont="1" applyFill="1" applyBorder="1" applyAlignment="1">
      <alignment horizontal="right" wrapText="1"/>
    </xf>
    <xf numFmtId="167" fontId="9" fillId="9" borderId="9" xfId="0" applyNumberFormat="1" applyFont="1" applyFill="1" applyBorder="1" applyAlignment="1">
      <alignment horizontal="left" vertical="top" wrapText="1"/>
    </xf>
    <xf numFmtId="168" fontId="9" fillId="9" borderId="9" xfId="0" applyNumberFormat="1" applyFont="1" applyFill="1" applyBorder="1" applyAlignment="1">
      <alignment horizontal="right" wrapText="1"/>
    </xf>
    <xf numFmtId="168" fontId="10" fillId="9" borderId="9" xfId="0" applyNumberFormat="1" applyFont="1" applyFill="1" applyBorder="1" applyAlignment="1">
      <alignment horizontal="right" wrapText="1"/>
    </xf>
    <xf numFmtId="4" fontId="12" fillId="0" borderId="9" xfId="0" applyNumberFormat="1" applyFont="1" applyBorder="1"/>
    <xf numFmtId="167" fontId="8" fillId="0" borderId="9" xfId="0" applyNumberFormat="1" applyFont="1" applyBorder="1" applyAlignment="1">
      <alignment horizontal="left" wrapText="1"/>
    </xf>
    <xf numFmtId="168" fontId="8" fillId="0" borderId="9" xfId="0" applyNumberFormat="1" applyFont="1" applyBorder="1" applyAlignment="1">
      <alignment horizontal="right" wrapText="1"/>
    </xf>
    <xf numFmtId="168" fontId="8" fillId="0" borderId="9" xfId="0" applyNumberFormat="1" applyFont="1" applyBorder="1" applyAlignment="1">
      <alignment wrapText="1"/>
    </xf>
    <xf numFmtId="167" fontId="9" fillId="0" borderId="9" xfId="0" applyNumberFormat="1" applyFont="1" applyBorder="1" applyAlignment="1">
      <alignment horizontal="left" wrapText="1"/>
    </xf>
    <xf numFmtId="168" fontId="9" fillId="0" borderId="9" xfId="0" applyNumberFormat="1" applyFont="1" applyBorder="1" applyAlignment="1">
      <alignment horizontal="right" wrapText="1"/>
    </xf>
    <xf numFmtId="169" fontId="9" fillId="0" borderId="9" xfId="0" applyNumberFormat="1" applyFont="1" applyBorder="1" applyAlignment="1">
      <alignment horizontal="right"/>
    </xf>
    <xf numFmtId="169" fontId="9" fillId="0" borderId="9" xfId="0" applyNumberFormat="1" applyFont="1" applyBorder="1"/>
    <xf numFmtId="168" fontId="9" fillId="10" borderId="9" xfId="0" applyNumberFormat="1" applyFont="1" applyFill="1" applyBorder="1" applyAlignment="1">
      <alignment horizontal="right" wrapText="1"/>
    </xf>
    <xf numFmtId="167" fontId="9" fillId="0" borderId="9" xfId="0" applyNumberFormat="1" applyFont="1" applyBorder="1" applyAlignment="1">
      <alignment horizontal="left" vertical="center" wrapText="1"/>
    </xf>
    <xf numFmtId="168" fontId="16" fillId="0" borderId="9" xfId="0" applyNumberFormat="1" applyFont="1" applyBorder="1" applyAlignment="1">
      <alignment horizontal="right" wrapText="1"/>
    </xf>
    <xf numFmtId="167" fontId="9" fillId="0" borderId="9" xfId="0" applyNumberFormat="1" applyFont="1" applyBorder="1" applyAlignment="1">
      <alignment horizontal="left" vertical="top" wrapText="1"/>
    </xf>
    <xf numFmtId="168" fontId="10" fillId="0" borderId="9" xfId="0" applyNumberFormat="1" applyFont="1" applyBorder="1" applyAlignment="1">
      <alignment horizontal="right" wrapText="1"/>
    </xf>
    <xf numFmtId="167" fontId="8" fillId="8" borderId="9" xfId="0" applyNumberFormat="1" applyFont="1" applyFill="1" applyBorder="1" applyAlignment="1">
      <alignment horizontal="left" vertical="top" wrapText="1"/>
    </xf>
    <xf numFmtId="168" fontId="16" fillId="8" borderId="9" xfId="0" applyNumberFormat="1" applyFont="1" applyFill="1" applyBorder="1" applyAlignment="1">
      <alignment horizontal="right" wrapText="1"/>
    </xf>
    <xf numFmtId="167" fontId="8" fillId="9" borderId="9" xfId="0" applyNumberFormat="1" applyFont="1" applyFill="1" applyBorder="1" applyAlignment="1">
      <alignment horizontal="left" wrapText="1"/>
    </xf>
    <xf numFmtId="167" fontId="9" fillId="9" borderId="9" xfId="0" applyNumberFormat="1" applyFont="1" applyFill="1" applyBorder="1" applyAlignment="1">
      <alignment horizontal="left" wrapText="1"/>
    </xf>
    <xf numFmtId="168" fontId="8" fillId="8" borderId="9" xfId="0" applyNumberFormat="1" applyFont="1" applyFill="1" applyBorder="1" applyAlignment="1">
      <alignment horizontal="left" wrapText="1"/>
    </xf>
    <xf numFmtId="168" fontId="9" fillId="8" borderId="9" xfId="0" applyNumberFormat="1" applyFont="1" applyFill="1" applyBorder="1" applyAlignment="1">
      <alignment horizontal="left" wrapText="1"/>
    </xf>
    <xf numFmtId="168" fontId="8" fillId="9" borderId="9" xfId="0" applyNumberFormat="1" applyFont="1" applyFill="1" applyBorder="1" applyAlignment="1">
      <alignment horizontal="right" wrapText="1"/>
    </xf>
    <xf numFmtId="168" fontId="16" fillId="9" borderId="9" xfId="0" applyNumberFormat="1" applyFont="1" applyFill="1" applyBorder="1" applyAlignment="1">
      <alignment horizontal="right" wrapText="1"/>
    </xf>
    <xf numFmtId="167" fontId="9" fillId="8" borderId="9" xfId="0" applyNumberFormat="1" applyFont="1" applyFill="1" applyBorder="1" applyAlignment="1">
      <alignment horizontal="right" wrapText="1"/>
    </xf>
    <xf numFmtId="167" fontId="10" fillId="8" borderId="9" xfId="0" applyNumberFormat="1" applyFont="1" applyFill="1" applyBorder="1" applyAlignment="1">
      <alignment horizontal="right" wrapText="1"/>
    </xf>
    <xf numFmtId="168" fontId="9" fillId="0" borderId="9" xfId="0" applyNumberFormat="1" applyFont="1" applyBorder="1" applyAlignment="1">
      <alignment horizontal="right" vertical="center" wrapText="1"/>
    </xf>
    <xf numFmtId="168" fontId="10" fillId="0" borderId="9" xfId="0" applyNumberFormat="1" applyFont="1" applyBorder="1" applyAlignment="1">
      <alignment horizontal="right" vertical="center" wrapText="1"/>
    </xf>
    <xf numFmtId="168" fontId="10" fillId="8" borderId="9" xfId="0" applyNumberFormat="1" applyFont="1" applyFill="1" applyBorder="1" applyAlignment="1">
      <alignment horizontal="right" wrapText="1"/>
    </xf>
    <xf numFmtId="4" fontId="9" fillId="0" borderId="9" xfId="0" applyNumberFormat="1" applyFont="1" applyBorder="1"/>
    <xf numFmtId="167" fontId="8" fillId="8" borderId="9" xfId="0" applyNumberFormat="1" applyFont="1" applyFill="1" applyBorder="1" applyAlignment="1">
      <alignment horizontal="left" vertical="center" wrapText="1"/>
    </xf>
    <xf numFmtId="167" fontId="8" fillId="8" borderId="9" xfId="0" applyNumberFormat="1" applyFont="1" applyFill="1" applyBorder="1" applyAlignment="1">
      <alignment horizontal="right" wrapText="1"/>
    </xf>
    <xf numFmtId="167" fontId="16" fillId="8" borderId="9" xfId="0" applyNumberFormat="1" applyFont="1" applyFill="1" applyBorder="1" applyAlignment="1">
      <alignment horizontal="right" wrapText="1"/>
    </xf>
    <xf numFmtId="4" fontId="8" fillId="8" borderId="9" xfId="0" applyNumberFormat="1" applyFont="1" applyFill="1" applyBorder="1"/>
    <xf numFmtId="0" fontId="8" fillId="8" borderId="9" xfId="0" applyFont="1" applyFill="1" applyBorder="1"/>
    <xf numFmtId="168" fontId="9" fillId="8" borderId="9" xfId="0" applyNumberFormat="1" applyFont="1" applyFill="1" applyBorder="1" applyAlignment="1">
      <alignment vertical="center" wrapText="1"/>
    </xf>
    <xf numFmtId="168" fontId="10" fillId="8" borderId="9" xfId="0" applyNumberFormat="1" applyFont="1" applyFill="1" applyBorder="1" applyAlignment="1">
      <alignment vertical="center" wrapText="1"/>
    </xf>
    <xf numFmtId="0" fontId="8" fillId="8" borderId="9" xfId="0" applyFont="1" applyFill="1" applyBorder="1" applyAlignment="1">
      <alignment horizontal="left" wrapText="1"/>
    </xf>
    <xf numFmtId="0" fontId="9" fillId="8" borderId="9" xfId="0" applyFont="1" applyFill="1" applyBorder="1" applyAlignment="1">
      <alignment horizontal="left" wrapText="1"/>
    </xf>
    <xf numFmtId="0" fontId="9" fillId="9" borderId="9" xfId="0" applyFont="1" applyFill="1" applyBorder="1" applyAlignment="1">
      <alignment horizontal="left" wrapText="1"/>
    </xf>
    <xf numFmtId="167" fontId="8" fillId="11" borderId="9" xfId="0" applyNumberFormat="1" applyFont="1" applyFill="1" applyBorder="1" applyAlignment="1">
      <alignment horizontal="left" wrapText="1"/>
    </xf>
    <xf numFmtId="168" fontId="8" fillId="11" borderId="9" xfId="0" applyNumberFormat="1" applyFont="1" applyFill="1" applyBorder="1" applyAlignment="1">
      <alignment horizontal="right" wrapText="1"/>
    </xf>
    <xf numFmtId="167" fontId="9" fillId="12" borderId="9" xfId="0" applyNumberFormat="1" applyFont="1" applyFill="1" applyBorder="1" applyAlignment="1">
      <alignment horizontal="left" wrapText="1"/>
    </xf>
    <xf numFmtId="168" fontId="9" fillId="12" borderId="9" xfId="0" applyNumberFormat="1" applyFont="1" applyFill="1" applyBorder="1" applyAlignment="1">
      <alignment horizontal="right" wrapText="1"/>
    </xf>
    <xf numFmtId="167" fontId="9" fillId="12" borderId="9" xfId="0" applyNumberFormat="1" applyFont="1" applyFill="1" applyBorder="1" applyAlignment="1">
      <alignment horizontal="left" vertical="center" wrapText="1"/>
    </xf>
    <xf numFmtId="167" fontId="8" fillId="10" borderId="9" xfId="0" applyNumberFormat="1" applyFont="1" applyFill="1" applyBorder="1" applyAlignment="1">
      <alignment horizontal="left" vertical="top" wrapText="1"/>
    </xf>
    <xf numFmtId="168" fontId="8" fillId="10" borderId="9" xfId="0" applyNumberFormat="1" applyFont="1" applyFill="1" applyBorder="1" applyAlignment="1">
      <alignment horizontal="right" wrapText="1"/>
    </xf>
    <xf numFmtId="4" fontId="12" fillId="0" borderId="0" xfId="0" applyNumberFormat="1" applyFont="1"/>
    <xf numFmtId="0" fontId="12" fillId="0" borderId="0" xfId="0" applyFont="1" applyAlignment="1">
      <alignment horizontal="right"/>
    </xf>
    <xf numFmtId="0" fontId="20" fillId="0" borderId="0" xfId="4" applyFont="1" applyAlignment="1">
      <alignment horizontal="center" vertical="center" wrapText="1"/>
    </xf>
    <xf numFmtId="0" fontId="13" fillId="0" borderId="0" xfId="4" applyFont="1" applyAlignment="1">
      <alignment vertical="center" wrapText="1"/>
    </xf>
    <xf numFmtId="0" fontId="9" fillId="0" borderId="0" xfId="0" applyFont="1"/>
    <xf numFmtId="165" fontId="21" fillId="0" borderId="0" xfId="4" applyNumberFormat="1" applyFont="1" applyAlignment="1">
      <alignment horizontal="center" vertical="center" wrapText="1"/>
    </xf>
    <xf numFmtId="0" fontId="13" fillId="0" borderId="0" xfId="4" applyFont="1" applyAlignment="1">
      <alignment horizontal="center" vertical="center" wrapText="1"/>
    </xf>
    <xf numFmtId="0" fontId="9" fillId="0" borderId="0" xfId="0" applyFont="1" applyAlignment="1">
      <alignment horizontal="center" vertical="center"/>
    </xf>
    <xf numFmtId="0" fontId="15" fillId="0" borderId="0" xfId="0" applyFont="1" applyAlignment="1">
      <alignment horizontal="center" vertical="center"/>
    </xf>
    <xf numFmtId="165" fontId="21" fillId="9" borderId="0" xfId="4" applyNumberFormat="1" applyFont="1" applyFill="1" applyAlignment="1">
      <alignment horizontal="center" vertical="center" wrapText="1"/>
    </xf>
    <xf numFmtId="165" fontId="22" fillId="0" borderId="0" xfId="4" applyNumberFormat="1" applyFont="1" applyAlignment="1">
      <alignment horizontal="center" vertical="center" wrapText="1"/>
    </xf>
    <xf numFmtId="0" fontId="22" fillId="0" borderId="0" xfId="4" applyFont="1" applyAlignment="1">
      <alignment horizontal="right" vertical="center" wrapText="1"/>
    </xf>
    <xf numFmtId="166" fontId="9" fillId="0" borderId="10" xfId="0" applyNumberFormat="1" applyFont="1" applyBorder="1" applyAlignment="1">
      <alignment horizontal="center" vertical="center" wrapText="1"/>
    </xf>
    <xf numFmtId="0" fontId="8" fillId="0" borderId="0" xfId="0" applyFont="1"/>
    <xf numFmtId="0" fontId="8" fillId="8" borderId="9" xfId="4" applyFont="1" applyFill="1" applyBorder="1" applyAlignment="1">
      <alignment horizontal="left" vertical="center" wrapText="1"/>
    </xf>
    <xf numFmtId="4" fontId="8" fillId="8" borderId="9" xfId="4" applyNumberFormat="1" applyFont="1" applyFill="1" applyBorder="1" applyAlignment="1">
      <alignment horizontal="center" vertical="center" wrapText="1"/>
    </xf>
    <xf numFmtId="4" fontId="8" fillId="8" borderId="10" xfId="4" applyNumberFormat="1" applyFont="1" applyFill="1" applyBorder="1" applyAlignment="1">
      <alignment horizontal="center" vertical="center" wrapText="1"/>
    </xf>
    <xf numFmtId="4" fontId="8" fillId="8" borderId="10" xfId="4" applyNumberFormat="1" applyFont="1" applyFill="1" applyBorder="1" applyAlignment="1" applyProtection="1">
      <alignment horizontal="center" vertical="center" wrapText="1"/>
      <protection hidden="1"/>
    </xf>
    <xf numFmtId="4" fontId="8" fillId="8" borderId="9" xfId="4" applyNumberFormat="1" applyFont="1" applyFill="1" applyBorder="1" applyAlignment="1" applyProtection="1">
      <alignment horizontal="center" vertical="center" wrapText="1"/>
      <protection hidden="1"/>
    </xf>
    <xf numFmtId="0" fontId="23" fillId="8" borderId="9" xfId="4" applyFont="1" applyFill="1" applyBorder="1" applyAlignment="1">
      <alignment vertical="center" wrapText="1"/>
    </xf>
    <xf numFmtId="4" fontId="9" fillId="0" borderId="0" xfId="0" applyNumberFormat="1" applyFont="1"/>
    <xf numFmtId="0" fontId="24" fillId="8" borderId="9" xfId="4" applyFont="1" applyFill="1" applyBorder="1" applyAlignment="1">
      <alignment horizontal="left" vertical="center" wrapText="1"/>
    </xf>
    <xf numFmtId="0" fontId="25" fillId="0" borderId="0" xfId="0" applyFont="1"/>
    <xf numFmtId="0" fontId="26" fillId="8" borderId="9" xfId="4" applyFont="1" applyFill="1" applyBorder="1" applyAlignment="1">
      <alignment horizontal="left" vertical="center" wrapText="1"/>
    </xf>
    <xf numFmtId="4" fontId="9" fillId="8" borderId="9" xfId="4" applyNumberFormat="1" applyFont="1" applyFill="1" applyBorder="1" applyAlignment="1">
      <alignment horizontal="center" vertical="center" wrapText="1"/>
    </xf>
    <xf numFmtId="4" fontId="9" fillId="8" borderId="10" xfId="4" applyNumberFormat="1" applyFont="1" applyFill="1" applyBorder="1" applyAlignment="1">
      <alignment horizontal="center" vertical="center" wrapText="1"/>
    </xf>
    <xf numFmtId="4" fontId="9" fillId="8" borderId="10" xfId="4" applyNumberFormat="1" applyFont="1" applyFill="1" applyBorder="1" applyAlignment="1" applyProtection="1">
      <alignment horizontal="center" vertical="center" wrapText="1"/>
      <protection hidden="1"/>
    </xf>
    <xf numFmtId="0" fontId="27" fillId="8" borderId="9" xfId="4" applyFont="1" applyFill="1" applyBorder="1" applyAlignment="1">
      <alignment vertical="center" wrapText="1"/>
    </xf>
    <xf numFmtId="4" fontId="9" fillId="8" borderId="9" xfId="4" applyNumberFormat="1" applyFont="1" applyFill="1" applyBorder="1" applyAlignment="1" applyProtection="1">
      <alignment horizontal="center" vertical="center" wrapText="1"/>
      <protection hidden="1"/>
    </xf>
    <xf numFmtId="0" fontId="8" fillId="8" borderId="9" xfId="4" applyFont="1" applyFill="1" applyBorder="1" applyAlignment="1">
      <alignment horizontal="justify" vertical="center" wrapText="1"/>
    </xf>
    <xf numFmtId="4" fontId="9" fillId="8" borderId="12" xfId="4" applyNumberFormat="1" applyFont="1" applyFill="1" applyBorder="1" applyAlignment="1">
      <alignment horizontal="center" vertical="center" wrapText="1"/>
    </xf>
    <xf numFmtId="0" fontId="28" fillId="8" borderId="9" xfId="4" applyFont="1" applyFill="1" applyBorder="1" applyAlignment="1">
      <alignment vertical="center" wrapText="1"/>
    </xf>
    <xf numFmtId="0" fontId="8" fillId="8" borderId="9" xfId="4" applyFont="1" applyFill="1" applyBorder="1" applyAlignment="1">
      <alignment horizontal="justify" wrapText="1"/>
    </xf>
    <xf numFmtId="0" fontId="23" fillId="8" borderId="9" xfId="4" applyFont="1" applyFill="1" applyBorder="1" applyAlignment="1">
      <alignment horizontal="center" vertical="center" wrapText="1"/>
    </xf>
    <xf numFmtId="0" fontId="27" fillId="8" borderId="9" xfId="4" applyFont="1" applyFill="1" applyBorder="1" applyAlignment="1">
      <alignment horizontal="center" vertical="center" wrapText="1"/>
    </xf>
    <xf numFmtId="0" fontId="9" fillId="9" borderId="9" xfId="4" applyFont="1" applyFill="1" applyBorder="1" applyAlignment="1">
      <alignment horizontal="left" wrapText="1"/>
    </xf>
    <xf numFmtId="4" fontId="9" fillId="9" borderId="9" xfId="4" applyNumberFormat="1" applyFont="1" applyFill="1" applyBorder="1" applyAlignment="1">
      <alignment horizontal="center" vertical="center" wrapText="1"/>
    </xf>
    <xf numFmtId="4" fontId="9" fillId="9" borderId="10" xfId="4" applyNumberFormat="1" applyFont="1" applyFill="1" applyBorder="1" applyAlignment="1" applyProtection="1">
      <alignment horizontal="center" vertical="center" wrapText="1"/>
      <protection hidden="1"/>
    </xf>
    <xf numFmtId="4" fontId="9" fillId="0" borderId="9" xfId="4" applyNumberFormat="1" applyFont="1" applyBorder="1" applyAlignment="1">
      <alignment horizontal="center" vertical="center" wrapText="1"/>
    </xf>
    <xf numFmtId="4" fontId="9" fillId="9" borderId="9" xfId="4" applyNumberFormat="1" applyFont="1" applyFill="1" applyBorder="1" applyAlignment="1" applyProtection="1">
      <alignment horizontal="center" vertical="center" wrapText="1"/>
      <protection hidden="1"/>
    </xf>
    <xf numFmtId="0" fontId="23" fillId="0" borderId="9" xfId="4" applyFont="1" applyBorder="1" applyAlignment="1">
      <alignment vertical="center" wrapText="1"/>
    </xf>
    <xf numFmtId="0" fontId="8" fillId="9" borderId="9" xfId="4" applyFont="1" applyFill="1" applyBorder="1" applyAlignment="1">
      <alignment horizontal="justify" wrapText="1"/>
    </xf>
    <xf numFmtId="4" fontId="8" fillId="9" borderId="9" xfId="4" applyNumberFormat="1" applyFont="1" applyFill="1" applyBorder="1" applyAlignment="1">
      <alignment horizontal="center" vertical="center" wrapText="1"/>
    </xf>
    <xf numFmtId="4" fontId="8" fillId="0" borderId="9" xfId="4" applyNumberFormat="1" applyFont="1" applyBorder="1" applyAlignment="1">
      <alignment horizontal="center" vertical="center" wrapText="1"/>
    </xf>
    <xf numFmtId="0" fontId="26" fillId="9" borderId="9" xfId="4" applyFont="1" applyFill="1" applyBorder="1" applyAlignment="1">
      <alignment horizontal="left" vertical="center" wrapText="1"/>
    </xf>
    <xf numFmtId="0" fontId="9" fillId="9" borderId="9" xfId="4" applyFont="1" applyFill="1" applyBorder="1" applyAlignment="1">
      <alignment horizontal="left" vertical="top" wrapText="1"/>
    </xf>
    <xf numFmtId="0" fontId="29" fillId="9" borderId="9" xfId="4" applyFont="1" applyFill="1" applyBorder="1" applyAlignment="1">
      <alignment vertical="center" wrapText="1"/>
    </xf>
    <xf numFmtId="0" fontId="8" fillId="8" borderId="9" xfId="4" applyFont="1" applyFill="1" applyBorder="1" applyAlignment="1">
      <alignment horizontal="left" vertical="top" wrapText="1"/>
    </xf>
    <xf numFmtId="0" fontId="23" fillId="8" borderId="9" xfId="4" applyFont="1" applyFill="1" applyBorder="1" applyAlignment="1">
      <alignment vertical="top" wrapText="1" shrinkToFit="1"/>
    </xf>
    <xf numFmtId="0" fontId="27" fillId="8" borderId="9" xfId="4" applyFont="1" applyFill="1" applyBorder="1" applyAlignment="1">
      <alignment vertical="top" wrapText="1" shrinkToFit="1"/>
    </xf>
    <xf numFmtId="49" fontId="8" fillId="8" borderId="9" xfId="4" applyNumberFormat="1" applyFont="1" applyFill="1" applyBorder="1" applyAlignment="1">
      <alignment horizontal="justify" wrapText="1"/>
    </xf>
    <xf numFmtId="4" fontId="8" fillId="11" borderId="9" xfId="4" applyNumberFormat="1" applyFont="1" applyFill="1" applyBorder="1" applyAlignment="1">
      <alignment horizontal="center" vertical="center" wrapText="1"/>
    </xf>
    <xf numFmtId="4" fontId="23" fillId="11" borderId="9" xfId="4" applyNumberFormat="1" applyFont="1" applyFill="1" applyBorder="1" applyAlignment="1">
      <alignment horizontal="center" vertical="center" wrapText="1"/>
    </xf>
    <xf numFmtId="4" fontId="8" fillId="12" borderId="9" xfId="4" applyNumberFormat="1" applyFont="1" applyFill="1" applyBorder="1" applyAlignment="1">
      <alignment horizontal="center" vertical="center" wrapText="1"/>
    </xf>
    <xf numFmtId="4" fontId="23" fillId="12" borderId="9" xfId="4" applyNumberFormat="1" applyFont="1" applyFill="1" applyBorder="1" applyAlignment="1">
      <alignment horizontal="center" vertical="center" wrapText="1"/>
    </xf>
    <xf numFmtId="0" fontId="23" fillId="12" borderId="9" xfId="4" applyFont="1" applyFill="1" applyBorder="1" applyAlignment="1">
      <alignment horizontal="center" vertical="center" wrapText="1"/>
    </xf>
    <xf numFmtId="167" fontId="8" fillId="9" borderId="9" xfId="0" applyNumberFormat="1" applyFont="1" applyFill="1" applyBorder="1" applyAlignment="1">
      <alignment horizontal="left" vertical="top" wrapText="1"/>
    </xf>
    <xf numFmtId="4" fontId="19" fillId="0" borderId="9" xfId="0" applyNumberFormat="1" applyFont="1" applyBorder="1"/>
    <xf numFmtId="0" fontId="19" fillId="0" borderId="9" xfId="0" applyFont="1" applyBorder="1"/>
    <xf numFmtId="2" fontId="19" fillId="0" borderId="0" xfId="0" applyNumberFormat="1" applyFont="1"/>
    <xf numFmtId="169" fontId="8" fillId="0" borderId="9" xfId="0" applyNumberFormat="1" applyFont="1" applyBorder="1" applyAlignment="1">
      <alignment horizontal="right"/>
    </xf>
    <xf numFmtId="169" fontId="8" fillId="0" borderId="9" xfId="0" applyNumberFormat="1" applyFont="1" applyBorder="1"/>
    <xf numFmtId="0" fontId="8" fillId="0" borderId="9" xfId="4" applyFont="1" applyBorder="1" applyAlignment="1">
      <alignment horizontal="left" vertical="center" wrapText="1"/>
    </xf>
    <xf numFmtId="4" fontId="8" fillId="0" borderId="10" xfId="4" applyNumberFormat="1" applyFont="1" applyBorder="1" applyAlignment="1">
      <alignment horizontal="center" vertical="center" wrapText="1"/>
    </xf>
    <xf numFmtId="4" fontId="8" fillId="0" borderId="10" xfId="4" applyNumberFormat="1" applyFont="1" applyBorder="1" applyAlignment="1" applyProtection="1">
      <alignment horizontal="center" vertical="center" wrapText="1"/>
      <protection hidden="1"/>
    </xf>
    <xf numFmtId="4" fontId="8" fillId="0" borderId="9" xfId="4" applyNumberFormat="1" applyFont="1" applyBorder="1" applyAlignment="1" applyProtection="1">
      <alignment horizontal="center" vertical="center" wrapText="1"/>
      <protection hidden="1"/>
    </xf>
    <xf numFmtId="0" fontId="24" fillId="0" borderId="9" xfId="4" applyFont="1" applyBorder="1" applyAlignment="1">
      <alignment horizontal="left" vertical="center" wrapText="1"/>
    </xf>
    <xf numFmtId="0" fontId="26" fillId="0" borderId="9" xfId="4" applyFont="1" applyBorder="1" applyAlignment="1">
      <alignment horizontal="left" vertical="center" wrapText="1"/>
    </xf>
    <xf numFmtId="4" fontId="9" fillId="0" borderId="10" xfId="4" applyNumberFormat="1" applyFont="1" applyBorder="1" applyAlignment="1">
      <alignment horizontal="center" vertical="center" wrapText="1"/>
    </xf>
    <xf numFmtId="4" fontId="9" fillId="0" borderId="10" xfId="4" applyNumberFormat="1" applyFont="1" applyBorder="1" applyAlignment="1" applyProtection="1">
      <alignment horizontal="center" vertical="center" wrapText="1"/>
      <protection hidden="1"/>
    </xf>
    <xf numFmtId="0" fontId="27" fillId="0" borderId="9" xfId="4" applyFont="1" applyBorder="1" applyAlignment="1">
      <alignment vertical="center" wrapText="1"/>
    </xf>
    <xf numFmtId="0" fontId="5" fillId="0" borderId="0" xfId="20"/>
    <xf numFmtId="0" fontId="8" fillId="0" borderId="9" xfId="20" applyFont="1" applyBorder="1" applyAlignment="1">
      <alignment horizontal="center" vertical="center" wrapText="1"/>
    </xf>
    <xf numFmtId="171" fontId="10" fillId="14" borderId="1" xfId="21" applyNumberFormat="1" applyFont="1" applyFill="1" applyBorder="1" applyAlignment="1" applyProtection="1">
      <alignment horizontal="center" vertical="center" wrapText="1"/>
    </xf>
    <xf numFmtId="168" fontId="10" fillId="14" borderId="1" xfId="21" applyNumberFormat="1" applyFont="1" applyFill="1" applyBorder="1" applyAlignment="1" applyProtection="1">
      <alignment horizontal="center" vertical="center" wrapText="1"/>
    </xf>
    <xf numFmtId="171" fontId="9" fillId="14" borderId="1" xfId="21" applyNumberFormat="1" applyFont="1" applyFill="1" applyBorder="1" applyAlignment="1" applyProtection="1">
      <alignment horizontal="center" vertical="center" wrapText="1"/>
    </xf>
    <xf numFmtId="168" fontId="9" fillId="14" borderId="1" xfId="21" applyNumberFormat="1" applyFont="1" applyFill="1" applyBorder="1" applyAlignment="1" applyProtection="1">
      <alignment horizontal="center" vertical="center" wrapText="1"/>
    </xf>
    <xf numFmtId="171" fontId="9" fillId="0" borderId="9" xfId="21" applyNumberFormat="1" applyFont="1" applyFill="1" applyBorder="1" applyAlignment="1" applyProtection="1">
      <alignment horizontal="center" vertical="center" wrapText="1"/>
    </xf>
    <xf numFmtId="168" fontId="9" fillId="0" borderId="9" xfId="21" applyNumberFormat="1" applyFont="1" applyFill="1" applyBorder="1" applyAlignment="1" applyProtection="1">
      <alignment horizontal="center" vertical="center" wrapText="1"/>
    </xf>
    <xf numFmtId="168" fontId="9" fillId="0" borderId="11" xfId="21" applyNumberFormat="1" applyFont="1" applyFill="1" applyBorder="1" applyAlignment="1" applyProtection="1">
      <alignment horizontal="center" vertical="center" wrapText="1"/>
    </xf>
    <xf numFmtId="0" fontId="24" fillId="0" borderId="0" xfId="20" applyFont="1" applyAlignment="1">
      <alignment horizontal="center" vertical="top"/>
    </xf>
    <xf numFmtId="0" fontId="34" fillId="0" borderId="0" xfId="20" applyFont="1" applyAlignment="1">
      <alignment horizontal="center" vertical="top" wrapText="1"/>
    </xf>
    <xf numFmtId="0" fontId="34" fillId="0" borderId="0" xfId="20" applyFont="1" applyAlignment="1">
      <alignment horizontal="center" vertical="top"/>
    </xf>
    <xf numFmtId="165" fontId="8" fillId="0" borderId="9" xfId="20" applyNumberFormat="1" applyFont="1" applyBorder="1" applyAlignment="1">
      <alignment horizontal="center" vertical="center" wrapText="1"/>
    </xf>
    <xf numFmtId="49" fontId="9" fillId="0" borderId="9" xfId="20" applyNumberFormat="1" applyFont="1" applyBorder="1" applyAlignment="1">
      <alignment horizontal="center" vertical="center" wrapText="1"/>
    </xf>
    <xf numFmtId="0" fontId="24" fillId="0" borderId="9" xfId="20" applyFont="1" applyBorder="1" applyAlignment="1">
      <alignment horizontal="left" vertical="top" wrapText="1"/>
    </xf>
    <xf numFmtId="172" fontId="24" fillId="0" borderId="9" xfId="20" applyNumberFormat="1" applyFont="1" applyBorder="1" applyAlignment="1">
      <alignment horizontal="center" vertical="center" wrapText="1"/>
    </xf>
    <xf numFmtId="0" fontId="26" fillId="0" borderId="9" xfId="20" applyFont="1" applyBorder="1" applyAlignment="1">
      <alignment horizontal="left" vertical="top" wrapText="1"/>
    </xf>
    <xf numFmtId="172" fontId="26" fillId="0" borderId="9" xfId="20" applyNumberFormat="1" applyFont="1" applyBorder="1" applyAlignment="1">
      <alignment horizontal="center" vertical="center" wrapText="1"/>
    </xf>
    <xf numFmtId="4" fontId="26" fillId="0" borderId="9" xfId="20" applyNumberFormat="1" applyFont="1" applyBorder="1" applyAlignment="1">
      <alignment horizontal="center" vertical="center" wrapText="1"/>
    </xf>
    <xf numFmtId="0" fontId="26" fillId="0" borderId="9" xfId="20" applyFont="1" applyBorder="1" applyAlignment="1">
      <alignment horizontal="right" vertical="top" wrapText="1"/>
    </xf>
    <xf numFmtId="172" fontId="35" fillId="0" borderId="9" xfId="20" applyNumberFormat="1" applyFont="1" applyBorder="1" applyAlignment="1">
      <alignment horizontal="center" vertical="center" wrapText="1"/>
    </xf>
    <xf numFmtId="4" fontId="35" fillId="0" borderId="9" xfId="20" applyNumberFormat="1" applyFont="1" applyBorder="1" applyAlignment="1">
      <alignment horizontal="center" vertical="center" wrapText="1"/>
    </xf>
    <xf numFmtId="0" fontId="26" fillId="0" borderId="9" xfId="20" applyFont="1" applyBorder="1" applyAlignment="1">
      <alignment horizontal="justify" vertical="top" wrapText="1"/>
    </xf>
    <xf numFmtId="0" fontId="26" fillId="0" borderId="9" xfId="20" applyFont="1" applyBorder="1" applyAlignment="1">
      <alignment horizontal="center"/>
    </xf>
    <xf numFmtId="0" fontId="26" fillId="0" borderId="9" xfId="20" applyFont="1" applyBorder="1" applyAlignment="1">
      <alignment vertical="top" wrapText="1"/>
    </xf>
    <xf numFmtId="0" fontId="26" fillId="0" borderId="2" xfId="20" applyFont="1" applyBorder="1" applyAlignment="1">
      <alignment horizontal="center"/>
    </xf>
    <xf numFmtId="0" fontId="24" fillId="0" borderId="10" xfId="20" applyFont="1" applyBorder="1" applyAlignment="1">
      <alignment vertical="top" wrapText="1"/>
    </xf>
    <xf numFmtId="4" fontId="24" fillId="0" borderId="9" xfId="20" applyNumberFormat="1" applyFont="1" applyBorder="1" applyAlignment="1">
      <alignment horizontal="center" vertical="center" wrapText="1"/>
    </xf>
    <xf numFmtId="0" fontId="35" fillId="0" borderId="8" xfId="20" applyFont="1" applyBorder="1" applyAlignment="1">
      <alignment horizontal="center" vertical="center" wrapText="1"/>
    </xf>
    <xf numFmtId="0" fontId="24" fillId="0" borderId="9" xfId="20" applyFont="1" applyBorder="1" applyAlignment="1">
      <alignment horizontal="justify" vertical="top" wrapText="1"/>
    </xf>
    <xf numFmtId="0" fontId="26" fillId="13" borderId="9" xfId="20" applyFont="1" applyFill="1" applyBorder="1" applyAlignment="1">
      <alignment horizontal="justify" vertical="top" wrapText="1"/>
    </xf>
    <xf numFmtId="0" fontId="24" fillId="9" borderId="9" xfId="20" applyFont="1" applyFill="1" applyBorder="1" applyAlignment="1">
      <alignment vertical="top" wrapText="1"/>
    </xf>
    <xf numFmtId="0" fontId="24" fillId="0" borderId="9" xfId="20" applyFont="1" applyBorder="1" applyAlignment="1">
      <alignment horizontal="center"/>
    </xf>
    <xf numFmtId="0" fontId="26" fillId="9" borderId="9" xfId="20" applyFont="1" applyFill="1" applyBorder="1" applyAlignment="1">
      <alignment vertical="top" wrapText="1"/>
    </xf>
    <xf numFmtId="0" fontId="26" fillId="9" borderId="9" xfId="20" applyFont="1" applyFill="1" applyBorder="1" applyAlignment="1">
      <alignment horizontal="right" vertical="top" wrapText="1"/>
    </xf>
    <xf numFmtId="0" fontId="26" fillId="9" borderId="9" xfId="20" applyFont="1" applyFill="1" applyBorder="1" applyAlignment="1">
      <alignment horizontal="justify" vertical="top" wrapText="1"/>
    </xf>
    <xf numFmtId="0" fontId="8" fillId="0" borderId="4" xfId="20" applyFont="1" applyBorder="1" applyAlignment="1">
      <alignment horizontal="left" vertical="center" wrapText="1"/>
    </xf>
    <xf numFmtId="0" fontId="24" fillId="0" borderId="9" xfId="20" applyFont="1" applyBorder="1" applyAlignment="1">
      <alignment vertical="top" wrapText="1"/>
    </xf>
    <xf numFmtId="4" fontId="26" fillId="0" borderId="9" xfId="20" applyNumberFormat="1" applyFont="1" applyBorder="1" applyAlignment="1">
      <alignment horizontal="center"/>
    </xf>
    <xf numFmtId="2" fontId="26" fillId="0" borderId="9" xfId="20" applyNumberFormat="1" applyFont="1" applyBorder="1" applyAlignment="1">
      <alignment horizontal="center"/>
    </xf>
    <xf numFmtId="172" fontId="36" fillId="0" borderId="9" xfId="20" applyNumberFormat="1" applyFont="1" applyBorder="1" applyAlignment="1">
      <alignment horizontal="center" vertical="center" wrapText="1"/>
    </xf>
    <xf numFmtId="0" fontId="13" fillId="0" borderId="8" xfId="20" applyFont="1" applyBorder="1" applyAlignment="1">
      <alignment horizontal="left" vertical="top" wrapText="1"/>
    </xf>
    <xf numFmtId="0" fontId="24" fillId="13" borderId="9" xfId="20" applyFont="1" applyFill="1" applyBorder="1" applyAlignment="1">
      <alignment vertical="top" wrapText="1"/>
    </xf>
    <xf numFmtId="0" fontId="37" fillId="0" borderId="9" xfId="20" applyFont="1" applyBorder="1"/>
    <xf numFmtId="172" fontId="8" fillId="0" borderId="9" xfId="20" applyNumberFormat="1" applyFont="1" applyBorder="1" applyAlignment="1">
      <alignment horizontal="center" vertical="center" wrapText="1"/>
    </xf>
    <xf numFmtId="0" fontId="8" fillId="0" borderId="10" xfId="20" applyFont="1" applyBorder="1" applyAlignment="1">
      <alignment horizontal="center" vertical="center" wrapText="1"/>
    </xf>
    <xf numFmtId="172" fontId="9" fillId="0" borderId="9" xfId="20" applyNumberFormat="1" applyFont="1" applyBorder="1" applyAlignment="1">
      <alignment horizontal="center" vertical="center" wrapText="1"/>
    </xf>
    <xf numFmtId="172" fontId="9" fillId="0" borderId="10" xfId="20" applyNumberFormat="1" applyFont="1" applyBorder="1" applyAlignment="1">
      <alignment horizontal="center" vertical="center" wrapText="1"/>
    </xf>
    <xf numFmtId="0" fontId="39" fillId="0" borderId="0" xfId="22" applyFont="1"/>
    <xf numFmtId="0" fontId="38" fillId="0" borderId="9" xfId="22" applyFont="1" applyBorder="1" applyAlignment="1">
      <alignment horizontal="center" vertical="center" wrapText="1"/>
    </xf>
    <xf numFmtId="0" fontId="40" fillId="0" borderId="9" xfId="22" applyFont="1" applyBorder="1" applyAlignment="1">
      <alignment horizontal="center" vertical="center" wrapText="1"/>
    </xf>
    <xf numFmtId="0" fontId="39" fillId="0" borderId="9" xfId="22" applyFont="1" applyBorder="1" applyAlignment="1">
      <alignment horizontal="center" vertical="center" wrapText="1"/>
    </xf>
    <xf numFmtId="0" fontId="30" fillId="0" borderId="9" xfId="22" applyFont="1" applyBorder="1" applyAlignment="1">
      <alignment horizontal="center"/>
    </xf>
    <xf numFmtId="0" fontId="13" fillId="0" borderId="11" xfId="22" applyFont="1" applyBorder="1" applyAlignment="1">
      <alignment horizontal="left" vertical="center"/>
    </xf>
    <xf numFmtId="0" fontId="13" fillId="0" borderId="12" xfId="22" applyFont="1" applyBorder="1" applyAlignment="1">
      <alignment horizontal="left" vertical="center"/>
    </xf>
    <xf numFmtId="0" fontId="28" fillId="0" borderId="9" xfId="22" applyFont="1" applyBorder="1" applyAlignment="1">
      <alignment horizontal="left" vertical="center" wrapText="1"/>
    </xf>
    <xf numFmtId="4" fontId="28" fillId="0" borderId="9" xfId="22" applyNumberFormat="1" applyFont="1" applyBorder="1" applyAlignment="1">
      <alignment horizontal="center" vertical="center" wrapText="1"/>
    </xf>
    <xf numFmtId="0" fontId="28" fillId="0" borderId="9" xfId="22" applyFont="1" applyBorder="1"/>
    <xf numFmtId="0" fontId="13" fillId="0" borderId="9" xfId="22" applyFont="1" applyBorder="1" applyAlignment="1">
      <alignment horizontal="left" vertical="center" wrapText="1"/>
    </xf>
    <xf numFmtId="4" fontId="13" fillId="0" borderId="9" xfId="22" applyNumberFormat="1" applyFont="1" applyBorder="1" applyAlignment="1">
      <alignment horizontal="center" vertical="center" wrapText="1"/>
    </xf>
    <xf numFmtId="0" fontId="13" fillId="0" borderId="9" xfId="22" applyFont="1" applyBorder="1"/>
    <xf numFmtId="166" fontId="28" fillId="0" borderId="9" xfId="20" applyNumberFormat="1" applyFont="1" applyBorder="1" applyAlignment="1">
      <alignment vertical="center" wrapText="1"/>
    </xf>
    <xf numFmtId="172" fontId="13" fillId="0" borderId="9" xfId="22" applyNumberFormat="1" applyFont="1" applyBorder="1" applyAlignment="1">
      <alignment horizontal="center" vertical="center" wrapText="1"/>
    </xf>
    <xf numFmtId="0" fontId="13" fillId="13" borderId="9" xfId="22" applyFont="1" applyFill="1" applyBorder="1" applyAlignment="1">
      <alignment horizontal="left" vertical="center" wrapText="1"/>
    </xf>
    <xf numFmtId="0" fontId="28" fillId="9" borderId="9" xfId="22" applyFont="1" applyFill="1" applyBorder="1" applyAlignment="1">
      <alignment horizontal="left" vertical="center" wrapText="1"/>
    </xf>
    <xf numFmtId="0" fontId="13" fillId="9" borderId="9" xfId="22" applyFont="1" applyFill="1" applyBorder="1" applyAlignment="1">
      <alignment horizontal="left" vertical="center" wrapText="1"/>
    </xf>
    <xf numFmtId="0" fontId="41" fillId="0" borderId="9" xfId="22" applyFont="1" applyBorder="1"/>
    <xf numFmtId="0" fontId="28" fillId="0" borderId="11" xfId="22" applyFont="1" applyBorder="1" applyAlignment="1">
      <alignment horizontal="left" vertical="center"/>
    </xf>
    <xf numFmtId="0" fontId="28" fillId="0" borderId="12" xfId="22" applyFont="1" applyBorder="1" applyAlignment="1">
      <alignment horizontal="left" vertical="center"/>
    </xf>
    <xf numFmtId="0" fontId="28" fillId="0" borderId="9" xfId="22" applyFont="1" applyBorder="1" applyAlignment="1">
      <alignment horizontal="left" vertical="top" wrapText="1"/>
    </xf>
    <xf numFmtId="0" fontId="13" fillId="0" borderId="9" xfId="22" applyFont="1" applyBorder="1" applyAlignment="1">
      <alignment horizontal="right" vertical="center" wrapText="1"/>
    </xf>
    <xf numFmtId="0" fontId="13" fillId="0" borderId="2" xfId="22" applyFont="1" applyBorder="1"/>
    <xf numFmtId="0" fontId="13" fillId="0" borderId="8" xfId="22" applyFont="1" applyBorder="1" applyAlignment="1">
      <alignment horizontal="left" vertical="top" wrapText="1"/>
    </xf>
    <xf numFmtId="0" fontId="13" fillId="9" borderId="9" xfId="22" applyFont="1" applyFill="1" applyBorder="1" applyAlignment="1">
      <alignment horizontal="right" vertical="center" wrapText="1"/>
    </xf>
    <xf numFmtId="4" fontId="30" fillId="0" borderId="9" xfId="22" applyNumberFormat="1" applyFont="1" applyBorder="1" applyAlignment="1">
      <alignment horizontal="center" vertical="center" wrapText="1"/>
    </xf>
    <xf numFmtId="0" fontId="30" fillId="0" borderId="9" xfId="22" applyFont="1" applyBorder="1"/>
    <xf numFmtId="0" fontId="28" fillId="13" borderId="9" xfId="22" applyFont="1" applyFill="1" applyBorder="1" applyAlignment="1">
      <alignment horizontal="left" wrapText="1"/>
    </xf>
    <xf numFmtId="0" fontId="13" fillId="0" borderId="9" xfId="22" applyFont="1" applyBorder="1" applyAlignment="1">
      <alignment horizontal="left" wrapText="1"/>
    </xf>
    <xf numFmtId="0" fontId="42" fillId="0" borderId="0" xfId="20" applyFont="1"/>
    <xf numFmtId="0" fontId="43" fillId="0" borderId="9" xfId="20" applyFont="1" applyBorder="1" applyAlignment="1">
      <alignment horizontal="center"/>
    </xf>
    <xf numFmtId="0" fontId="44" fillId="0" borderId="9" xfId="20" applyFont="1" applyBorder="1" applyAlignment="1">
      <alignment horizontal="center"/>
    </xf>
    <xf numFmtId="0" fontId="30" fillId="0" borderId="0" xfId="23" applyFont="1"/>
    <xf numFmtId="0" fontId="44" fillId="0" borderId="0" xfId="20" applyFont="1"/>
    <xf numFmtId="0" fontId="30" fillId="0" borderId="0" xfId="23" applyFont="1" applyAlignment="1">
      <alignment horizontal="center"/>
    </xf>
    <xf numFmtId="0" fontId="28" fillId="0" borderId="9" xfId="23" applyFont="1" applyBorder="1" applyAlignment="1">
      <alignment horizontal="center" vertical="center" wrapText="1"/>
    </xf>
    <xf numFmtId="0" fontId="28" fillId="0" borderId="8" xfId="23" applyFont="1" applyBorder="1" applyAlignment="1">
      <alignment horizontal="center" vertical="center" wrapText="1"/>
    </xf>
    <xf numFmtId="0" fontId="13" fillId="0" borderId="9" xfId="23" applyFont="1" applyBorder="1" applyAlignment="1">
      <alignment horizontal="center" vertical="center" wrapText="1"/>
    </xf>
    <xf numFmtId="0" fontId="13" fillId="9" borderId="9" xfId="23" applyFont="1" applyFill="1" applyBorder="1" applyAlignment="1">
      <alignment horizontal="center" vertical="center" wrapText="1"/>
    </xf>
    <xf numFmtId="0" fontId="13" fillId="0" borderId="9" xfId="23" applyFont="1" applyBorder="1"/>
    <xf numFmtId="0" fontId="30" fillId="0" borderId="9" xfId="23" applyFont="1" applyBorder="1"/>
    <xf numFmtId="0" fontId="13" fillId="14" borderId="6" xfId="4" applyFont="1" applyFill="1" applyBorder="1" applyAlignment="1">
      <alignment horizontal="left" vertical="center"/>
    </xf>
    <xf numFmtId="171" fontId="13" fillId="14" borderId="1" xfId="21" applyNumberFormat="1" applyFont="1" applyFill="1" applyBorder="1" applyAlignment="1" applyProtection="1">
      <alignment horizontal="center" vertical="center" wrapText="1"/>
    </xf>
    <xf numFmtId="171" fontId="13" fillId="14" borderId="1" xfId="4" applyNumberFormat="1" applyFont="1" applyFill="1" applyBorder="1" applyAlignment="1">
      <alignment horizontal="center" vertical="center" wrapText="1"/>
    </xf>
    <xf numFmtId="168" fontId="13" fillId="14" borderId="1" xfId="21" applyNumberFormat="1" applyFont="1" applyFill="1" applyBorder="1" applyAlignment="1" applyProtection="1">
      <alignment horizontal="center" vertical="center" wrapText="1"/>
    </xf>
    <xf numFmtId="165" fontId="13" fillId="14" borderId="1" xfId="4" applyNumberFormat="1" applyFont="1" applyFill="1" applyBorder="1" applyAlignment="1">
      <alignment horizontal="center" vertical="center" wrapText="1"/>
    </xf>
    <xf numFmtId="165" fontId="13" fillId="14" borderId="7" xfId="4" applyNumberFormat="1" applyFont="1" applyFill="1" applyBorder="1" applyAlignment="1">
      <alignment horizontal="center" vertical="center" wrapText="1"/>
    </xf>
    <xf numFmtId="165" fontId="13" fillId="14" borderId="9" xfId="4" applyNumberFormat="1" applyFont="1" applyFill="1" applyBorder="1" applyAlignment="1">
      <alignment horizontal="left" vertical="top" wrapText="1"/>
    </xf>
    <xf numFmtId="0" fontId="45" fillId="14" borderId="0" xfId="20" applyFont="1" applyFill="1"/>
    <xf numFmtId="0" fontId="28" fillId="0" borderId="9" xfId="23" applyFont="1" applyBorder="1" applyAlignment="1">
      <alignment horizontal="left" vertical="top" wrapText="1"/>
    </xf>
    <xf numFmtId="4" fontId="28" fillId="0" borderId="9" xfId="23" applyNumberFormat="1" applyFont="1" applyBorder="1" applyAlignment="1">
      <alignment horizontal="center" vertical="top" wrapText="1"/>
    </xf>
    <xf numFmtId="0" fontId="13" fillId="9" borderId="5" xfId="23" applyFont="1" applyFill="1" applyBorder="1" applyAlignment="1">
      <alignment horizontal="left" vertical="top"/>
    </xf>
    <xf numFmtId="0" fontId="13" fillId="0" borderId="9" xfId="23" applyFont="1" applyBorder="1" applyAlignment="1">
      <alignment horizontal="left" vertical="center" wrapText="1"/>
    </xf>
    <xf numFmtId="172" fontId="13" fillId="0" borderId="9" xfId="23" applyNumberFormat="1" applyFont="1" applyBorder="1" applyAlignment="1">
      <alignment horizontal="center" vertical="center" wrapText="1"/>
    </xf>
    <xf numFmtId="4" fontId="13" fillId="0" borderId="9" xfId="23" applyNumberFormat="1" applyFont="1" applyBorder="1" applyAlignment="1">
      <alignment horizontal="center" vertical="center" wrapText="1"/>
    </xf>
    <xf numFmtId="0" fontId="28" fillId="13" borderId="9" xfId="23" applyFont="1" applyFill="1" applyBorder="1" applyAlignment="1">
      <alignment horizontal="left" vertical="center" wrapText="1"/>
    </xf>
    <xf numFmtId="172" fontId="28" fillId="0" borderId="9" xfId="23" applyNumberFormat="1" applyFont="1" applyBorder="1" applyAlignment="1">
      <alignment horizontal="center" vertical="center" wrapText="1"/>
    </xf>
    <xf numFmtId="0" fontId="28" fillId="14" borderId="11" xfId="23" applyFont="1" applyFill="1" applyBorder="1" applyAlignment="1">
      <alignment horizontal="left" vertical="center" wrapText="1"/>
    </xf>
    <xf numFmtId="0" fontId="13" fillId="14" borderId="5" xfId="20" applyFont="1" applyFill="1" applyBorder="1" applyAlignment="1">
      <alignment horizontal="left" vertical="center" wrapText="1"/>
    </xf>
    <xf numFmtId="0" fontId="45" fillId="0" borderId="0" xfId="20" applyFont="1"/>
    <xf numFmtId="0" fontId="28" fillId="0" borderId="9" xfId="23" applyFont="1" applyBorder="1" applyAlignment="1">
      <alignment horizontal="left" vertical="center" wrapText="1"/>
    </xf>
    <xf numFmtId="4" fontId="28" fillId="0" borderId="9" xfId="23" applyNumberFormat="1" applyFont="1" applyBorder="1" applyAlignment="1">
      <alignment horizontal="center" vertical="center" wrapText="1"/>
    </xf>
    <xf numFmtId="4" fontId="13" fillId="0" borderId="9" xfId="20" applyNumberFormat="1" applyFont="1" applyBorder="1" applyAlignment="1">
      <alignment horizontal="center" vertical="center"/>
    </xf>
    <xf numFmtId="0" fontId="13" fillId="9" borderId="5" xfId="23" applyFont="1" applyFill="1" applyBorder="1" applyAlignment="1">
      <alignment horizontal="center"/>
    </xf>
    <xf numFmtId="0" fontId="13" fillId="0" borderId="9" xfId="23" applyFont="1" applyBorder="1" applyAlignment="1">
      <alignment horizontal="right" vertical="top" wrapText="1"/>
    </xf>
    <xf numFmtId="0" fontId="30" fillId="9" borderId="5" xfId="23" applyFont="1" applyFill="1" applyBorder="1" applyAlignment="1">
      <alignment horizontal="center"/>
    </xf>
    <xf numFmtId="0" fontId="13" fillId="0" borderId="9" xfId="23" applyFont="1" applyBorder="1" applyAlignment="1">
      <alignment horizontal="right" vertical="center" wrapText="1"/>
    </xf>
    <xf numFmtId="0" fontId="30" fillId="9" borderId="5" xfId="23" applyFont="1" applyFill="1" applyBorder="1" applyAlignment="1">
      <alignment horizontal="left" vertical="top"/>
    </xf>
    <xf numFmtId="4" fontId="13" fillId="9" borderId="9" xfId="23" applyNumberFormat="1" applyFont="1" applyFill="1" applyBorder="1" applyAlignment="1">
      <alignment horizontal="center" vertical="center" wrapText="1"/>
    </xf>
    <xf numFmtId="0" fontId="13" fillId="9" borderId="5" xfId="23" applyFont="1" applyFill="1" applyBorder="1" applyAlignment="1">
      <alignment horizontal="left" vertical="center"/>
    </xf>
    <xf numFmtId="0" fontId="13" fillId="9" borderId="5" xfId="23" applyFont="1" applyFill="1" applyBorder="1" applyAlignment="1">
      <alignment horizontal="left" vertical="top" wrapText="1"/>
    </xf>
    <xf numFmtId="0" fontId="13" fillId="0" borderId="5" xfId="23" applyFont="1" applyBorder="1" applyAlignment="1">
      <alignment horizontal="left" vertical="center" wrapText="1"/>
    </xf>
    <xf numFmtId="4" fontId="28" fillId="13" borderId="9" xfId="23" applyNumberFormat="1" applyFont="1" applyFill="1" applyBorder="1" applyAlignment="1">
      <alignment horizontal="center" vertical="center" wrapText="1"/>
    </xf>
    <xf numFmtId="0" fontId="28" fillId="14" borderId="9" xfId="23" applyFont="1" applyFill="1" applyBorder="1" applyAlignment="1">
      <alignment horizontal="left" vertical="center" wrapText="1"/>
    </xf>
    <xf numFmtId="4" fontId="28" fillId="14" borderId="9" xfId="23" applyNumberFormat="1" applyFont="1" applyFill="1" applyBorder="1" applyAlignment="1">
      <alignment horizontal="center" vertical="center" wrapText="1"/>
    </xf>
    <xf numFmtId="0" fontId="28" fillId="0" borderId="0" xfId="20" applyFont="1" applyAlignment="1">
      <alignment vertical="center" wrapText="1"/>
    </xf>
    <xf numFmtId="165" fontId="28" fillId="0" borderId="9" xfId="20" applyNumberFormat="1" applyFont="1" applyBorder="1" applyAlignment="1">
      <alignment horizontal="center" vertical="center" wrapText="1"/>
    </xf>
    <xf numFmtId="49" fontId="28" fillId="0" borderId="9" xfId="20" applyNumberFormat="1" applyFont="1" applyBorder="1" applyAlignment="1">
      <alignment horizontal="center" vertical="center" wrapText="1"/>
    </xf>
    <xf numFmtId="49" fontId="28" fillId="9" borderId="9" xfId="20" applyNumberFormat="1" applyFont="1" applyFill="1" applyBorder="1" applyAlignment="1">
      <alignment horizontal="center" vertical="center" wrapText="1"/>
    </xf>
    <xf numFmtId="0" fontId="13" fillId="14" borderId="10" xfId="20" applyFont="1" applyFill="1" applyBorder="1" applyAlignment="1">
      <alignment horizontal="left" vertical="center" wrapText="1"/>
    </xf>
    <xf numFmtId="0" fontId="41" fillId="14" borderId="11" xfId="20" applyFont="1" applyFill="1" applyBorder="1" applyAlignment="1">
      <alignment horizontal="left" vertical="center" wrapText="1"/>
    </xf>
    <xf numFmtId="0" fontId="41" fillId="14" borderId="12" xfId="20" applyFont="1" applyFill="1" applyBorder="1" applyAlignment="1">
      <alignment horizontal="left" vertical="center" wrapText="1"/>
    </xf>
    <xf numFmtId="165" fontId="41" fillId="0" borderId="5" xfId="20" applyNumberFormat="1" applyFont="1" applyBorder="1" applyAlignment="1">
      <alignment horizontal="center" vertical="center" wrapText="1"/>
    </xf>
    <xf numFmtId="0" fontId="28" fillId="0" borderId="9" xfId="20" applyFont="1" applyBorder="1" applyAlignment="1">
      <alignment horizontal="left" vertical="center" wrapText="1"/>
    </xf>
    <xf numFmtId="4" fontId="28" fillId="0" borderId="9" xfId="20" applyNumberFormat="1" applyFont="1" applyBorder="1" applyAlignment="1">
      <alignment horizontal="center" vertical="center"/>
    </xf>
    <xf numFmtId="0" fontId="13" fillId="0" borderId="9" xfId="20" applyFont="1" applyBorder="1" applyAlignment="1">
      <alignment horizontal="left" vertical="center" wrapText="1"/>
    </xf>
    <xf numFmtId="172" fontId="13" fillId="0" borderId="9" xfId="20" applyNumberFormat="1" applyFont="1" applyBorder="1" applyAlignment="1">
      <alignment horizontal="center" vertical="center" wrapText="1"/>
    </xf>
    <xf numFmtId="4" fontId="13" fillId="0" borderId="9" xfId="20" applyNumberFormat="1" applyFont="1" applyBorder="1" applyAlignment="1">
      <alignment horizontal="center" vertical="center" wrapText="1"/>
    </xf>
    <xf numFmtId="0" fontId="13" fillId="0" borderId="9" xfId="20" applyFont="1" applyBorder="1" applyAlignment="1">
      <alignment horizontal="right" vertical="center" wrapText="1"/>
    </xf>
    <xf numFmtId="0" fontId="28" fillId="9" borderId="9" xfId="20" applyFont="1" applyFill="1" applyBorder="1" applyAlignment="1">
      <alignment horizontal="left" vertical="center" wrapText="1"/>
    </xf>
    <xf numFmtId="0" fontId="30" fillId="0" borderId="5" xfId="20" applyFont="1" applyBorder="1" applyAlignment="1">
      <alignment horizontal="left" vertical="center" wrapText="1"/>
    </xf>
    <xf numFmtId="172" fontId="28" fillId="0" borderId="9" xfId="20" applyNumberFormat="1" applyFont="1" applyBorder="1" applyAlignment="1">
      <alignment horizontal="center" vertical="center" wrapText="1"/>
    </xf>
    <xf numFmtId="0" fontId="13" fillId="0" borderId="8" xfId="20" applyFont="1" applyBorder="1" applyAlignment="1">
      <alignment horizontal="center" vertical="center"/>
    </xf>
    <xf numFmtId="0" fontId="28" fillId="0" borderId="9" xfId="20" applyFont="1" applyBorder="1" applyAlignment="1">
      <alignment horizontal="center"/>
    </xf>
    <xf numFmtId="0" fontId="28" fillId="0" borderId="0" xfId="22" applyFont="1" applyAlignment="1">
      <alignment vertical="center"/>
    </xf>
    <xf numFmtId="0" fontId="13" fillId="0" borderId="0" xfId="22" applyFont="1"/>
    <xf numFmtId="0" fontId="47" fillId="0" borderId="0" xfId="20" applyFont="1"/>
    <xf numFmtId="0" fontId="13" fillId="9" borderId="0" xfId="22" applyFont="1" applyFill="1"/>
    <xf numFmtId="0" fontId="13" fillId="0" borderId="0" xfId="22" applyFont="1" applyAlignment="1">
      <alignment horizontal="center"/>
    </xf>
    <xf numFmtId="0" fontId="13" fillId="0" borderId="9" xfId="22" applyFont="1" applyBorder="1" applyAlignment="1">
      <alignment horizontal="center" wrapText="1"/>
    </xf>
    <xf numFmtId="0" fontId="28" fillId="9" borderId="9" xfId="22" applyFont="1" applyFill="1" applyBorder="1" applyAlignment="1">
      <alignment horizontal="center" vertical="center" wrapText="1"/>
    </xf>
    <xf numFmtId="0" fontId="13" fillId="0" borderId="9" xfId="22" applyFont="1" applyBorder="1" applyAlignment="1">
      <alignment horizontal="center" vertical="center" wrapText="1"/>
    </xf>
    <xf numFmtId="0" fontId="13" fillId="9" borderId="9" xfId="22" applyFont="1" applyFill="1" applyBorder="1" applyAlignment="1">
      <alignment horizontal="center" vertical="center" wrapText="1"/>
    </xf>
    <xf numFmtId="0" fontId="13" fillId="0" borderId="8" xfId="22" applyFont="1" applyBorder="1" applyAlignment="1">
      <alignment horizontal="center" vertical="center" wrapText="1"/>
    </xf>
    <xf numFmtId="0" fontId="13" fillId="9" borderId="8" xfId="22" applyFont="1" applyFill="1" applyBorder="1" applyAlignment="1">
      <alignment horizontal="center" vertical="center" wrapText="1"/>
    </xf>
    <xf numFmtId="0" fontId="13" fillId="14" borderId="9" xfId="22" applyFont="1" applyFill="1" applyBorder="1" applyAlignment="1">
      <alignment horizontal="center" wrapText="1"/>
    </xf>
    <xf numFmtId="0" fontId="13" fillId="14" borderId="2" xfId="22" applyFont="1" applyFill="1" applyBorder="1" applyAlignment="1">
      <alignment horizontal="center" wrapText="1"/>
    </xf>
    <xf numFmtId="0" fontId="13" fillId="0" borderId="9" xfId="22" applyFont="1" applyBorder="1" applyAlignment="1">
      <alignment horizontal="left" vertical="center"/>
    </xf>
    <xf numFmtId="4" fontId="13" fillId="0" borderId="10" xfId="22" applyNumberFormat="1" applyFont="1" applyBorder="1" applyAlignment="1">
      <alignment horizontal="center" vertical="center" wrapText="1"/>
    </xf>
    <xf numFmtId="4" fontId="13" fillId="9" borderId="10" xfId="22" applyNumberFormat="1" applyFont="1" applyFill="1" applyBorder="1" applyAlignment="1">
      <alignment horizontal="center" vertical="center" wrapText="1"/>
    </xf>
    <xf numFmtId="0" fontId="13" fillId="9" borderId="9" xfId="22" applyFont="1" applyFill="1" applyBorder="1" applyAlignment="1">
      <alignment horizontal="left" vertical="center"/>
    </xf>
    <xf numFmtId="0" fontId="28" fillId="0" borderId="5" xfId="22" applyFont="1" applyBorder="1" applyAlignment="1">
      <alignment horizontal="left" vertical="center" wrapText="1"/>
    </xf>
    <xf numFmtId="4" fontId="13" fillId="0" borderId="10" xfId="22" applyNumberFormat="1" applyFont="1" applyBorder="1" applyAlignment="1">
      <alignment horizontal="left" vertical="center" wrapText="1"/>
    </xf>
    <xf numFmtId="4" fontId="13" fillId="0" borderId="9" xfId="22" applyNumberFormat="1" applyFont="1" applyBorder="1" applyAlignment="1">
      <alignment horizontal="center" vertical="center"/>
    </xf>
    <xf numFmtId="0" fontId="28" fillId="16" borderId="9" xfId="22" applyFont="1" applyFill="1" applyBorder="1" applyAlignment="1">
      <alignment horizontal="left"/>
    </xf>
    <xf numFmtId="4" fontId="13" fillId="9" borderId="9" xfId="22" applyNumberFormat="1" applyFont="1" applyFill="1" applyBorder="1" applyAlignment="1">
      <alignment horizontal="center" vertical="center" wrapText="1"/>
    </xf>
    <xf numFmtId="0" fontId="28" fillId="14" borderId="9" xfId="22" applyFont="1" applyFill="1" applyBorder="1" applyAlignment="1">
      <alignment horizontal="left" wrapText="1"/>
    </xf>
    <xf numFmtId="4" fontId="28" fillId="14" borderId="9" xfId="22" applyNumberFormat="1" applyFont="1" applyFill="1" applyBorder="1" applyAlignment="1">
      <alignment horizontal="center" vertical="center" wrapText="1"/>
    </xf>
    <xf numFmtId="0" fontId="48" fillId="0" borderId="0" xfId="24"/>
    <xf numFmtId="0" fontId="0" fillId="0" borderId="0" xfId="0" applyProtection="1"/>
    <xf numFmtId="165" fontId="9" fillId="0" borderId="1" xfId="0" applyNumberFormat="1" applyFont="1" applyBorder="1" applyAlignment="1" applyProtection="1">
      <alignment horizontal="right" vertical="center" wrapText="1"/>
    </xf>
    <xf numFmtId="0" fontId="8" fillId="0" borderId="8" xfId="0" applyFont="1" applyBorder="1" applyAlignment="1" applyProtection="1">
      <alignment horizontal="left" vertical="center" wrapText="1"/>
    </xf>
    <xf numFmtId="0" fontId="8" fillId="0" borderId="9" xfId="0" applyFont="1" applyBorder="1" applyAlignment="1" applyProtection="1">
      <alignment horizontal="center" vertical="center" wrapText="1"/>
    </xf>
    <xf numFmtId="14" fontId="8" fillId="0" borderId="9" xfId="0" applyNumberFormat="1" applyFont="1" applyBorder="1" applyAlignment="1" applyProtection="1">
      <alignment horizontal="center" vertical="center" wrapText="1"/>
    </xf>
    <xf numFmtId="49" fontId="8" fillId="0" borderId="9" xfId="0" applyNumberFormat="1" applyFont="1" applyBorder="1" applyAlignment="1" applyProtection="1">
      <alignment horizontal="center" vertical="center" wrapText="1"/>
    </xf>
    <xf numFmtId="166" fontId="9" fillId="0" borderId="9" xfId="0" applyNumberFormat="1" applyFont="1" applyBorder="1" applyAlignment="1" applyProtection="1">
      <alignment horizontal="center" vertical="center" wrapText="1"/>
    </xf>
    <xf numFmtId="166" fontId="9" fillId="0" borderId="9" xfId="0" applyNumberFormat="1" applyFont="1" applyBorder="1" applyAlignment="1" applyProtection="1">
      <alignment horizontal="center" vertical="top" wrapText="1"/>
    </xf>
    <xf numFmtId="164" fontId="9" fillId="0" borderId="9" xfId="1" applyFont="1" applyFill="1" applyBorder="1" applyAlignment="1" applyProtection="1">
      <alignment vertical="center" wrapText="1"/>
    </xf>
    <xf numFmtId="166" fontId="9" fillId="0" borderId="10" xfId="0" applyNumberFormat="1" applyFont="1" applyBorder="1" applyAlignment="1" applyProtection="1">
      <alignment vertical="center" wrapText="1"/>
    </xf>
    <xf numFmtId="164" fontId="12" fillId="0" borderId="9" xfId="1" applyFont="1" applyFill="1" applyBorder="1" applyProtection="1"/>
    <xf numFmtId="164" fontId="12" fillId="0" borderId="9" xfId="1" applyFont="1" applyBorder="1" applyProtection="1"/>
    <xf numFmtId="0" fontId="9" fillId="0" borderId="9" xfId="0" applyFont="1" applyBorder="1" applyAlignment="1" applyProtection="1">
      <alignment horizontal="left" wrapText="1"/>
    </xf>
    <xf numFmtId="0" fontId="8" fillId="3" borderId="10" xfId="4" applyFont="1" applyFill="1" applyBorder="1" applyAlignment="1" applyProtection="1">
      <alignment horizontal="left"/>
    </xf>
    <xf numFmtId="0" fontId="8" fillId="3" borderId="9" xfId="4" applyFont="1" applyFill="1" applyBorder="1" applyAlignment="1" applyProtection="1">
      <alignment vertical="center"/>
    </xf>
    <xf numFmtId="0" fontId="8" fillId="2" borderId="9" xfId="0" applyFont="1" applyFill="1" applyBorder="1" applyAlignment="1" applyProtection="1">
      <alignment horizontal="left" wrapText="1"/>
    </xf>
    <xf numFmtId="0" fontId="12" fillId="0" borderId="0" xfId="0" applyFont="1" applyProtection="1"/>
    <xf numFmtId="164" fontId="12" fillId="0" borderId="0" xfId="1" applyFont="1" applyBorder="1" applyProtection="1"/>
    <xf numFmtId="0" fontId="9" fillId="0" borderId="0" xfId="0" applyFont="1" applyAlignment="1" applyProtection="1">
      <alignment wrapText="1"/>
    </xf>
    <xf numFmtId="0" fontId="9" fillId="0" borderId="1" xfId="0" applyFont="1" applyBorder="1" applyAlignment="1" applyProtection="1">
      <alignment horizontal="center" wrapText="1"/>
    </xf>
    <xf numFmtId="0" fontId="9" fillId="0" borderId="0" xfId="0" applyFont="1" applyAlignment="1" applyProtection="1">
      <alignment horizontal="center" wrapText="1"/>
    </xf>
    <xf numFmtId="0" fontId="13" fillId="0" borderId="0" xfId="0" applyFont="1" applyAlignment="1" applyProtection="1">
      <alignment horizontal="center" vertical="top" wrapText="1"/>
    </xf>
    <xf numFmtId="0" fontId="13" fillId="0" borderId="0" xfId="0" applyFont="1" applyAlignment="1" applyProtection="1">
      <alignment vertical="top" wrapText="1"/>
    </xf>
    <xf numFmtId="0" fontId="9" fillId="0" borderId="0" xfId="0" applyFont="1" applyAlignment="1" applyProtection="1">
      <alignment horizontal="left" vertical="top" wrapText="1"/>
    </xf>
    <xf numFmtId="164" fontId="9" fillId="0" borderId="9" xfId="1" applyFont="1" applyFill="1" applyBorder="1" applyAlignment="1" applyProtection="1">
      <alignment vertical="center" wrapText="1"/>
      <protection locked="0"/>
    </xf>
    <xf numFmtId="164" fontId="12" fillId="0" borderId="9" xfId="1" applyFont="1" applyFill="1" applyBorder="1" applyProtection="1">
      <protection locked="0"/>
    </xf>
    <xf numFmtId="164" fontId="12" fillId="0" borderId="9" xfId="1" applyFont="1" applyBorder="1" applyProtection="1">
      <protection locked="0"/>
    </xf>
    <xf numFmtId="0" fontId="12" fillId="0" borderId="9" xfId="0" applyFont="1" applyBorder="1" applyProtection="1">
      <protection locked="0"/>
    </xf>
    <xf numFmtId="166" fontId="9" fillId="0" borderId="9" xfId="0" applyNumberFormat="1" applyFont="1" applyBorder="1" applyAlignment="1" applyProtection="1">
      <alignment vertical="center" wrapText="1"/>
      <protection locked="0"/>
    </xf>
    <xf numFmtId="0" fontId="0" fillId="0" borderId="9" xfId="0" applyBorder="1" applyProtection="1">
      <protection locked="0"/>
    </xf>
    <xf numFmtId="14" fontId="0" fillId="0" borderId="0" xfId="0" applyNumberFormat="1"/>
    <xf numFmtId="14" fontId="8" fillId="0" borderId="9" xfId="0" applyNumberFormat="1" applyFont="1" applyBorder="1" applyAlignment="1" applyProtection="1">
      <alignment horizontal="center" vertical="center" wrapText="1"/>
      <protection locked="0"/>
    </xf>
    <xf numFmtId="0" fontId="30" fillId="0" borderId="0" xfId="20" applyFont="1" applyAlignment="1" applyProtection="1">
      <alignment horizontal="left" vertical="top" wrapText="1"/>
    </xf>
    <xf numFmtId="0" fontId="30" fillId="0" borderId="0" xfId="20" applyFont="1" applyAlignment="1" applyProtection="1">
      <alignment horizontal="justify" vertical="center" wrapText="1"/>
    </xf>
    <xf numFmtId="0" fontId="30" fillId="0" borderId="0" xfId="20" applyFont="1" applyAlignment="1" applyProtection="1">
      <alignment vertical="center" wrapText="1"/>
    </xf>
    <xf numFmtId="0" fontId="13" fillId="0" borderId="0" xfId="20" applyFont="1" applyAlignment="1" applyProtection="1">
      <alignment vertical="center" wrapText="1"/>
    </xf>
    <xf numFmtId="165" fontId="30" fillId="0" borderId="0" xfId="20" applyNumberFormat="1" applyFont="1" applyAlignment="1" applyProtection="1">
      <alignment vertical="center" wrapText="1"/>
    </xf>
    <xf numFmtId="165" fontId="31" fillId="0" borderId="0" xfId="20" applyNumberFormat="1" applyFont="1" applyAlignment="1" applyProtection="1">
      <alignment horizontal="left" vertical="center" wrapText="1"/>
    </xf>
    <xf numFmtId="0" fontId="10" fillId="0" borderId="0" xfId="20" applyFont="1" applyAlignment="1" applyProtection="1">
      <alignment vertical="center" wrapText="1"/>
    </xf>
    <xf numFmtId="0" fontId="5" fillId="0" borderId="0" xfId="20" applyProtection="1"/>
    <xf numFmtId="165" fontId="32" fillId="0" borderId="0" xfId="20" applyNumberFormat="1" applyFont="1" applyAlignment="1" applyProtection="1">
      <alignment vertical="center" wrapText="1"/>
    </xf>
    <xf numFmtId="165" fontId="32" fillId="0" borderId="1" xfId="20" applyNumberFormat="1" applyFont="1" applyBorder="1" applyAlignment="1" applyProtection="1">
      <alignment vertical="center" wrapText="1"/>
    </xf>
    <xf numFmtId="165" fontId="22" fillId="0" borderId="1" xfId="20" applyNumberFormat="1" applyFont="1" applyBorder="1" applyAlignment="1" applyProtection="1">
      <alignment horizontal="right" vertical="center" wrapText="1"/>
    </xf>
    <xf numFmtId="165" fontId="31" fillId="0" borderId="1" xfId="20" applyNumberFormat="1" applyFont="1" applyBorder="1" applyAlignment="1" applyProtection="1">
      <alignment horizontal="right" vertical="center" wrapText="1"/>
    </xf>
    <xf numFmtId="0" fontId="8" fillId="0" borderId="9" xfId="20" applyFont="1" applyBorder="1" applyAlignment="1" applyProtection="1">
      <alignment horizontal="center" vertical="center" wrapText="1"/>
    </xf>
    <xf numFmtId="14" fontId="8" fillId="0" borderId="9" xfId="20" applyNumberFormat="1" applyFont="1" applyBorder="1" applyAlignment="1" applyProtection="1">
      <alignment horizontal="center" vertical="center" wrapText="1"/>
    </xf>
    <xf numFmtId="49" fontId="8" fillId="0" borderId="9" xfId="20" applyNumberFormat="1" applyFont="1" applyBorder="1" applyAlignment="1" applyProtection="1">
      <alignment horizontal="center" vertical="center" wrapText="1"/>
    </xf>
    <xf numFmtId="166" fontId="9" fillId="0" borderId="9" xfId="20" applyNumberFormat="1" applyFont="1" applyBorder="1" applyAlignment="1" applyProtection="1">
      <alignment horizontal="left" vertical="top" wrapText="1"/>
    </xf>
    <xf numFmtId="166" fontId="9" fillId="0" borderId="9" xfId="20" applyNumberFormat="1" applyFont="1" applyBorder="1" applyAlignment="1" applyProtection="1">
      <alignment horizontal="center" vertical="center" wrapText="1"/>
    </xf>
    <xf numFmtId="166" fontId="10" fillId="13" borderId="9" xfId="20" applyNumberFormat="1" applyFont="1" applyFill="1" applyBorder="1" applyAlignment="1" applyProtection="1">
      <alignment horizontal="center" vertical="center" wrapText="1"/>
    </xf>
    <xf numFmtId="0" fontId="9" fillId="14" borderId="10" xfId="20" applyFont="1" applyFill="1" applyBorder="1" applyAlignment="1" applyProtection="1">
      <alignment horizontal="left" vertical="top" wrapText="1"/>
    </xf>
    <xf numFmtId="169" fontId="9" fillId="14" borderId="11" xfId="20" applyNumberFormat="1" applyFont="1" applyFill="1" applyBorder="1" applyAlignment="1" applyProtection="1">
      <alignment horizontal="center"/>
    </xf>
    <xf numFmtId="169" fontId="9" fillId="14" borderId="12" xfId="20" applyNumberFormat="1" applyFont="1" applyFill="1" applyBorder="1" applyAlignment="1" applyProtection="1">
      <alignment horizontal="center"/>
    </xf>
    <xf numFmtId="0" fontId="9" fillId="14" borderId="9" xfId="20" applyFont="1" applyFill="1" applyBorder="1" applyAlignment="1" applyProtection="1">
      <alignment vertical="center" wrapText="1"/>
    </xf>
    <xf numFmtId="0" fontId="10" fillId="0" borderId="9" xfId="20" applyFont="1" applyBorder="1" applyAlignment="1" applyProtection="1">
      <alignment vertical="center" wrapText="1"/>
    </xf>
    <xf numFmtId="0" fontId="8" fillId="0" borderId="9" xfId="20" applyFont="1" applyBorder="1" applyAlignment="1" applyProtection="1">
      <alignment horizontal="left" vertical="top" wrapText="1"/>
    </xf>
    <xf numFmtId="169" fontId="8" fillId="0" borderId="9" xfId="20" applyNumberFormat="1" applyFont="1" applyBorder="1" applyAlignment="1" applyProtection="1">
      <alignment horizontal="center"/>
    </xf>
    <xf numFmtId="0" fontId="16" fillId="0" borderId="9" xfId="20" applyFont="1" applyBorder="1" applyAlignment="1" applyProtection="1">
      <alignment vertical="center" wrapText="1"/>
    </xf>
    <xf numFmtId="0" fontId="18" fillId="0" borderId="0" xfId="20" applyFont="1" applyProtection="1"/>
    <xf numFmtId="0" fontId="9" fillId="0" borderId="9" xfId="20" applyFont="1" applyBorder="1" applyAlignment="1" applyProtection="1">
      <alignment horizontal="left" vertical="top" wrapText="1"/>
    </xf>
    <xf numFmtId="169" fontId="9" fillId="0" borderId="9" xfId="20" applyNumberFormat="1" applyFont="1" applyBorder="1" applyAlignment="1" applyProtection="1">
      <alignment horizontal="center"/>
    </xf>
    <xf numFmtId="0" fontId="9" fillId="0" borderId="9" xfId="20" applyFont="1" applyBorder="1" applyAlignment="1" applyProtection="1">
      <alignment vertical="center" wrapText="1"/>
    </xf>
    <xf numFmtId="0" fontId="8" fillId="0" borderId="9" xfId="20" applyFont="1" applyBorder="1" applyAlignment="1" applyProtection="1">
      <alignment vertical="center" wrapText="1"/>
    </xf>
    <xf numFmtId="0" fontId="9" fillId="0" borderId="9" xfId="20" applyFont="1" applyBorder="1" applyAlignment="1" applyProtection="1">
      <alignment horizontal="justify" vertical="center" wrapText="1"/>
    </xf>
    <xf numFmtId="0" fontId="9" fillId="9" borderId="9" xfId="4" applyFont="1" applyFill="1" applyBorder="1" applyAlignment="1" applyProtection="1">
      <alignment horizontal="left" vertical="top"/>
    </xf>
    <xf numFmtId="169" fontId="9" fillId="0" borderId="9" xfId="3" applyNumberFormat="1" applyFont="1" applyFill="1" applyBorder="1" applyAlignment="1" applyProtection="1">
      <alignment horizontal="center" vertical="center"/>
    </xf>
    <xf numFmtId="0" fontId="8" fillId="9" borderId="9" xfId="20" applyFont="1" applyFill="1" applyBorder="1" applyAlignment="1" applyProtection="1">
      <alignment horizontal="left" vertical="top" wrapText="1"/>
    </xf>
    <xf numFmtId="169" fontId="8" fillId="0" borderId="9" xfId="20" applyNumberFormat="1" applyFont="1" applyBorder="1" applyAlignment="1" applyProtection="1">
      <alignment horizontal="center" vertical="center"/>
    </xf>
    <xf numFmtId="169" fontId="8" fillId="0" borderId="9" xfId="3" applyNumberFormat="1" applyFont="1" applyFill="1" applyBorder="1" applyAlignment="1" applyProtection="1">
      <alignment horizontal="center" vertical="center"/>
    </xf>
    <xf numFmtId="0" fontId="9" fillId="9" borderId="9" xfId="20" applyFont="1" applyFill="1" applyBorder="1" applyAlignment="1" applyProtection="1">
      <alignment horizontal="left" vertical="top" wrapText="1"/>
    </xf>
    <xf numFmtId="169" fontId="9" fillId="0" borderId="9" xfId="3" applyNumberFormat="1" applyFont="1" applyFill="1" applyBorder="1" applyAlignment="1" applyProtection="1">
      <alignment horizontal="center"/>
    </xf>
    <xf numFmtId="169" fontId="9" fillId="13" borderId="9" xfId="20" applyNumberFormat="1" applyFont="1" applyFill="1" applyBorder="1" applyAlignment="1" applyProtection="1">
      <alignment horizontal="center"/>
    </xf>
    <xf numFmtId="0" fontId="9" fillId="14" borderId="6" xfId="4" applyFont="1" applyFill="1" applyBorder="1" applyAlignment="1" applyProtection="1">
      <alignment horizontal="left" vertical="top"/>
    </xf>
    <xf numFmtId="171" fontId="10" fillId="14" borderId="1" xfId="4" applyNumberFormat="1" applyFont="1" applyFill="1" applyBorder="1" applyAlignment="1" applyProtection="1">
      <alignment horizontal="center" vertical="center" wrapText="1"/>
    </xf>
    <xf numFmtId="165" fontId="10" fillId="14" borderId="1" xfId="4" applyNumberFormat="1" applyFont="1" applyFill="1" applyBorder="1" applyAlignment="1" applyProtection="1">
      <alignment horizontal="center" vertical="center" wrapText="1"/>
    </xf>
    <xf numFmtId="165" fontId="10" fillId="14" borderId="7" xfId="4" applyNumberFormat="1" applyFont="1" applyFill="1" applyBorder="1" applyAlignment="1" applyProtection="1">
      <alignment horizontal="center" vertical="center" wrapText="1"/>
    </xf>
    <xf numFmtId="165" fontId="12" fillId="14" borderId="9" xfId="4" applyNumberFormat="1" applyFont="1" applyFill="1" applyBorder="1" applyAlignment="1" applyProtection="1">
      <alignment horizontal="left" vertical="top" wrapText="1"/>
    </xf>
    <xf numFmtId="0" fontId="8" fillId="0" borderId="9" xfId="20" applyFont="1" applyBorder="1" applyAlignment="1" applyProtection="1">
      <alignment horizontal="justify" vertical="top" wrapText="1"/>
    </xf>
    <xf numFmtId="0" fontId="9" fillId="0" borderId="9" xfId="20" applyFont="1" applyBorder="1" applyAlignment="1" applyProtection="1">
      <alignment horizontal="right" vertical="top" wrapText="1"/>
    </xf>
    <xf numFmtId="0" fontId="9" fillId="0" borderId="9" xfId="20" applyFont="1" applyBorder="1" applyAlignment="1" applyProtection="1">
      <alignment horizontal="justify" vertical="top" wrapText="1"/>
    </xf>
    <xf numFmtId="0" fontId="9" fillId="0" borderId="0" xfId="20" applyFont="1" applyAlignment="1" applyProtection="1">
      <alignment horizontal="left" vertical="center" wrapText="1"/>
    </xf>
    <xf numFmtId="0" fontId="9" fillId="0" borderId="10" xfId="20" applyFont="1" applyBorder="1" applyAlignment="1" applyProtection="1">
      <alignment horizontal="left" vertical="top"/>
    </xf>
    <xf numFmtId="0" fontId="10" fillId="0" borderId="11" xfId="20" applyFont="1" applyBorder="1" applyAlignment="1" applyProtection="1">
      <alignment horizontal="left" vertical="center" wrapText="1"/>
    </xf>
    <xf numFmtId="0" fontId="10" fillId="0" borderId="12" xfId="20" applyFont="1" applyBorder="1" applyAlignment="1" applyProtection="1">
      <alignment horizontal="left" vertical="center" wrapText="1"/>
    </xf>
    <xf numFmtId="0" fontId="9" fillId="0" borderId="11" xfId="20" applyFont="1" applyBorder="1" applyAlignment="1" applyProtection="1">
      <alignment horizontal="left" vertical="center" wrapText="1"/>
    </xf>
    <xf numFmtId="0" fontId="9" fillId="0" borderId="12" xfId="20" applyFont="1" applyBorder="1" applyAlignment="1" applyProtection="1">
      <alignment horizontal="left" vertical="center" wrapText="1"/>
    </xf>
    <xf numFmtId="171" fontId="9" fillId="14" borderId="1" xfId="4" applyNumberFormat="1" applyFont="1" applyFill="1" applyBorder="1" applyAlignment="1" applyProtection="1">
      <alignment horizontal="center" vertical="center" wrapText="1"/>
    </xf>
    <xf numFmtId="165" fontId="9" fillId="14" borderId="1" xfId="4" applyNumberFormat="1" applyFont="1" applyFill="1" applyBorder="1" applyAlignment="1" applyProtection="1">
      <alignment horizontal="center" vertical="center" wrapText="1"/>
    </xf>
    <xf numFmtId="165" fontId="9" fillId="14" borderId="7" xfId="4" applyNumberFormat="1" applyFont="1" applyFill="1" applyBorder="1" applyAlignment="1" applyProtection="1">
      <alignment horizontal="center" vertical="center" wrapText="1"/>
    </xf>
    <xf numFmtId="165" fontId="9" fillId="14" borderId="9" xfId="4" applyNumberFormat="1" applyFont="1" applyFill="1" applyBorder="1" applyAlignment="1" applyProtection="1">
      <alignment horizontal="left" vertical="top" wrapText="1"/>
    </xf>
    <xf numFmtId="0" fontId="8" fillId="0" borderId="8" xfId="20" applyFont="1" applyBorder="1" applyAlignment="1" applyProtection="1">
      <alignment horizontal="left" vertical="top" wrapText="1"/>
    </xf>
    <xf numFmtId="169" fontId="8" fillId="0" borderId="8" xfId="20" applyNumberFormat="1" applyFont="1" applyBorder="1" applyAlignment="1" applyProtection="1">
      <alignment horizontal="center"/>
    </xf>
    <xf numFmtId="165" fontId="9" fillId="0" borderId="9" xfId="4" applyNumberFormat="1" applyFont="1" applyBorder="1" applyAlignment="1" applyProtection="1">
      <alignment horizontal="center" vertical="center" wrapText="1"/>
    </xf>
    <xf numFmtId="165" fontId="9" fillId="0" borderId="5" xfId="4" applyNumberFormat="1" applyFont="1" applyBorder="1" applyAlignment="1" applyProtection="1">
      <alignment horizontal="left" vertical="top" wrapText="1"/>
    </xf>
    <xf numFmtId="0" fontId="9" fillId="9" borderId="9" xfId="20" applyFont="1" applyFill="1" applyBorder="1" applyAlignment="1" applyProtection="1">
      <alignment horizontal="right" vertical="top" wrapText="1"/>
    </xf>
    <xf numFmtId="0" fontId="9" fillId="14" borderId="10" xfId="4" applyFont="1" applyFill="1" applyBorder="1" applyAlignment="1" applyProtection="1">
      <alignment horizontal="left" vertical="top"/>
    </xf>
    <xf numFmtId="171" fontId="9" fillId="0" borderId="11" xfId="4" applyNumberFormat="1" applyFont="1" applyBorder="1" applyAlignment="1" applyProtection="1">
      <alignment horizontal="center" vertical="center" wrapText="1"/>
    </xf>
    <xf numFmtId="171" fontId="9" fillId="0" borderId="12" xfId="4" applyNumberFormat="1" applyFont="1" applyBorder="1" applyAlignment="1" applyProtection="1">
      <alignment horizontal="center" vertical="center" wrapText="1"/>
    </xf>
    <xf numFmtId="171" fontId="9" fillId="0" borderId="9" xfId="4" applyNumberFormat="1" applyFont="1" applyBorder="1" applyAlignment="1" applyProtection="1">
      <alignment horizontal="center" vertical="center" wrapText="1"/>
    </xf>
    <xf numFmtId="165" fontId="9" fillId="0" borderId="9" xfId="4" applyNumberFormat="1" applyFont="1" applyBorder="1" applyAlignment="1" applyProtection="1">
      <alignment vertical="center" wrapText="1"/>
    </xf>
    <xf numFmtId="0" fontId="21" fillId="13" borderId="9" xfId="4" applyFont="1" applyFill="1" applyBorder="1" applyAlignment="1" applyProtection="1">
      <alignment horizontal="left" vertical="top"/>
    </xf>
    <xf numFmtId="0" fontId="9" fillId="14" borderId="10" xfId="4" applyFont="1" applyFill="1" applyBorder="1" applyAlignment="1" applyProtection="1">
      <alignment horizontal="left" vertical="top" wrapText="1"/>
    </xf>
    <xf numFmtId="0" fontId="5" fillId="0" borderId="0" xfId="20" applyAlignment="1" applyProtection="1">
      <alignment vertical="top"/>
    </xf>
    <xf numFmtId="14" fontId="8" fillId="0" borderId="9" xfId="20" applyNumberFormat="1" applyFont="1" applyBorder="1" applyAlignment="1" applyProtection="1">
      <alignment horizontal="center" vertical="center" wrapText="1"/>
      <protection locked="0"/>
    </xf>
    <xf numFmtId="169" fontId="8" fillId="0" borderId="9" xfId="20" applyNumberFormat="1" applyFont="1" applyBorder="1" applyAlignment="1" applyProtection="1">
      <alignment horizontal="center"/>
      <protection locked="0"/>
    </xf>
    <xf numFmtId="169" fontId="9" fillId="0" borderId="9" xfId="20" applyNumberFormat="1" applyFont="1" applyBorder="1" applyAlignment="1" applyProtection="1">
      <alignment horizontal="center"/>
      <protection locked="0"/>
    </xf>
    <xf numFmtId="169" fontId="8" fillId="0" borderId="9" xfId="20" applyNumberFormat="1" applyFont="1" applyBorder="1" applyAlignment="1" applyProtection="1">
      <alignment horizontal="center" vertical="center"/>
      <protection locked="0"/>
    </xf>
    <xf numFmtId="169" fontId="9" fillId="0" borderId="9" xfId="3" applyNumberFormat="1" applyFont="1" applyFill="1" applyBorder="1" applyAlignment="1" applyProtection="1">
      <alignment horizontal="center"/>
      <protection locked="0"/>
    </xf>
    <xf numFmtId="169" fontId="8" fillId="0" borderId="8" xfId="20" applyNumberFormat="1" applyFont="1" applyBorder="1" applyAlignment="1" applyProtection="1">
      <alignment horizontal="center"/>
      <protection locked="0"/>
    </xf>
    <xf numFmtId="165" fontId="10" fillId="0" borderId="9" xfId="4" applyNumberFormat="1" applyFont="1" applyBorder="1" applyAlignment="1" applyProtection="1">
      <alignment horizontal="center" vertical="center" wrapText="1"/>
      <protection locked="0"/>
    </xf>
    <xf numFmtId="0" fontId="13" fillId="0" borderId="5" xfId="22" applyFont="1" applyBorder="1" applyAlignment="1">
      <alignment horizontal="center"/>
    </xf>
    <xf numFmtId="166" fontId="13" fillId="0" borderId="0" xfId="0" applyNumberFormat="1" applyFont="1" applyFill="1" applyAlignment="1">
      <alignment vertical="center" wrapText="1"/>
    </xf>
    <xf numFmtId="166" fontId="13" fillId="0" borderId="0" xfId="0" applyNumberFormat="1" applyFont="1" applyFill="1" applyBorder="1" applyAlignment="1">
      <alignment vertical="center" wrapText="1"/>
    </xf>
    <xf numFmtId="0" fontId="28" fillId="0" borderId="0" xfId="0" applyFont="1" applyFill="1" applyBorder="1" applyAlignment="1">
      <alignment vertical="center" wrapText="1"/>
    </xf>
    <xf numFmtId="0" fontId="13" fillId="0" borderId="9" xfId="0" applyFont="1" applyFill="1" applyBorder="1" applyAlignment="1">
      <alignment horizontal="left" vertical="center" wrapText="1"/>
    </xf>
    <xf numFmtId="170" fontId="13" fillId="0" borderId="9" xfId="21" applyFont="1" applyFill="1" applyBorder="1" applyAlignment="1" applyProtection="1">
      <alignment vertical="center" wrapText="1"/>
    </xf>
    <xf numFmtId="0" fontId="13" fillId="0" borderId="0" xfId="20" applyFont="1"/>
    <xf numFmtId="0" fontId="51" fillId="9" borderId="9" xfId="4" applyFont="1" applyFill="1" applyBorder="1" applyAlignment="1">
      <alignment vertical="center" wrapText="1"/>
    </xf>
    <xf numFmtId="49" fontId="8" fillId="17" borderId="9" xfId="0" applyNumberFormat="1" applyFont="1" applyFill="1" applyBorder="1" applyAlignment="1">
      <alignment horizontal="center" vertical="center" wrapText="1"/>
    </xf>
    <xf numFmtId="165" fontId="13" fillId="0" borderId="0" xfId="0" applyNumberFormat="1" applyFont="1" applyFill="1" applyAlignment="1">
      <alignment vertical="center" wrapText="1"/>
    </xf>
    <xf numFmtId="0" fontId="13" fillId="0" borderId="0" xfId="0" applyFont="1" applyFill="1" applyAlignment="1">
      <alignment vertical="center" wrapText="1"/>
    </xf>
    <xf numFmtId="0" fontId="13" fillId="9" borderId="0" xfId="0" applyFont="1" applyFill="1" applyAlignment="1">
      <alignment vertical="center" wrapText="1"/>
    </xf>
    <xf numFmtId="0" fontId="13" fillId="0" borderId="0" xfId="0" applyFont="1" applyFill="1" applyAlignment="1">
      <alignment horizontal="justify" vertical="center" wrapText="1"/>
    </xf>
    <xf numFmtId="0" fontId="13" fillId="0" borderId="0" xfId="0" applyFont="1" applyFill="1" applyAlignment="1">
      <alignment horizontal="left" vertical="center" wrapText="1"/>
    </xf>
    <xf numFmtId="0" fontId="13" fillId="0" borderId="0" xfId="0" applyFont="1" applyFill="1" applyAlignment="1">
      <alignment horizontal="center" wrapText="1"/>
    </xf>
    <xf numFmtId="165" fontId="13" fillId="0" borderId="0" xfId="0" applyNumberFormat="1" applyFont="1" applyFill="1" applyAlignment="1">
      <alignment horizontal="center" vertical="center" wrapText="1"/>
    </xf>
    <xf numFmtId="4" fontId="12" fillId="0" borderId="9" xfId="0" applyNumberFormat="1" applyFont="1" applyFill="1" applyBorder="1"/>
    <xf numFmtId="0" fontId="12" fillId="0" borderId="9" xfId="0" applyFont="1" applyBorder="1" applyAlignment="1">
      <alignment wrapText="1"/>
    </xf>
    <xf numFmtId="0" fontId="52" fillId="0" borderId="0" xfId="20" applyFont="1"/>
    <xf numFmtId="0" fontId="52" fillId="0" borderId="1" xfId="20" applyFont="1" applyBorder="1"/>
    <xf numFmtId="0" fontId="9" fillId="17" borderId="9" xfId="0" applyFont="1" applyFill="1" applyBorder="1" applyAlignment="1" applyProtection="1">
      <alignment horizontal="left" wrapText="1"/>
    </xf>
    <xf numFmtId="164" fontId="12" fillId="17" borderId="9" xfId="1" applyFont="1" applyFill="1" applyBorder="1" applyProtection="1"/>
    <xf numFmtId="164" fontId="0" fillId="17" borderId="9" xfId="1" applyFont="1" applyFill="1" applyBorder="1" applyProtection="1"/>
    <xf numFmtId="164" fontId="12" fillId="17" borderId="9" xfId="1" applyFont="1" applyFill="1" applyBorder="1" applyProtection="1">
      <protection locked="0"/>
    </xf>
    <xf numFmtId="164" fontId="0" fillId="2" borderId="9" xfId="1" applyFont="1" applyFill="1" applyBorder="1" applyProtection="1">
      <protection locked="0"/>
    </xf>
    <xf numFmtId="164" fontId="12" fillId="2" borderId="9" xfId="1" applyFont="1" applyFill="1" applyBorder="1" applyProtection="1">
      <protection locked="0"/>
    </xf>
    <xf numFmtId="164" fontId="12" fillId="2" borderId="9" xfId="1" applyFont="1" applyFill="1" applyBorder="1" applyProtection="1"/>
    <xf numFmtId="164" fontId="0" fillId="2" borderId="9" xfId="1" applyFont="1" applyFill="1" applyBorder="1" applyProtection="1"/>
    <xf numFmtId="164" fontId="12" fillId="3" borderId="9" xfId="1" applyFont="1" applyFill="1" applyBorder="1" applyProtection="1"/>
    <xf numFmtId="164" fontId="0" fillId="3" borderId="9" xfId="1" applyFont="1" applyFill="1" applyBorder="1" applyProtection="1"/>
    <xf numFmtId="164" fontId="12" fillId="3" borderId="9" xfId="1" applyFont="1" applyFill="1" applyBorder="1" applyProtection="1">
      <protection locked="0"/>
    </xf>
    <xf numFmtId="164" fontId="0" fillId="3" borderId="9" xfId="1" applyFont="1" applyFill="1" applyBorder="1" applyProtection="1">
      <protection locked="0"/>
    </xf>
    <xf numFmtId="164" fontId="0" fillId="5" borderId="9" xfId="1" applyFont="1" applyFill="1" applyBorder="1" applyProtection="1"/>
    <xf numFmtId="164" fontId="0" fillId="5" borderId="9" xfId="1" applyFont="1" applyFill="1" applyBorder="1" applyProtection="1">
      <protection locked="0"/>
    </xf>
    <xf numFmtId="0" fontId="9" fillId="17" borderId="9" xfId="0" applyFont="1" applyFill="1" applyBorder="1" applyAlignment="1" applyProtection="1">
      <alignment horizontal="left" vertical="center" wrapText="1"/>
    </xf>
    <xf numFmtId="166" fontId="8" fillId="19" borderId="10" xfId="0" applyNumberFormat="1" applyFont="1" applyFill="1" applyBorder="1" applyAlignment="1" applyProtection="1">
      <alignment vertical="center" wrapText="1"/>
    </xf>
    <xf numFmtId="164" fontId="9" fillId="19" borderId="9" xfId="1" applyFont="1" applyFill="1" applyBorder="1" applyAlignment="1" applyProtection="1">
      <alignment vertical="center" wrapText="1"/>
    </xf>
    <xf numFmtId="164" fontId="9" fillId="19" borderId="9" xfId="1" applyFont="1" applyFill="1" applyBorder="1" applyAlignment="1" applyProtection="1">
      <alignment vertical="center" wrapText="1"/>
      <protection locked="0"/>
    </xf>
    <xf numFmtId="0" fontId="8" fillId="19" borderId="9" xfId="0" applyFont="1" applyFill="1" applyBorder="1" applyAlignment="1" applyProtection="1">
      <alignment horizontal="left" wrapText="1"/>
    </xf>
    <xf numFmtId="164" fontId="0" fillId="19" borderId="9" xfId="1" applyFont="1" applyFill="1" applyBorder="1" applyProtection="1"/>
    <xf numFmtId="164" fontId="0" fillId="19" borderId="9" xfId="1" applyFont="1" applyFill="1" applyBorder="1" applyProtection="1">
      <protection locked="0"/>
    </xf>
    <xf numFmtId="0" fontId="8" fillId="17" borderId="9" xfId="0" applyFont="1" applyFill="1" applyBorder="1" applyAlignment="1" applyProtection="1">
      <alignment horizontal="left" wrapText="1"/>
    </xf>
    <xf numFmtId="164" fontId="12" fillId="17" borderId="9" xfId="0" applyNumberFormat="1" applyFont="1" applyFill="1" applyBorder="1" applyProtection="1"/>
    <xf numFmtId="164" fontId="12" fillId="17" borderId="9" xfId="0" applyNumberFormat="1" applyFont="1" applyFill="1" applyBorder="1" applyProtection="1">
      <protection locked="0"/>
    </xf>
    <xf numFmtId="0" fontId="12" fillId="17" borderId="9" xfId="0" applyFont="1" applyFill="1" applyBorder="1" applyProtection="1"/>
    <xf numFmtId="0" fontId="12" fillId="17" borderId="9" xfId="0" applyFont="1" applyFill="1" applyBorder="1" applyProtection="1">
      <protection locked="0"/>
    </xf>
    <xf numFmtId="164" fontId="0" fillId="17" borderId="9" xfId="1" applyFont="1" applyFill="1" applyBorder="1" applyProtection="1">
      <protection locked="0"/>
    </xf>
    <xf numFmtId="164" fontId="19" fillId="17" borderId="9" xfId="1" applyFont="1" applyFill="1" applyBorder="1" applyProtection="1"/>
    <xf numFmtId="164" fontId="19" fillId="17" borderId="9" xfId="1" applyFont="1" applyFill="1" applyBorder="1" applyProtection="1">
      <protection locked="0"/>
    </xf>
    <xf numFmtId="0" fontId="8" fillId="17" borderId="9" xfId="0" applyFont="1" applyFill="1" applyBorder="1" applyAlignment="1" applyProtection="1">
      <alignment horizontal="left" vertical="center" wrapText="1"/>
    </xf>
    <xf numFmtId="0" fontId="8" fillId="12" borderId="9" xfId="0" applyFont="1" applyFill="1" applyBorder="1" applyAlignment="1" applyProtection="1">
      <alignment horizontal="left" wrapText="1"/>
    </xf>
    <xf numFmtId="164" fontId="12" fillId="12" borderId="9" xfId="1" applyFont="1" applyFill="1" applyBorder="1" applyProtection="1"/>
    <xf numFmtId="164" fontId="0" fillId="12" borderId="9" xfId="1" applyFont="1" applyFill="1" applyBorder="1" applyProtection="1"/>
    <xf numFmtId="164" fontId="0" fillId="12" borderId="9" xfId="1" applyFont="1" applyFill="1" applyBorder="1" applyProtection="1">
      <protection locked="0"/>
    </xf>
    <xf numFmtId="164" fontId="12" fillId="12" borderId="9" xfId="1" applyFont="1" applyFill="1" applyBorder="1" applyProtection="1">
      <protection locked="0"/>
    </xf>
    <xf numFmtId="164" fontId="19" fillId="17" borderId="9" xfId="0" applyNumberFormat="1" applyFont="1" applyFill="1" applyBorder="1" applyProtection="1"/>
    <xf numFmtId="164" fontId="19" fillId="17" borderId="9" xfId="0" applyNumberFormat="1" applyFont="1" applyFill="1" applyBorder="1" applyProtection="1">
      <protection locked="0"/>
    </xf>
    <xf numFmtId="0" fontId="12" fillId="0" borderId="0" xfId="0" applyFont="1" applyFill="1" applyProtection="1"/>
    <xf numFmtId="173" fontId="19" fillId="17" borderId="9" xfId="1" applyNumberFormat="1" applyFont="1" applyFill="1" applyBorder="1" applyProtection="1"/>
    <xf numFmtId="173" fontId="12" fillId="17" borderId="9" xfId="1" applyNumberFormat="1" applyFont="1" applyFill="1" applyBorder="1" applyProtection="1"/>
    <xf numFmtId="0" fontId="53" fillId="0" borderId="0" xfId="0" applyFont="1" applyProtection="1"/>
    <xf numFmtId="164" fontId="53" fillId="0" borderId="0" xfId="0" applyNumberFormat="1" applyFont="1" applyProtection="1"/>
    <xf numFmtId="0" fontId="31" fillId="0" borderId="0" xfId="0" applyFont="1" applyProtection="1"/>
    <xf numFmtId="164" fontId="54" fillId="0" borderId="0" xfId="0" applyNumberFormat="1" applyFont="1" applyProtection="1"/>
    <xf numFmtId="0" fontId="55" fillId="0" borderId="9" xfId="0" applyFont="1" applyBorder="1" applyAlignment="1" applyProtection="1">
      <alignment vertical="top" wrapText="1"/>
      <protection locked="0"/>
    </xf>
    <xf numFmtId="0" fontId="55" fillId="0" borderId="9" xfId="0" applyFont="1" applyBorder="1" applyAlignment="1" applyProtection="1">
      <alignment horizontal="left" vertical="top" wrapText="1"/>
      <protection locked="0"/>
    </xf>
    <xf numFmtId="0" fontId="8" fillId="12" borderId="9" xfId="0" applyFont="1" applyFill="1" applyBorder="1" applyAlignment="1" applyProtection="1">
      <alignment horizontal="left" vertical="top" wrapText="1"/>
    </xf>
    <xf numFmtId="0" fontId="9" fillId="2" borderId="9" xfId="0" applyFont="1" applyFill="1" applyBorder="1" applyAlignment="1" applyProtection="1">
      <alignment horizontal="left" vertical="top" wrapText="1"/>
    </xf>
    <xf numFmtId="0" fontId="9" fillId="12" borderId="9" xfId="0" applyFont="1" applyFill="1" applyBorder="1" applyAlignment="1" applyProtection="1">
      <alignment horizontal="left" vertical="top" wrapText="1"/>
    </xf>
    <xf numFmtId="0" fontId="51" fillId="0" borderId="9" xfId="0" applyNumberFormat="1" applyFont="1" applyFill="1" applyBorder="1" applyAlignment="1">
      <alignment vertical="center" wrapText="1"/>
    </xf>
    <xf numFmtId="0" fontId="56" fillId="0" borderId="9" xfId="0" applyNumberFormat="1" applyFont="1" applyFill="1" applyBorder="1" applyAlignment="1">
      <alignment vertical="center" wrapText="1"/>
    </xf>
    <xf numFmtId="0" fontId="51" fillId="0" borderId="9" xfId="0" applyNumberFormat="1" applyFont="1" applyFill="1" applyBorder="1" applyAlignment="1">
      <alignment horizontal="left" vertical="center" wrapText="1"/>
    </xf>
    <xf numFmtId="0" fontId="28" fillId="0" borderId="9" xfId="20" applyFont="1" applyFill="1" applyBorder="1" applyAlignment="1">
      <alignment horizontal="left" vertical="center" wrapText="1"/>
    </xf>
    <xf numFmtId="172" fontId="28" fillId="0" borderId="9" xfId="20" applyNumberFormat="1" applyFont="1" applyFill="1" applyBorder="1" applyAlignment="1">
      <alignment horizontal="center" vertical="center" wrapText="1"/>
    </xf>
    <xf numFmtId="4" fontId="28" fillId="0" borderId="9" xfId="20" applyNumberFormat="1" applyFont="1" applyFill="1" applyBorder="1" applyAlignment="1">
      <alignment horizontal="center" vertical="center"/>
    </xf>
    <xf numFmtId="0" fontId="13" fillId="0" borderId="8" xfId="20" applyFont="1" applyFill="1" applyBorder="1" applyAlignment="1">
      <alignment horizontal="center" vertical="center"/>
    </xf>
    <xf numFmtId="0" fontId="44" fillId="0" borderId="0" xfId="20" applyFont="1" applyFill="1"/>
    <xf numFmtId="0" fontId="13" fillId="0" borderId="9" xfId="20" applyFont="1" applyFill="1" applyBorder="1" applyAlignment="1">
      <alignment horizontal="left" vertical="center" wrapText="1"/>
    </xf>
    <xf numFmtId="172" fontId="13" fillId="0" borderId="9" xfId="20" applyNumberFormat="1" applyFont="1" applyFill="1" applyBorder="1" applyAlignment="1">
      <alignment horizontal="center" vertical="center" wrapText="1"/>
    </xf>
    <xf numFmtId="4" fontId="13" fillId="0" borderId="9" xfId="20" applyNumberFormat="1" applyFont="1" applyFill="1" applyBorder="1" applyAlignment="1">
      <alignment horizontal="center" vertical="center"/>
    </xf>
    <xf numFmtId="4" fontId="13" fillId="0" borderId="9" xfId="20" applyNumberFormat="1" applyFont="1" applyFill="1" applyBorder="1" applyAlignment="1">
      <alignment horizontal="center" vertical="center" wrapText="1"/>
    </xf>
    <xf numFmtId="0" fontId="13" fillId="0" borderId="9" xfId="20" applyFont="1" applyFill="1" applyBorder="1" applyAlignment="1">
      <alignment horizontal="right" vertical="center" wrapText="1"/>
    </xf>
    <xf numFmtId="2" fontId="9" fillId="0" borderId="9" xfId="0" applyNumberFormat="1" applyFont="1" applyBorder="1" applyAlignment="1">
      <alignment horizontal="center" vertical="center" wrapText="1"/>
    </xf>
    <xf numFmtId="2" fontId="9" fillId="0" borderId="9" xfId="1" applyNumberFormat="1" applyFont="1" applyFill="1" applyBorder="1" applyAlignment="1">
      <alignment vertical="center" wrapText="1"/>
    </xf>
    <xf numFmtId="2" fontId="9" fillId="0" borderId="9" xfId="1" applyNumberFormat="1" applyFont="1" applyFill="1" applyBorder="1"/>
    <xf numFmtId="2" fontId="9" fillId="0" borderId="9" xfId="0" applyNumberFormat="1" applyFont="1" applyBorder="1"/>
    <xf numFmtId="2" fontId="15" fillId="0" borderId="9" xfId="0" applyNumberFormat="1" applyFont="1" applyBorder="1"/>
    <xf numFmtId="2" fontId="9" fillId="0" borderId="9" xfId="16" applyNumberFormat="1" applyFont="1" applyFill="1" applyBorder="1" applyAlignment="1" applyProtection="1">
      <alignment horizontal="right" vertical="center" wrapText="1"/>
      <protection locked="0"/>
    </xf>
    <xf numFmtId="164" fontId="9" fillId="0" borderId="9" xfId="0" applyNumberFormat="1" applyFont="1" applyBorder="1" applyAlignment="1">
      <alignment horizontal="right"/>
    </xf>
    <xf numFmtId="1" fontId="9" fillId="0" borderId="9" xfId="0" applyNumberFormat="1" applyFont="1" applyBorder="1" applyAlignment="1">
      <alignment horizontal="center" vertical="center" wrapText="1"/>
    </xf>
    <xf numFmtId="0" fontId="13" fillId="0" borderId="9" xfId="22" applyFont="1" applyBorder="1" applyAlignment="1">
      <alignment vertical="top" wrapText="1"/>
    </xf>
    <xf numFmtId="0" fontId="8" fillId="0" borderId="9" xfId="20" applyFont="1" applyFill="1" applyBorder="1" applyAlignment="1" applyProtection="1">
      <alignment horizontal="left" vertical="top" wrapText="1"/>
    </xf>
    <xf numFmtId="169" fontId="8" fillId="0" borderId="9" xfId="20" applyNumberFormat="1" applyFont="1" applyFill="1" applyBorder="1" applyAlignment="1" applyProtection="1">
      <alignment horizontal="center"/>
    </xf>
    <xf numFmtId="169" fontId="8" fillId="0" borderId="9" xfId="20" applyNumberFormat="1" applyFont="1" applyFill="1" applyBorder="1" applyAlignment="1" applyProtection="1">
      <alignment horizontal="center"/>
      <protection locked="0"/>
    </xf>
    <xf numFmtId="0" fontId="9" fillId="0" borderId="9" xfId="20" applyFont="1" applyFill="1" applyBorder="1" applyAlignment="1" applyProtection="1">
      <alignment horizontal="left" vertical="top" wrapText="1"/>
    </xf>
    <xf numFmtId="169" fontId="9" fillId="0" borderId="9" xfId="20" applyNumberFormat="1" applyFont="1" applyFill="1" applyBorder="1" applyAlignment="1" applyProtection="1">
      <alignment horizontal="center"/>
    </xf>
    <xf numFmtId="169" fontId="9" fillId="0" borderId="9" xfId="20" applyNumberFormat="1" applyFont="1" applyFill="1" applyBorder="1" applyAlignment="1" applyProtection="1">
      <alignment horizontal="center"/>
      <protection locked="0"/>
    </xf>
    <xf numFmtId="4" fontId="24" fillId="0" borderId="9" xfId="20" applyNumberFormat="1" applyFont="1" applyFill="1" applyBorder="1" applyAlignment="1">
      <alignment horizontal="center" vertical="center" wrapText="1"/>
    </xf>
    <xf numFmtId="4" fontId="13" fillId="0" borderId="9" xfId="23" applyNumberFormat="1" applyFont="1" applyFill="1" applyBorder="1" applyAlignment="1">
      <alignment horizontal="center" vertical="center" wrapText="1"/>
    </xf>
    <xf numFmtId="172" fontId="28" fillId="0" borderId="9" xfId="23" applyNumberFormat="1" applyFont="1" applyFill="1" applyBorder="1" applyAlignment="1">
      <alignment horizontal="center" vertical="center" wrapText="1"/>
    </xf>
    <xf numFmtId="43" fontId="13" fillId="0" borderId="9" xfId="22" applyNumberFormat="1" applyFont="1" applyBorder="1" applyAlignment="1">
      <alignment horizontal="center" vertical="center" wrapText="1"/>
    </xf>
    <xf numFmtId="43" fontId="13" fillId="0" borderId="9" xfId="22" applyNumberFormat="1" applyFont="1" applyFill="1" applyBorder="1" applyAlignment="1">
      <alignment horizontal="center" vertical="center" wrapText="1"/>
    </xf>
    <xf numFmtId="170" fontId="13" fillId="0" borderId="9" xfId="0" applyNumberFormat="1" applyFont="1" applyFill="1" applyBorder="1" applyAlignment="1">
      <alignment horizontal="center" vertical="center" wrapText="1"/>
    </xf>
    <xf numFmtId="170" fontId="13" fillId="0" borderId="9" xfId="21" applyFont="1" applyFill="1" applyBorder="1" applyAlignment="1" applyProtection="1">
      <alignment horizontal="center" vertical="center" wrapText="1"/>
    </xf>
    <xf numFmtId="165" fontId="28" fillId="0" borderId="9" xfId="22" applyNumberFormat="1" applyFont="1" applyBorder="1" applyAlignment="1">
      <alignment vertical="center" wrapText="1"/>
    </xf>
    <xf numFmtId="170" fontId="28" fillId="0" borderId="9" xfId="21" applyFont="1" applyFill="1" applyBorder="1" applyAlignment="1" applyProtection="1">
      <alignment horizontal="center" vertical="center" wrapText="1"/>
    </xf>
    <xf numFmtId="43" fontId="28" fillId="0" borderId="9" xfId="22" applyNumberFormat="1" applyFont="1" applyBorder="1" applyAlignment="1">
      <alignment horizontal="center" vertical="center" wrapText="1"/>
    </xf>
    <xf numFmtId="43" fontId="28" fillId="0" borderId="9" xfId="22" applyNumberFormat="1" applyFont="1" applyBorder="1" applyAlignment="1">
      <alignment vertical="center" wrapText="1"/>
    </xf>
    <xf numFmtId="170" fontId="50" fillId="0" borderId="9" xfId="21" applyFont="1" applyFill="1" applyBorder="1" applyAlignment="1" applyProtection="1">
      <alignment horizontal="center" vertical="center" wrapText="1"/>
    </xf>
    <xf numFmtId="4" fontId="13" fillId="20" borderId="9" xfId="22" applyNumberFormat="1" applyFont="1" applyFill="1" applyBorder="1" applyAlignment="1">
      <alignment horizontal="center" vertical="center" wrapText="1"/>
    </xf>
    <xf numFmtId="4" fontId="13" fillId="0" borderId="10" xfId="22" applyNumberFormat="1" applyFont="1" applyFill="1" applyBorder="1" applyAlignment="1">
      <alignment horizontal="center" vertical="center" wrapText="1"/>
    </xf>
    <xf numFmtId="4" fontId="13" fillId="0" borderId="9" xfId="22" applyNumberFormat="1" applyFont="1" applyFill="1" applyBorder="1" applyAlignment="1">
      <alignment horizontal="center" vertical="center" wrapText="1"/>
    </xf>
    <xf numFmtId="0" fontId="19" fillId="0" borderId="0" xfId="0" applyFont="1" applyFill="1"/>
    <xf numFmtId="0" fontId="8" fillId="0" borderId="9" xfId="0" applyFont="1" applyFill="1" applyBorder="1" applyAlignment="1">
      <alignment horizontal="left" vertical="top" wrapText="1"/>
    </xf>
    <xf numFmtId="2" fontId="9" fillId="0" borderId="9" xfId="0" applyNumberFormat="1" applyFont="1" applyFill="1" applyBorder="1" applyAlignment="1">
      <alignment horizontal="right" wrapText="1"/>
    </xf>
    <xf numFmtId="2" fontId="10" fillId="0" borderId="9" xfId="0" applyNumberFormat="1" applyFont="1" applyFill="1" applyBorder="1" applyAlignment="1">
      <alignment horizontal="right" wrapText="1"/>
    </xf>
    <xf numFmtId="0" fontId="12" fillId="0" borderId="9" xfId="0" applyFont="1" applyFill="1" applyBorder="1"/>
    <xf numFmtId="2" fontId="12" fillId="0" borderId="0" xfId="0" applyNumberFormat="1" applyFont="1" applyFill="1"/>
    <xf numFmtId="0" fontId="12" fillId="0" borderId="0" xfId="0" applyFont="1" applyFill="1"/>
    <xf numFmtId="167" fontId="8" fillId="0" borderId="9" xfId="0" applyNumberFormat="1" applyFont="1" applyFill="1" applyBorder="1" applyAlignment="1">
      <alignment horizontal="left" wrapText="1"/>
    </xf>
    <xf numFmtId="168" fontId="8" fillId="0" borderId="9" xfId="0" applyNumberFormat="1" applyFont="1" applyFill="1" applyBorder="1" applyAlignment="1">
      <alignment horizontal="right" wrapText="1"/>
    </xf>
    <xf numFmtId="168" fontId="8" fillId="0" borderId="9" xfId="0" applyNumberFormat="1" applyFont="1" applyFill="1" applyBorder="1" applyAlignment="1">
      <alignment vertical="center" wrapText="1"/>
    </xf>
    <xf numFmtId="167" fontId="9" fillId="0" borderId="9" xfId="0" applyNumberFormat="1" applyFont="1" applyFill="1" applyBorder="1" applyAlignment="1">
      <alignment horizontal="left" wrapText="1"/>
    </xf>
    <xf numFmtId="168" fontId="9" fillId="0" borderId="9" xfId="0" applyNumberFormat="1" applyFont="1" applyFill="1" applyBorder="1" applyAlignment="1">
      <alignment horizontal="right" wrapText="1"/>
    </xf>
    <xf numFmtId="169" fontId="8" fillId="14" borderId="11" xfId="20" applyNumberFormat="1" applyFont="1" applyFill="1" applyBorder="1" applyAlignment="1" applyProtection="1">
      <alignment horizontal="left" wrapText="1"/>
    </xf>
    <xf numFmtId="167" fontId="8" fillId="0" borderId="9" xfId="0" applyNumberFormat="1" applyFont="1" applyFill="1" applyBorder="1" applyAlignment="1">
      <alignment horizontal="left" vertical="top" wrapText="1"/>
    </xf>
    <xf numFmtId="168" fontId="16" fillId="0" borderId="9" xfId="0" applyNumberFormat="1" applyFont="1" applyFill="1" applyBorder="1" applyAlignment="1">
      <alignment horizontal="right" wrapText="1"/>
    </xf>
    <xf numFmtId="168" fontId="8" fillId="0" borderId="9" xfId="0" applyNumberFormat="1" applyFont="1" applyFill="1" applyBorder="1" applyAlignment="1">
      <alignment horizontal="left" wrapText="1"/>
    </xf>
    <xf numFmtId="168" fontId="9" fillId="0" borderId="9" xfId="0" applyNumberFormat="1" applyFont="1" applyFill="1" applyBorder="1" applyAlignment="1">
      <alignment horizontal="left" wrapText="1"/>
    </xf>
    <xf numFmtId="167" fontId="9" fillId="0" borderId="9" xfId="0" applyNumberFormat="1" applyFont="1" applyFill="1" applyBorder="1" applyAlignment="1">
      <alignment horizontal="right" wrapText="1"/>
    </xf>
    <xf numFmtId="167" fontId="10" fillId="0" borderId="9" xfId="0" applyNumberFormat="1" applyFont="1" applyFill="1" applyBorder="1" applyAlignment="1">
      <alignment horizontal="right" wrapText="1"/>
    </xf>
    <xf numFmtId="168" fontId="10" fillId="0" borderId="9" xfId="0" applyNumberFormat="1" applyFont="1" applyFill="1" applyBorder="1" applyAlignment="1">
      <alignment horizontal="right" wrapText="1"/>
    </xf>
    <xf numFmtId="167" fontId="8" fillId="0" borderId="9" xfId="0" applyNumberFormat="1" applyFont="1" applyFill="1" applyBorder="1" applyAlignment="1">
      <alignment horizontal="left" vertical="center" wrapText="1"/>
    </xf>
    <xf numFmtId="167" fontId="8" fillId="0" borderId="9" xfId="0" applyNumberFormat="1" applyFont="1" applyFill="1" applyBorder="1" applyAlignment="1">
      <alignment horizontal="right" wrapText="1"/>
    </xf>
    <xf numFmtId="167" fontId="16" fillId="0" borderId="9" xfId="0" applyNumberFormat="1" applyFont="1" applyFill="1" applyBorder="1" applyAlignment="1">
      <alignment horizontal="right" wrapText="1"/>
    </xf>
    <xf numFmtId="167" fontId="9" fillId="0" borderId="9" xfId="0" applyNumberFormat="1" applyFont="1" applyFill="1" applyBorder="1" applyAlignment="1">
      <alignment horizontal="left" vertical="center" wrapText="1"/>
    </xf>
    <xf numFmtId="167" fontId="8" fillId="22" borderId="9" xfId="0" applyNumberFormat="1" applyFont="1" applyFill="1" applyBorder="1" applyAlignment="1">
      <alignment horizontal="left" wrapText="1"/>
    </xf>
    <xf numFmtId="168" fontId="8" fillId="22" borderId="9" xfId="0" applyNumberFormat="1" applyFont="1" applyFill="1" applyBorder="1" applyAlignment="1">
      <alignment horizontal="right" wrapText="1"/>
    </xf>
    <xf numFmtId="0" fontId="9" fillId="21" borderId="0" xfId="0" applyFont="1" applyFill="1" applyAlignment="1">
      <alignment horizontal="left" vertical="top" wrapText="1"/>
    </xf>
    <xf numFmtId="0" fontId="9" fillId="21" borderId="0" xfId="0" applyFont="1" applyFill="1" applyAlignment="1">
      <alignment wrapText="1"/>
    </xf>
    <xf numFmtId="172" fontId="13" fillId="9" borderId="9" xfId="23" applyNumberFormat="1" applyFont="1" applyFill="1" applyBorder="1" applyAlignment="1">
      <alignment horizontal="center" vertical="center" wrapText="1"/>
    </xf>
    <xf numFmtId="4" fontId="28" fillId="9" borderId="9" xfId="23" applyNumberFormat="1" applyFont="1" applyFill="1" applyBorder="1" applyAlignment="1">
      <alignment horizontal="center" vertical="center" wrapText="1"/>
    </xf>
    <xf numFmtId="4" fontId="13" fillId="0" borderId="9" xfId="23" applyNumberFormat="1" applyFont="1" applyBorder="1" applyAlignment="1">
      <alignment horizontal="center" vertical="center"/>
    </xf>
    <xf numFmtId="168" fontId="8" fillId="23" borderId="9" xfId="0" applyNumberFormat="1" applyFont="1" applyFill="1" applyBorder="1" applyAlignment="1">
      <alignment horizontal="right" wrapText="1"/>
    </xf>
    <xf numFmtId="168" fontId="9" fillId="23" borderId="9" xfId="0" applyNumberFormat="1" applyFont="1" applyFill="1" applyBorder="1" applyAlignment="1">
      <alignment horizontal="right" wrapText="1"/>
    </xf>
    <xf numFmtId="164" fontId="12" fillId="0" borderId="9" xfId="0" applyNumberFormat="1" applyFont="1" applyFill="1" applyBorder="1"/>
    <xf numFmtId="0" fontId="9" fillId="0" borderId="0" xfId="0" applyFont="1" applyFill="1" applyAlignment="1">
      <alignment horizontal="left" vertical="top" wrapText="1"/>
    </xf>
    <xf numFmtId="0" fontId="9" fillId="0" borderId="0" xfId="0" applyFont="1" applyFill="1" applyAlignment="1">
      <alignment wrapText="1"/>
    </xf>
    <xf numFmtId="0" fontId="15" fillId="0" borderId="0" xfId="0" applyFont="1" applyFill="1"/>
    <xf numFmtId="0" fontId="0" fillId="0" borderId="0" xfId="0" applyFill="1"/>
    <xf numFmtId="4" fontId="15" fillId="0" borderId="0" xfId="0" applyNumberFormat="1" applyFont="1"/>
    <xf numFmtId="0" fontId="27" fillId="0" borderId="9" xfId="4" applyFont="1" applyFill="1" applyBorder="1" applyAlignment="1">
      <alignment vertical="center" wrapText="1"/>
    </xf>
    <xf numFmtId="0" fontId="22" fillId="0" borderId="0" xfId="4" applyFont="1" applyFill="1" applyAlignment="1">
      <alignment horizontal="right" vertical="center" wrapText="1"/>
    </xf>
    <xf numFmtId="164" fontId="59" fillId="0" borderId="0" xfId="0" applyNumberFormat="1" applyFont="1"/>
    <xf numFmtId="0" fontId="60" fillId="0" borderId="0" xfId="0" applyFont="1"/>
    <xf numFmtId="0" fontId="28" fillId="0" borderId="2" xfId="22" applyFont="1" applyBorder="1" applyAlignment="1">
      <alignment horizontal="center"/>
    </xf>
    <xf numFmtId="0" fontId="28" fillId="0" borderId="5" xfId="22" applyFont="1" applyBorder="1" applyAlignment="1">
      <alignment horizontal="center"/>
    </xf>
    <xf numFmtId="0" fontId="28" fillId="0" borderId="8" xfId="22" applyFont="1" applyBorder="1" applyAlignment="1">
      <alignment horizontal="center"/>
    </xf>
    <xf numFmtId="0" fontId="13" fillId="0" borderId="11" xfId="22" applyFont="1" applyBorder="1" applyAlignment="1">
      <alignment horizontal="left" vertical="top" wrapText="1"/>
    </xf>
    <xf numFmtId="0" fontId="13" fillId="0" borderId="12" xfId="22" applyFont="1" applyBorder="1" applyAlignment="1">
      <alignment horizontal="left" vertical="top" wrapText="1"/>
    </xf>
    <xf numFmtId="0" fontId="13" fillId="0" borderId="2" xfId="22" applyFont="1" applyBorder="1" applyAlignment="1">
      <alignment horizontal="left" vertical="center" wrapText="1"/>
    </xf>
    <xf numFmtId="0" fontId="13" fillId="0" borderId="5" xfId="22" applyFont="1" applyBorder="1" applyAlignment="1">
      <alignment horizontal="left" vertical="center"/>
    </xf>
    <xf numFmtId="0" fontId="28" fillId="0" borderId="5" xfId="22" applyFont="1" applyBorder="1" applyAlignment="1">
      <alignment horizontal="left" vertical="top" wrapText="1"/>
    </xf>
    <xf numFmtId="0" fontId="28" fillId="0" borderId="8" xfId="22" applyFont="1" applyBorder="1" applyAlignment="1">
      <alignment horizontal="left" vertical="top" wrapText="1"/>
    </xf>
    <xf numFmtId="0" fontId="13" fillId="0" borderId="2" xfId="22" applyFont="1" applyBorder="1" applyAlignment="1">
      <alignment horizontal="left" wrapText="1"/>
    </xf>
    <xf numFmtId="0" fontId="13" fillId="0" borderId="5" xfId="22" applyFont="1" applyBorder="1" applyAlignment="1">
      <alignment horizontal="left" vertical="center" wrapText="1"/>
    </xf>
    <xf numFmtId="0" fontId="13" fillId="0" borderId="8" xfId="22" applyFont="1" applyBorder="1" applyAlignment="1">
      <alignment horizontal="left" vertical="center" wrapText="1"/>
    </xf>
    <xf numFmtId="0" fontId="13" fillId="0" borderId="2" xfId="22" applyFont="1" applyBorder="1" applyAlignment="1">
      <alignment horizontal="left" vertical="top" wrapText="1"/>
    </xf>
    <xf numFmtId="0" fontId="13" fillId="0" borderId="11" xfId="22" applyFont="1" applyBorder="1" applyAlignment="1">
      <alignment horizontal="left" vertical="center" wrapText="1"/>
    </xf>
    <xf numFmtId="0" fontId="13" fillId="0" borderId="12" xfId="22" applyFont="1" applyBorder="1" applyAlignment="1">
      <alignment horizontal="left" vertical="center" wrapText="1"/>
    </xf>
    <xf numFmtId="0" fontId="28" fillId="0" borderId="5" xfId="22" applyFont="1" applyBorder="1" applyAlignment="1">
      <alignment horizontal="center" vertical="center" wrapText="1"/>
    </xf>
    <xf numFmtId="0" fontId="28" fillId="0" borderId="5" xfId="22" applyFont="1" applyBorder="1" applyAlignment="1">
      <alignment horizontal="left" vertical="center"/>
    </xf>
    <xf numFmtId="43" fontId="13" fillId="9" borderId="9" xfId="22" applyNumberFormat="1" applyFont="1" applyFill="1" applyBorder="1" applyAlignment="1">
      <alignment horizontal="center" vertical="center" wrapText="1"/>
    </xf>
    <xf numFmtId="0" fontId="13" fillId="0" borderId="5" xfId="22" applyFont="1" applyBorder="1" applyAlignment="1">
      <alignment vertical="top" wrapText="1"/>
    </xf>
    <xf numFmtId="4" fontId="61" fillId="0" borderId="9" xfId="20" applyNumberFormat="1" applyFont="1" applyFill="1" applyBorder="1" applyAlignment="1" applyProtection="1">
      <alignment horizontal="center"/>
    </xf>
    <xf numFmtId="4" fontId="8" fillId="0" borderId="9" xfId="4" applyNumberFormat="1" applyFont="1" applyFill="1" applyBorder="1" applyAlignment="1">
      <alignment horizontal="center" vertical="center" wrapText="1"/>
    </xf>
    <xf numFmtId="4" fontId="9" fillId="0" borderId="9" xfId="4" applyNumberFormat="1" applyFont="1" applyFill="1" applyBorder="1" applyAlignment="1">
      <alignment horizontal="center" vertical="center" wrapText="1"/>
    </xf>
    <xf numFmtId="0" fontId="13" fillId="0" borderId="9" xfId="23" applyFont="1" applyFill="1" applyBorder="1" applyAlignment="1">
      <alignment horizontal="left" vertical="center" wrapText="1"/>
    </xf>
    <xf numFmtId="167" fontId="9" fillId="4" borderId="9" xfId="0" applyNumberFormat="1" applyFont="1" applyFill="1" applyBorder="1" applyAlignment="1">
      <alignment horizontal="left" wrapText="1"/>
    </xf>
    <xf numFmtId="0" fontId="9" fillId="0" borderId="9" xfId="0" applyFont="1" applyFill="1" applyBorder="1" applyAlignment="1">
      <alignment horizontal="left" wrapText="1"/>
    </xf>
    <xf numFmtId="165" fontId="12" fillId="0" borderId="9" xfId="4" applyNumberFormat="1" applyFont="1" applyFill="1" applyBorder="1" applyAlignment="1" applyProtection="1">
      <alignment vertical="center" wrapText="1"/>
    </xf>
    <xf numFmtId="0" fontId="9" fillId="0" borderId="9" xfId="0" applyFont="1" applyBorder="1" applyAlignment="1">
      <alignment wrapText="1"/>
    </xf>
    <xf numFmtId="0" fontId="22" fillId="0" borderId="9" xfId="0" applyFont="1" applyFill="1" applyBorder="1" applyAlignment="1">
      <alignment horizontal="left" vertical="top" wrapText="1"/>
    </xf>
    <xf numFmtId="0" fontId="56" fillId="0" borderId="9" xfId="0" applyFont="1" applyBorder="1" applyAlignment="1">
      <alignment horizontal="center" vertical="center" wrapText="1"/>
    </xf>
    <xf numFmtId="0" fontId="62" fillId="0" borderId="9" xfId="0" applyFont="1" applyBorder="1" applyAlignment="1">
      <alignment horizontal="center" vertical="center" wrapText="1"/>
    </xf>
    <xf numFmtId="4" fontId="12" fillId="0" borderId="9" xfId="0" applyNumberFormat="1" applyFont="1" applyBorder="1" applyAlignment="1">
      <alignment horizontal="center"/>
    </xf>
    <xf numFmtId="165" fontId="51" fillId="0" borderId="9" xfId="0" applyNumberFormat="1" applyFont="1" applyBorder="1" applyAlignment="1">
      <alignment horizontal="center" vertical="center" wrapText="1"/>
    </xf>
    <xf numFmtId="164" fontId="12" fillId="0" borderId="9" xfId="0" applyNumberFormat="1" applyFont="1" applyBorder="1" applyAlignment="1">
      <alignment horizontal="center"/>
    </xf>
    <xf numFmtId="0" fontId="12" fillId="0" borderId="9" xfId="0" applyFont="1" applyBorder="1" applyAlignment="1">
      <alignment horizontal="center"/>
    </xf>
    <xf numFmtId="169" fontId="12" fillId="0" borderId="0" xfId="0" applyNumberFormat="1" applyFont="1"/>
    <xf numFmtId="0" fontId="12" fillId="24" borderId="9" xfId="0" applyFont="1" applyFill="1" applyBorder="1" applyAlignment="1">
      <alignment wrapText="1"/>
    </xf>
    <xf numFmtId="164" fontId="12" fillId="0" borderId="9" xfId="0" applyNumberFormat="1" applyFont="1" applyBorder="1" applyAlignment="1">
      <alignment horizontal="center" vertical="center"/>
    </xf>
    <xf numFmtId="4" fontId="13" fillId="0" borderId="0" xfId="0" applyNumberFormat="1" applyFont="1" applyFill="1" applyAlignment="1">
      <alignment horizontal="center" wrapText="1"/>
    </xf>
    <xf numFmtId="0" fontId="63" fillId="0" borderId="0" xfId="0" applyFont="1"/>
    <xf numFmtId="0" fontId="9" fillId="0" borderId="1" xfId="0" applyFont="1" applyFill="1" applyBorder="1" applyAlignment="1">
      <alignment horizontal="center" wrapText="1"/>
    </xf>
    <xf numFmtId="0" fontId="13" fillId="0" borderId="0" xfId="0" applyFont="1" applyFill="1" applyAlignment="1">
      <alignment horizontal="center" vertical="top" wrapText="1"/>
    </xf>
    <xf numFmtId="0" fontId="13" fillId="0" borderId="0" xfId="0" applyFont="1" applyFill="1" applyAlignment="1">
      <alignment vertical="top" wrapText="1"/>
    </xf>
    <xf numFmtId="168" fontId="9" fillId="20" borderId="9" xfId="0" applyNumberFormat="1" applyFont="1" applyFill="1" applyBorder="1" applyAlignment="1">
      <alignment horizontal="right" wrapText="1"/>
    </xf>
    <xf numFmtId="4" fontId="12" fillId="20" borderId="9" xfId="0" applyNumberFormat="1" applyFont="1" applyFill="1" applyBorder="1"/>
    <xf numFmtId="0" fontId="12" fillId="20" borderId="0" xfId="0" applyFont="1" applyFill="1"/>
    <xf numFmtId="4" fontId="64" fillId="0" borderId="0" xfId="0" applyNumberFormat="1" applyFont="1"/>
    <xf numFmtId="0" fontId="63" fillId="0" borderId="0" xfId="0" applyFont="1" applyFill="1" applyAlignment="1">
      <alignment horizontal="center" wrapText="1"/>
    </xf>
    <xf numFmtId="0" fontId="13" fillId="0" borderId="0" xfId="0" applyNumberFormat="1" applyFont="1" applyAlignment="1">
      <alignment horizontal="left" vertical="center" wrapText="1"/>
    </xf>
    <xf numFmtId="174" fontId="9" fillId="0" borderId="9" xfId="1" applyNumberFormat="1" applyFont="1" applyFill="1" applyBorder="1"/>
    <xf numFmtId="174" fontId="12" fillId="0" borderId="9" xfId="1" applyNumberFormat="1" applyFont="1" applyFill="1" applyBorder="1"/>
    <xf numFmtId="174" fontId="12" fillId="0" borderId="9" xfId="1" applyNumberFormat="1" applyFont="1" applyFill="1" applyBorder="1" applyAlignment="1">
      <alignment horizontal="center"/>
    </xf>
    <xf numFmtId="2" fontId="12" fillId="0" borderId="9" xfId="1" applyNumberFormat="1" applyFont="1" applyFill="1" applyBorder="1"/>
    <xf numFmtId="174" fontId="9" fillId="0" borderId="9" xfId="1" applyNumberFormat="1" applyFont="1" applyFill="1" applyBorder="1" applyAlignment="1">
      <alignment vertical="center" wrapText="1"/>
    </xf>
    <xf numFmtId="174" fontId="0" fillId="0" borderId="0" xfId="0" applyNumberFormat="1"/>
    <xf numFmtId="169" fontId="9" fillId="21" borderId="9" xfId="0" applyNumberFormat="1" applyFont="1" applyFill="1" applyBorder="1" applyAlignment="1">
      <alignment horizontal="right"/>
    </xf>
    <xf numFmtId="4" fontId="12" fillId="21" borderId="9" xfId="0" applyNumberFormat="1" applyFont="1" applyFill="1" applyBorder="1"/>
    <xf numFmtId="4" fontId="47" fillId="0" borderId="0" xfId="20" applyNumberFormat="1" applyFont="1"/>
    <xf numFmtId="164" fontId="67" fillId="0" borderId="0" xfId="0" applyNumberFormat="1" applyFont="1" applyProtection="1"/>
    <xf numFmtId="0" fontId="10" fillId="0" borderId="9" xfId="0" applyFont="1" applyBorder="1" applyAlignment="1">
      <alignment wrapText="1"/>
    </xf>
    <xf numFmtId="0" fontId="9" fillId="0" borderId="9" xfId="20" applyNumberFormat="1" applyFont="1" applyFill="1" applyBorder="1" applyAlignment="1" applyProtection="1">
      <alignment horizontal="justify" vertical="center"/>
    </xf>
    <xf numFmtId="169" fontId="68" fillId="0" borderId="0" xfId="20" applyNumberFormat="1" applyFont="1" applyProtection="1"/>
    <xf numFmtId="169" fontId="18" fillId="0" borderId="0" xfId="20" applyNumberFormat="1" applyFont="1" applyProtection="1"/>
    <xf numFmtId="4" fontId="69" fillId="0" borderId="0" xfId="0" applyNumberFormat="1" applyFont="1"/>
    <xf numFmtId="0" fontId="70" fillId="0" borderId="0" xfId="0" applyFont="1"/>
    <xf numFmtId="164" fontId="70" fillId="0" borderId="0" xfId="0" applyNumberFormat="1" applyFont="1"/>
    <xf numFmtId="164" fontId="44" fillId="0" borderId="0" xfId="0" applyNumberFormat="1" applyFont="1"/>
    <xf numFmtId="164" fontId="70" fillId="0" borderId="0" xfId="0" applyNumberFormat="1" applyFont="1" applyFill="1"/>
    <xf numFmtId="0" fontId="60" fillId="4" borderId="0" xfId="0" applyFont="1" applyFill="1"/>
    <xf numFmtId="164" fontId="70" fillId="4" borderId="0" xfId="0" applyNumberFormat="1" applyFont="1" applyFill="1"/>
    <xf numFmtId="4" fontId="9" fillId="20" borderId="9" xfId="0" applyNumberFormat="1" applyFont="1" applyFill="1" applyBorder="1"/>
    <xf numFmtId="175" fontId="9" fillId="0" borderId="9" xfId="0" applyNumberFormat="1" applyFont="1" applyBorder="1" applyAlignment="1">
      <alignment vertical="center" wrapText="1"/>
    </xf>
    <xf numFmtId="0" fontId="13" fillId="0" borderId="2" xfId="0" applyFont="1" applyBorder="1" applyAlignment="1" applyProtection="1">
      <alignment vertical="center" wrapText="1"/>
      <protection locked="0"/>
    </xf>
    <xf numFmtId="0" fontId="13" fillId="0" borderId="9" xfId="0" applyFont="1" applyBorder="1" applyAlignment="1">
      <alignment horizontal="justify" vertical="center" wrapText="1"/>
    </xf>
    <xf numFmtId="0" fontId="40" fillId="0" borderId="9" xfId="0" applyFont="1" applyBorder="1" applyAlignment="1">
      <alignment vertical="top" wrapText="1"/>
    </xf>
    <xf numFmtId="165" fontId="13" fillId="0" borderId="9" xfId="0" applyNumberFormat="1" applyFont="1" applyFill="1" applyBorder="1" applyAlignment="1">
      <alignment horizontal="center" vertical="top" wrapText="1"/>
    </xf>
    <xf numFmtId="0" fontId="36" fillId="0" borderId="9" xfId="0" applyNumberFormat="1" applyFont="1" applyFill="1" applyBorder="1" applyAlignment="1">
      <alignment vertical="center" wrapText="1"/>
    </xf>
    <xf numFmtId="0" fontId="71" fillId="8" borderId="9" xfId="0" applyFont="1" applyFill="1" applyBorder="1" applyAlignment="1">
      <alignment vertical="top" wrapText="1"/>
    </xf>
    <xf numFmtId="168" fontId="8" fillId="21" borderId="9" xfId="0" applyNumberFormat="1" applyFont="1" applyFill="1" applyBorder="1" applyAlignment="1">
      <alignment horizontal="right" wrapText="1"/>
    </xf>
    <xf numFmtId="4" fontId="12" fillId="4" borderId="0" xfId="0" applyNumberFormat="1" applyFont="1" applyFill="1"/>
    <xf numFmtId="0" fontId="12" fillId="4" borderId="0" xfId="0" applyFont="1" applyFill="1"/>
    <xf numFmtId="164" fontId="19" fillId="4" borderId="0" xfId="0" applyNumberFormat="1" applyFont="1" applyFill="1"/>
    <xf numFmtId="0" fontId="72" fillId="0" borderId="0" xfId="0" applyFont="1" applyFill="1"/>
    <xf numFmtId="167" fontId="9" fillId="21" borderId="9" xfId="0" applyNumberFormat="1" applyFont="1" applyFill="1" applyBorder="1" applyAlignment="1">
      <alignment horizontal="left" wrapText="1"/>
    </xf>
    <xf numFmtId="168" fontId="9" fillId="21" borderId="9" xfId="0" applyNumberFormat="1" applyFont="1" applyFill="1" applyBorder="1" applyAlignment="1">
      <alignment horizontal="right" wrapText="1"/>
    </xf>
    <xf numFmtId="169" fontId="9" fillId="4" borderId="9" xfId="0" applyNumberFormat="1" applyFont="1" applyFill="1" applyBorder="1" applyAlignment="1">
      <alignment horizontal="right"/>
    </xf>
    <xf numFmtId="168" fontId="9" fillId="4" borderId="9" xfId="0" applyNumberFormat="1" applyFont="1" applyFill="1" applyBorder="1" applyAlignment="1">
      <alignment horizontal="right" wrapText="1"/>
    </xf>
    <xf numFmtId="4" fontId="12" fillId="0" borderId="0" xfId="0" applyNumberFormat="1" applyFont="1" applyFill="1"/>
    <xf numFmtId="4" fontId="19" fillId="0" borderId="0" xfId="0" applyNumberFormat="1" applyFont="1"/>
    <xf numFmtId="176" fontId="12" fillId="4" borderId="0" xfId="0" applyNumberFormat="1" applyFont="1" applyFill="1"/>
    <xf numFmtId="0" fontId="10" fillId="8" borderId="9" xfId="0" applyFont="1" applyFill="1" applyBorder="1"/>
    <xf numFmtId="0" fontId="10" fillId="8" borderId="9" xfId="0" applyFont="1" applyFill="1" applyBorder="1" applyAlignment="1">
      <alignment wrapText="1"/>
    </xf>
    <xf numFmtId="0" fontId="56" fillId="0" borderId="9" xfId="0" applyFont="1" applyBorder="1" applyAlignment="1">
      <alignment horizontal="left" vertical="distributed" wrapText="1"/>
    </xf>
    <xf numFmtId="0" fontId="27" fillId="0" borderId="8" xfId="0" applyNumberFormat="1" applyFont="1" applyFill="1" applyBorder="1" applyAlignment="1">
      <alignment vertical="center" wrapText="1"/>
    </xf>
    <xf numFmtId="164" fontId="12" fillId="9" borderId="9" xfId="0" applyNumberFormat="1" applyFont="1" applyFill="1" applyBorder="1"/>
    <xf numFmtId="0" fontId="35" fillId="0" borderId="9" xfId="4" applyFont="1" applyBorder="1" applyAlignment="1">
      <alignment vertical="center" wrapText="1"/>
    </xf>
    <xf numFmtId="0" fontId="26" fillId="0" borderId="9" xfId="4" applyFont="1" applyFill="1" applyBorder="1" applyAlignment="1">
      <alignment horizontal="left" vertical="center" wrapText="1"/>
    </xf>
    <xf numFmtId="4" fontId="9" fillId="0" borderId="10" xfId="4" applyNumberFormat="1" applyFont="1" applyFill="1" applyBorder="1" applyAlignment="1" applyProtection="1">
      <alignment horizontal="center" vertical="center" wrapText="1"/>
      <protection hidden="1"/>
    </xf>
    <xf numFmtId="0" fontId="23" fillId="0" borderId="9" xfId="4" applyFont="1" applyFill="1" applyBorder="1" applyAlignment="1">
      <alignment vertical="center" wrapText="1"/>
    </xf>
    <xf numFmtId="4" fontId="9" fillId="0" borderId="0" xfId="0" applyNumberFormat="1" applyFont="1" applyFill="1"/>
    <xf numFmtId="4" fontId="15" fillId="0" borderId="0" xfId="0" applyNumberFormat="1" applyFont="1" applyFill="1"/>
    <xf numFmtId="4" fontId="9" fillId="0" borderId="10" xfId="4" applyNumberFormat="1" applyFont="1" applyFill="1" applyBorder="1" applyAlignment="1">
      <alignment horizontal="center" vertical="center" wrapText="1"/>
    </xf>
    <xf numFmtId="0" fontId="8" fillId="0" borderId="9" xfId="4" applyFont="1" applyFill="1" applyBorder="1" applyAlignment="1">
      <alignment horizontal="justify" wrapText="1"/>
    </xf>
    <xf numFmtId="0" fontId="25" fillId="0" borderId="0" xfId="0" applyFont="1" applyFill="1"/>
    <xf numFmtId="0" fontId="29" fillId="0" borderId="9" xfId="4" applyFont="1" applyFill="1" applyBorder="1" applyAlignment="1">
      <alignment vertical="center" wrapText="1"/>
    </xf>
    <xf numFmtId="164" fontId="74" fillId="0" borderId="0" xfId="0" applyNumberFormat="1" applyFont="1"/>
    <xf numFmtId="164" fontId="75" fillId="0" borderId="0" xfId="0" applyNumberFormat="1" applyFont="1"/>
    <xf numFmtId="0" fontId="9" fillId="0" borderId="9" xfId="4" applyFont="1" applyFill="1" applyBorder="1" applyAlignment="1">
      <alignment horizontal="left" vertical="top" wrapText="1"/>
    </xf>
    <xf numFmtId="174" fontId="12" fillId="0" borderId="9" xfId="0" applyNumberFormat="1" applyFont="1" applyFill="1" applyBorder="1"/>
    <xf numFmtId="2" fontId="12" fillId="0" borderId="9" xfId="0" applyNumberFormat="1" applyFont="1" applyFill="1" applyBorder="1" applyAlignment="1">
      <alignment horizontal="center" vertical="center"/>
    </xf>
    <xf numFmtId="164" fontId="9" fillId="9" borderId="9" xfId="1" applyFont="1" applyFill="1" applyBorder="1"/>
    <xf numFmtId="166" fontId="9" fillId="0" borderId="9" xfId="0" applyNumberFormat="1" applyFont="1" applyFill="1" applyBorder="1" applyAlignment="1">
      <alignment horizontal="center" vertical="center" wrapText="1"/>
    </xf>
    <xf numFmtId="169" fontId="9" fillId="0" borderId="9" xfId="0" applyNumberFormat="1" applyFont="1" applyFill="1" applyBorder="1" applyAlignment="1">
      <alignment horizontal="center" vertical="center" wrapText="1"/>
    </xf>
    <xf numFmtId="2" fontId="12" fillId="0" borderId="9" xfId="0" applyNumberFormat="1" applyFont="1" applyFill="1" applyBorder="1"/>
    <xf numFmtId="2" fontId="12" fillId="0" borderId="9" xfId="0" applyNumberFormat="1" applyFont="1" applyFill="1" applyBorder="1" applyAlignment="1">
      <alignment horizontal="center"/>
    </xf>
    <xf numFmtId="164" fontId="76" fillId="0" borderId="9" xfId="0" applyNumberFormat="1" applyFont="1" applyFill="1" applyBorder="1"/>
    <xf numFmtId="0" fontId="66" fillId="0" borderId="0" xfId="0" applyFont="1" applyFill="1" applyAlignment="1">
      <alignment wrapText="1"/>
    </xf>
    <xf numFmtId="0" fontId="9" fillId="9" borderId="0" xfId="0" applyFont="1" applyFill="1" applyAlignment="1">
      <alignment wrapText="1"/>
    </xf>
    <xf numFmtId="0" fontId="9" fillId="9" borderId="1" xfId="0" applyFont="1" applyFill="1" applyBorder="1" applyAlignment="1">
      <alignment horizontal="center" wrapText="1"/>
    </xf>
    <xf numFmtId="0" fontId="9" fillId="9" borderId="0" xfId="0" applyFont="1" applyFill="1" applyAlignment="1">
      <alignment horizontal="center" wrapText="1"/>
    </xf>
    <xf numFmtId="0" fontId="13" fillId="9" borderId="0" xfId="0" applyFont="1" applyFill="1" applyAlignment="1">
      <alignment horizontal="center" vertical="top" wrapText="1"/>
    </xf>
    <xf numFmtId="0" fontId="13" fillId="9" borderId="0" xfId="0" applyFont="1" applyFill="1" applyAlignment="1">
      <alignment vertical="top" wrapText="1"/>
    </xf>
    <xf numFmtId="0" fontId="9" fillId="9" borderId="0" xfId="0" applyFont="1" applyFill="1" applyAlignment="1">
      <alignment horizontal="left" vertical="top" wrapText="1"/>
    </xf>
    <xf numFmtId="0" fontId="14" fillId="9" borderId="0" xfId="0" applyFont="1" applyFill="1"/>
    <xf numFmtId="0" fontId="0" fillId="9" borderId="0" xfId="0" applyFill="1"/>
    <xf numFmtId="0" fontId="12" fillId="0" borderId="9" xfId="0" applyFont="1" applyFill="1" applyBorder="1" applyAlignment="1">
      <alignment vertical="top" wrapText="1"/>
    </xf>
    <xf numFmtId="0" fontId="55" fillId="0" borderId="9" xfId="0" applyFont="1" applyBorder="1" applyAlignment="1">
      <alignment horizontal="justify" vertical="top" wrapText="1"/>
    </xf>
    <xf numFmtId="0" fontId="35" fillId="0" borderId="2" xfId="0" applyFont="1" applyFill="1" applyBorder="1" applyAlignment="1">
      <alignment horizontal="justify" vertical="top" wrapText="1"/>
    </xf>
    <xf numFmtId="169" fontId="9" fillId="0" borderId="9" xfId="0" applyNumberFormat="1" applyFont="1" applyFill="1" applyBorder="1" applyAlignment="1">
      <alignment horizontal="right"/>
    </xf>
    <xf numFmtId="167" fontId="9" fillId="0" borderId="9" xfId="0" applyNumberFormat="1" applyFont="1" applyFill="1" applyBorder="1" applyAlignment="1">
      <alignment horizontal="left" vertical="top" wrapText="1"/>
    </xf>
    <xf numFmtId="168" fontId="8" fillId="0" borderId="9" xfId="0" applyNumberFormat="1" applyFont="1" applyFill="1" applyBorder="1" applyAlignment="1">
      <alignment wrapText="1"/>
    </xf>
    <xf numFmtId="169" fontId="9" fillId="0" borderId="9" xfId="0" applyNumberFormat="1" applyFont="1" applyFill="1" applyBorder="1"/>
    <xf numFmtId="0" fontId="12" fillId="0" borderId="9" xfId="0" applyFont="1" applyFill="1" applyBorder="1" applyAlignment="1">
      <alignment wrapText="1"/>
    </xf>
    <xf numFmtId="169" fontId="12" fillId="0" borderId="0" xfId="0" applyNumberFormat="1" applyFont="1" applyFill="1"/>
    <xf numFmtId="168" fontId="19" fillId="0" borderId="9" xfId="0" applyNumberFormat="1" applyFont="1" applyFill="1" applyBorder="1" applyAlignment="1">
      <alignment horizontal="right" wrapText="1"/>
    </xf>
    <xf numFmtId="168" fontId="12" fillId="0" borderId="9" xfId="0" applyNumberFormat="1" applyFont="1" applyFill="1" applyBorder="1" applyAlignment="1">
      <alignment horizontal="right" wrapText="1"/>
    </xf>
    <xf numFmtId="169" fontId="12" fillId="0" borderId="9" xfId="0" applyNumberFormat="1" applyFont="1" applyFill="1" applyBorder="1" applyAlignment="1">
      <alignment horizontal="right"/>
    </xf>
    <xf numFmtId="169" fontId="12" fillId="0" borderId="9" xfId="0" applyNumberFormat="1" applyFont="1" applyFill="1" applyBorder="1"/>
    <xf numFmtId="168" fontId="16" fillId="11" borderId="9" xfId="0" applyNumberFormat="1" applyFont="1" applyFill="1" applyBorder="1" applyAlignment="1">
      <alignment horizontal="right" wrapText="1"/>
    </xf>
    <xf numFmtId="168" fontId="10" fillId="12" borderId="9" xfId="0" applyNumberFormat="1" applyFont="1" applyFill="1" applyBorder="1" applyAlignment="1">
      <alignment horizontal="right" wrapText="1"/>
    </xf>
    <xf numFmtId="167" fontId="19" fillId="0" borderId="9" xfId="0" applyNumberFormat="1" applyFont="1" applyFill="1" applyBorder="1" applyAlignment="1">
      <alignment horizontal="left" wrapText="1"/>
    </xf>
    <xf numFmtId="167" fontId="9" fillId="4" borderId="9" xfId="0" applyNumberFormat="1" applyFont="1" applyFill="1" applyBorder="1" applyAlignment="1">
      <alignment horizontal="left" vertical="top" wrapText="1"/>
    </xf>
    <xf numFmtId="168" fontId="19" fillId="8" borderId="9" xfId="0" applyNumberFormat="1" applyFont="1" applyFill="1" applyBorder="1" applyAlignment="1">
      <alignment horizontal="right" wrapText="1"/>
    </xf>
    <xf numFmtId="168" fontId="12" fillId="8" borderId="9" xfId="0" applyNumberFormat="1" applyFont="1" applyFill="1" applyBorder="1" applyAlignment="1">
      <alignment horizontal="right" wrapText="1"/>
    </xf>
    <xf numFmtId="2" fontId="9" fillId="0" borderId="0" xfId="0" applyNumberFormat="1" applyFont="1"/>
    <xf numFmtId="168" fontId="10" fillId="10" borderId="9" xfId="0" applyNumberFormat="1" applyFont="1" applyFill="1" applyBorder="1" applyAlignment="1">
      <alignment horizontal="right" wrapText="1"/>
    </xf>
    <xf numFmtId="2" fontId="10" fillId="0" borderId="0" xfId="0" applyNumberFormat="1" applyFont="1"/>
    <xf numFmtId="168" fontId="8" fillId="25" borderId="9" xfId="0" applyNumberFormat="1" applyFont="1" applyFill="1" applyBorder="1" applyAlignment="1">
      <alignment horizontal="right" wrapText="1"/>
    </xf>
    <xf numFmtId="168" fontId="16" fillId="25" borderId="9" xfId="0" applyNumberFormat="1" applyFont="1" applyFill="1" applyBorder="1" applyAlignment="1">
      <alignment horizontal="right" wrapText="1"/>
    </xf>
    <xf numFmtId="168" fontId="9" fillId="25" borderId="9" xfId="0" applyNumberFormat="1" applyFont="1" applyFill="1" applyBorder="1" applyAlignment="1">
      <alignment horizontal="right" wrapText="1"/>
    </xf>
    <xf numFmtId="169" fontId="9" fillId="25" borderId="9" xfId="0" applyNumberFormat="1" applyFont="1" applyFill="1" applyBorder="1" applyAlignment="1">
      <alignment horizontal="right"/>
    </xf>
    <xf numFmtId="169" fontId="9" fillId="25" borderId="9" xfId="0" applyNumberFormat="1" applyFont="1" applyFill="1" applyBorder="1"/>
    <xf numFmtId="168" fontId="8" fillId="25" borderId="9" xfId="0" applyNumberFormat="1" applyFont="1" applyFill="1" applyBorder="1" applyAlignment="1">
      <alignment wrapText="1"/>
    </xf>
    <xf numFmtId="0" fontId="0" fillId="0" borderId="9" xfId="0" applyBorder="1" applyAlignment="1">
      <alignment vertical="top" wrapText="1"/>
    </xf>
    <xf numFmtId="0" fontId="9" fillId="0" borderId="0" xfId="0" applyFont="1" applyFill="1" applyAlignment="1">
      <alignment horizontal="center" wrapText="1"/>
    </xf>
    <xf numFmtId="0" fontId="8" fillId="0" borderId="9" xfId="4" applyFont="1" applyFill="1" applyBorder="1" applyAlignment="1">
      <alignment horizontal="left" vertical="top" wrapText="1"/>
    </xf>
    <xf numFmtId="0" fontId="13" fillId="9" borderId="9" xfId="23" applyFont="1" applyFill="1" applyBorder="1" applyAlignment="1">
      <alignment horizontal="left" vertical="center" wrapText="1"/>
    </xf>
    <xf numFmtId="0" fontId="13" fillId="9" borderId="9" xfId="23" applyFont="1" applyFill="1" applyBorder="1" applyAlignment="1">
      <alignment horizontal="right" vertical="center" wrapText="1"/>
    </xf>
    <xf numFmtId="4" fontId="9" fillId="0" borderId="9" xfId="0" applyNumberFormat="1" applyFont="1" applyFill="1" applyBorder="1" applyAlignment="1">
      <alignment horizontal="left" vertical="center" wrapText="1"/>
    </xf>
    <xf numFmtId="4" fontId="79" fillId="0" borderId="9" xfId="0" applyNumberFormat="1" applyFont="1" applyBorder="1" applyAlignment="1">
      <alignment horizontal="left" vertical="center" wrapText="1"/>
    </xf>
    <xf numFmtId="4" fontId="77" fillId="0" borderId="9" xfId="0" applyNumberFormat="1" applyFont="1" applyBorder="1" applyAlignment="1">
      <alignment horizontal="left" vertical="center" wrapText="1"/>
    </xf>
    <xf numFmtId="4" fontId="55" fillId="0" borderId="9" xfId="0" applyNumberFormat="1" applyFont="1" applyBorder="1" applyAlignment="1">
      <alignment horizontal="left" vertical="center" wrapText="1"/>
    </xf>
    <xf numFmtId="0" fontId="78" fillId="0" borderId="9" xfId="0" applyFont="1" applyBorder="1" applyAlignment="1">
      <alignment horizontal="left" vertical="center" wrapText="1"/>
    </xf>
    <xf numFmtId="0" fontId="55" fillId="8" borderId="9" xfId="0" applyFont="1" applyFill="1" applyBorder="1"/>
    <xf numFmtId="0" fontId="35" fillId="8" borderId="9" xfId="4" applyFont="1" applyFill="1" applyBorder="1" applyAlignment="1">
      <alignment vertical="center" wrapText="1"/>
    </xf>
    <xf numFmtId="0" fontId="9" fillId="9" borderId="0" xfId="0" applyFont="1" applyFill="1"/>
    <xf numFmtId="4" fontId="9" fillId="9" borderId="0" xfId="0" applyNumberFormat="1" applyFont="1" applyFill="1"/>
    <xf numFmtId="0" fontId="13" fillId="0" borderId="0" xfId="0" applyNumberFormat="1" applyFont="1" applyFill="1" applyAlignment="1">
      <alignment horizontal="center" vertical="top" wrapText="1"/>
    </xf>
    <xf numFmtId="4" fontId="65" fillId="0" borderId="0" xfId="0" applyNumberFormat="1" applyFont="1" applyFill="1" applyAlignment="1">
      <alignment horizontal="center" vertical="top" wrapText="1"/>
    </xf>
    <xf numFmtId="0" fontId="13" fillId="0" borderId="0" xfId="0" applyNumberFormat="1" applyFont="1" applyFill="1" applyAlignment="1">
      <alignment vertical="center" wrapText="1"/>
    </xf>
    <xf numFmtId="0" fontId="13" fillId="0" borderId="0" xfId="0" applyNumberFormat="1" applyFont="1" applyFill="1" applyAlignment="1">
      <alignment horizontal="left" vertical="center" wrapText="1"/>
    </xf>
    <xf numFmtId="168" fontId="16" fillId="0" borderId="9" xfId="0" applyNumberFormat="1" applyFont="1" applyBorder="1" applyAlignment="1">
      <alignment wrapText="1"/>
    </xf>
    <xf numFmtId="167" fontId="9" fillId="4" borderId="9" xfId="0" applyNumberFormat="1" applyFont="1" applyFill="1" applyBorder="1" applyAlignment="1">
      <alignment horizontal="left" vertical="center" wrapText="1"/>
    </xf>
    <xf numFmtId="0" fontId="13" fillId="0" borderId="8" xfId="22" applyFont="1" applyBorder="1" applyAlignment="1">
      <alignment horizontal="left" vertical="center"/>
    </xf>
    <xf numFmtId="0" fontId="13" fillId="0" borderId="5" xfId="22" applyFont="1" applyBorder="1" applyAlignment="1">
      <alignment horizontal="left"/>
    </xf>
    <xf numFmtId="0" fontId="13" fillId="0" borderId="8" xfId="22" applyFont="1" applyBorder="1" applyAlignment="1">
      <alignment horizontal="left"/>
    </xf>
    <xf numFmtId="0" fontId="28" fillId="0" borderId="8" xfId="22" applyFont="1" applyBorder="1" applyAlignment="1">
      <alignment horizontal="left" vertical="center"/>
    </xf>
    <xf numFmtId="0" fontId="13" fillId="0" borderId="10" xfId="22" applyFont="1" applyBorder="1" applyAlignment="1">
      <alignment horizontal="left" vertical="center"/>
    </xf>
    <xf numFmtId="167" fontId="80" fillId="10" borderId="9" xfId="0" applyNumberFormat="1" applyFont="1" applyFill="1" applyBorder="1" applyAlignment="1">
      <alignment horizontal="left" wrapText="1"/>
    </xf>
    <xf numFmtId="167" fontId="9" fillId="10" borderId="9" xfId="0" applyNumberFormat="1" applyFont="1" applyFill="1" applyBorder="1" applyAlignment="1">
      <alignment horizontal="left" vertical="top" wrapText="1"/>
    </xf>
    <xf numFmtId="4" fontId="9" fillId="0" borderId="9" xfId="1" applyNumberFormat="1" applyFont="1" applyFill="1" applyBorder="1" applyAlignment="1">
      <alignment vertical="center" wrapText="1"/>
    </xf>
    <xf numFmtId="4" fontId="9" fillId="0" borderId="9" xfId="1" applyNumberFormat="1" applyFont="1" applyFill="1" applyBorder="1"/>
    <xf numFmtId="4" fontId="12" fillId="0" borderId="9" xfId="0" applyNumberFormat="1" applyFont="1" applyBorder="1" applyAlignment="1">
      <alignment horizontal="center" wrapText="1"/>
    </xf>
    <xf numFmtId="4" fontId="57" fillId="0" borderId="9" xfId="0" applyNumberFormat="1" applyFont="1" applyBorder="1" applyAlignment="1">
      <alignment horizontal="center" vertical="center" wrapText="1"/>
    </xf>
    <xf numFmtId="4" fontId="12" fillId="0" borderId="9" xfId="1" applyNumberFormat="1" applyFont="1" applyFill="1" applyBorder="1"/>
    <xf numFmtId="4" fontId="10" fillId="0" borderId="9" xfId="0" applyNumberFormat="1" applyFont="1" applyFill="1" applyBorder="1"/>
    <xf numFmtId="164" fontId="80" fillId="0" borderId="9" xfId="1" applyFont="1" applyFill="1" applyBorder="1" applyAlignment="1"/>
    <xf numFmtId="177" fontId="12" fillId="0" borderId="9" xfId="0" applyNumberFormat="1" applyFont="1" applyBorder="1"/>
    <xf numFmtId="177" fontId="9" fillId="0" borderId="9" xfId="1" applyNumberFormat="1" applyFont="1" applyFill="1" applyBorder="1"/>
    <xf numFmtId="177" fontId="12" fillId="0" borderId="9" xfId="1" applyNumberFormat="1" applyFont="1" applyFill="1" applyBorder="1"/>
    <xf numFmtId="0" fontId="13" fillId="0" borderId="2" xfId="0" applyFont="1" applyBorder="1" applyAlignment="1">
      <alignment horizontal="left" vertical="center" wrapText="1"/>
    </xf>
    <xf numFmtId="0" fontId="13" fillId="0" borderId="5" xfId="0" applyFont="1" applyBorder="1" applyAlignment="1">
      <alignment horizontal="left" vertical="center" wrapText="1"/>
    </xf>
    <xf numFmtId="0" fontId="13" fillId="0" borderId="8" xfId="0" applyFont="1" applyBorder="1" applyAlignment="1">
      <alignment horizontal="left" vertical="center" wrapText="1"/>
    </xf>
    <xf numFmtId="0" fontId="13" fillId="9" borderId="9" xfId="0" applyFont="1" applyFill="1" applyBorder="1" applyAlignment="1">
      <alignment vertical="center" wrapText="1"/>
    </xf>
    <xf numFmtId="0" fontId="13" fillId="0" borderId="9" xfId="0" applyFont="1" applyBorder="1" applyAlignment="1">
      <alignment vertical="center" wrapText="1"/>
    </xf>
    <xf numFmtId="0" fontId="40" fillId="0" borderId="9" xfId="0" applyFont="1" applyBorder="1" applyAlignment="1">
      <alignment vertical="center" wrapText="1"/>
    </xf>
    <xf numFmtId="0" fontId="13" fillId="9" borderId="9" xfId="0" applyFont="1" applyFill="1" applyBorder="1" applyAlignment="1">
      <alignment horizontal="justify" vertical="center" wrapText="1"/>
    </xf>
    <xf numFmtId="168" fontId="12" fillId="12" borderId="9" xfId="0" applyNumberFormat="1" applyFont="1" applyFill="1" applyBorder="1" applyAlignment="1">
      <alignment horizontal="right" wrapText="1"/>
    </xf>
    <xf numFmtId="0" fontId="81" fillId="0" borderId="0" xfId="0" applyFont="1"/>
    <xf numFmtId="4" fontId="82" fillId="0" borderId="9" xfId="4" applyNumberFormat="1" applyFont="1" applyFill="1" applyBorder="1" applyAlignment="1" applyProtection="1">
      <alignment horizontal="center" vertical="center" wrapText="1"/>
    </xf>
    <xf numFmtId="168" fontId="19" fillId="11" borderId="9" xfId="0" applyNumberFormat="1" applyFont="1" applyFill="1" applyBorder="1" applyAlignment="1">
      <alignment horizontal="right" wrapText="1"/>
    </xf>
    <xf numFmtId="167" fontId="10" fillId="0" borderId="9" xfId="0" applyNumberFormat="1" applyFont="1" applyFill="1" applyBorder="1" applyAlignment="1">
      <alignment horizontal="left" wrapText="1"/>
    </xf>
    <xf numFmtId="0" fontId="13" fillId="0" borderId="5" xfId="23" applyFont="1" applyBorder="1" applyAlignment="1">
      <alignment horizontal="left" vertical="center" wrapText="1"/>
    </xf>
    <xf numFmtId="0" fontId="13" fillId="12" borderId="10" xfId="23" applyFont="1" applyFill="1" applyBorder="1" applyAlignment="1">
      <alignment horizontal="left" vertical="center" wrapText="1"/>
    </xf>
    <xf numFmtId="4" fontId="13" fillId="0" borderId="11" xfId="23" applyNumberFormat="1" applyFont="1" applyBorder="1" applyAlignment="1">
      <alignment horizontal="center" vertical="center" wrapText="1"/>
    </xf>
    <xf numFmtId="172" fontId="13" fillId="0" borderId="11" xfId="23" applyNumberFormat="1" applyFont="1" applyBorder="1" applyAlignment="1">
      <alignment horizontal="center" vertical="center" wrapText="1"/>
    </xf>
    <xf numFmtId="4" fontId="13" fillId="0" borderId="11" xfId="20" applyNumberFormat="1" applyFont="1" applyBorder="1" applyAlignment="1">
      <alignment horizontal="center" vertical="center"/>
    </xf>
    <xf numFmtId="172" fontId="13" fillId="0" borderId="12" xfId="23" applyNumberFormat="1" applyFont="1" applyBorder="1" applyAlignment="1">
      <alignment horizontal="center" vertical="center" wrapText="1"/>
    </xf>
    <xf numFmtId="0" fontId="28" fillId="0" borderId="5" xfId="23" applyFont="1" applyBorder="1" applyAlignment="1">
      <alignment horizontal="left" vertical="center" wrapText="1"/>
    </xf>
    <xf numFmtId="0" fontId="28" fillId="15" borderId="10" xfId="20" applyFont="1" applyFill="1" applyBorder="1" applyAlignment="1">
      <alignment horizontal="left" vertical="center" wrapText="1"/>
    </xf>
    <xf numFmtId="0" fontId="28" fillId="15" borderId="13" xfId="20" applyFont="1" applyFill="1" applyBorder="1" applyAlignment="1">
      <alignment horizontal="left" vertical="center" wrapText="1"/>
    </xf>
    <xf numFmtId="168" fontId="9" fillId="8" borderId="2" xfId="0" applyNumberFormat="1" applyFont="1" applyFill="1" applyBorder="1" applyAlignment="1">
      <alignment horizontal="right" wrapText="1"/>
    </xf>
    <xf numFmtId="168" fontId="9" fillId="8" borderId="8" xfId="0" applyNumberFormat="1" applyFont="1" applyFill="1" applyBorder="1" applyAlignment="1">
      <alignment horizontal="right" wrapText="1"/>
    </xf>
    <xf numFmtId="4" fontId="9" fillId="26" borderId="9" xfId="0" applyNumberFormat="1" applyFont="1" applyFill="1" applyBorder="1" applyAlignment="1" applyProtection="1">
      <alignment horizontal="right" vertical="center"/>
      <protection hidden="1"/>
    </xf>
    <xf numFmtId="0" fontId="13" fillId="9" borderId="9" xfId="0" applyFont="1" applyFill="1" applyBorder="1" applyAlignment="1">
      <alignment horizontal="left" vertical="center" wrapText="1"/>
    </xf>
    <xf numFmtId="43" fontId="13" fillId="9" borderId="9" xfId="3" applyFont="1" applyFill="1" applyBorder="1" applyAlignment="1" applyProtection="1">
      <alignment vertical="center" wrapText="1"/>
    </xf>
    <xf numFmtId="0" fontId="13" fillId="0" borderId="2" xfId="0" applyFont="1" applyFill="1" applyBorder="1" applyAlignment="1">
      <alignment horizontal="justify" vertical="top" wrapText="1"/>
    </xf>
    <xf numFmtId="0" fontId="28" fillId="0" borderId="9" xfId="0" applyFont="1" applyFill="1" applyBorder="1" applyAlignment="1">
      <alignment horizontal="left" vertical="center" wrapText="1"/>
    </xf>
    <xf numFmtId="43" fontId="13" fillId="0" borderId="9" xfId="3" applyFont="1" applyFill="1" applyBorder="1" applyAlignment="1" applyProtection="1">
      <alignment vertical="center" wrapText="1"/>
    </xf>
    <xf numFmtId="0" fontId="13" fillId="0" borderId="5" xfId="0" applyFont="1" applyFill="1" applyBorder="1" applyAlignment="1">
      <alignment horizontal="justify" vertical="top" wrapText="1"/>
    </xf>
    <xf numFmtId="43" fontId="13" fillId="0" borderId="9" xfId="3" applyFont="1" applyFill="1" applyBorder="1" applyAlignment="1" applyProtection="1">
      <alignment wrapText="1"/>
    </xf>
    <xf numFmtId="0" fontId="46" fillId="0" borderId="9" xfId="0" applyFont="1" applyFill="1" applyBorder="1" applyAlignment="1">
      <alignment horizontal="left" vertical="center" wrapText="1"/>
    </xf>
    <xf numFmtId="0" fontId="13" fillId="0" borderId="8" xfId="0" applyFont="1" applyFill="1" applyBorder="1" applyAlignment="1">
      <alignment horizontal="justify" vertical="top" wrapText="1"/>
    </xf>
    <xf numFmtId="0" fontId="13" fillId="2" borderId="9" xfId="36" applyFont="1" applyFill="1" applyBorder="1" applyAlignment="1">
      <alignment horizontal="justify" vertical="center" wrapText="1"/>
    </xf>
    <xf numFmtId="164" fontId="9" fillId="0" borderId="9" xfId="0" applyNumberFormat="1" applyFont="1" applyBorder="1"/>
    <xf numFmtId="171" fontId="40" fillId="0" borderId="9" xfId="0" applyNumberFormat="1" applyFont="1" applyFill="1" applyBorder="1" applyAlignment="1">
      <alignment horizontal="center" vertical="center" wrapText="1"/>
    </xf>
    <xf numFmtId="164" fontId="10" fillId="0" borderId="9" xfId="0" applyNumberFormat="1" applyFont="1" applyBorder="1"/>
    <xf numFmtId="164" fontId="12" fillId="23" borderId="9" xfId="0" applyNumberFormat="1" applyFont="1" applyFill="1" applyBorder="1"/>
    <xf numFmtId="164" fontId="9" fillId="23" borderId="9" xfId="1" applyFont="1" applyFill="1" applyBorder="1" applyAlignment="1">
      <alignment vertical="center" wrapText="1"/>
    </xf>
    <xf numFmtId="164" fontId="9" fillId="23" borderId="9" xfId="1" applyFont="1" applyFill="1" applyBorder="1"/>
    <xf numFmtId="164" fontId="9" fillId="23" borderId="9" xfId="0" applyNumberFormat="1" applyFont="1" applyFill="1" applyBorder="1"/>
    <xf numFmtId="164" fontId="10" fillId="23" borderId="9" xfId="1" applyFont="1" applyFill="1" applyBorder="1"/>
    <xf numFmtId="0" fontId="8" fillId="21" borderId="9" xfId="4" applyFont="1" applyFill="1" applyBorder="1" applyAlignment="1">
      <alignment horizontal="justify" vertical="top" wrapText="1"/>
    </xf>
    <xf numFmtId="2" fontId="9" fillId="23" borderId="9" xfId="0" applyNumberFormat="1" applyFont="1" applyFill="1" applyBorder="1"/>
    <xf numFmtId="2" fontId="9" fillId="21" borderId="9" xfId="0" applyNumberFormat="1" applyFont="1" applyFill="1" applyBorder="1"/>
    <xf numFmtId="0" fontId="28" fillId="0" borderId="2" xfId="22" applyFont="1" applyBorder="1" applyAlignment="1">
      <alignment horizontal="left" vertical="top" wrapText="1"/>
    </xf>
    <xf numFmtId="0" fontId="13" fillId="0" borderId="5" xfId="22" applyFont="1" applyBorder="1" applyAlignment="1">
      <alignment horizontal="left" vertical="top" wrapText="1"/>
    </xf>
    <xf numFmtId="0" fontId="13" fillId="0" borderId="8" xfId="22" applyFont="1" applyBorder="1" applyAlignment="1">
      <alignment horizontal="left" vertical="top" wrapText="1"/>
    </xf>
    <xf numFmtId="0" fontId="28" fillId="0" borderId="2" xfId="22" applyFont="1" applyBorder="1" applyAlignment="1">
      <alignment horizontal="center" vertical="center" wrapText="1"/>
    </xf>
    <xf numFmtId="4" fontId="9" fillId="0" borderId="9" xfId="0" applyNumberFormat="1" applyFont="1" applyFill="1" applyBorder="1" applyAlignment="1">
      <alignment horizontal="right" vertical="center" wrapText="1"/>
    </xf>
    <xf numFmtId="175" fontId="9" fillId="0" borderId="9" xfId="0" applyNumberFormat="1" applyFont="1" applyFill="1" applyBorder="1" applyAlignment="1">
      <alignment horizontal="right" wrapText="1"/>
    </xf>
    <xf numFmtId="0" fontId="13" fillId="0" borderId="9" xfId="0" applyFont="1" applyFill="1" applyBorder="1" applyAlignment="1">
      <alignment horizontal="justify" vertical="center" wrapText="1"/>
    </xf>
    <xf numFmtId="4" fontId="13" fillId="0" borderId="9" xfId="0" applyNumberFormat="1" applyFont="1" applyFill="1" applyBorder="1" applyAlignment="1">
      <alignment vertical="center" wrapText="1"/>
    </xf>
    <xf numFmtId="0" fontId="40" fillId="0" borderId="9" xfId="0" applyFont="1" applyFill="1" applyBorder="1" applyAlignment="1">
      <alignment vertical="center" wrapText="1"/>
    </xf>
    <xf numFmtId="4" fontId="13" fillId="4" borderId="10" xfId="22" applyNumberFormat="1" applyFont="1" applyFill="1" applyBorder="1" applyAlignment="1">
      <alignment horizontal="center" vertical="center" wrapText="1"/>
    </xf>
    <xf numFmtId="0" fontId="28" fillId="0" borderId="2" xfId="22" applyFont="1" applyBorder="1" applyAlignment="1">
      <alignment horizontal="left" vertical="center" wrapText="1"/>
    </xf>
    <xf numFmtId="4" fontId="13" fillId="0" borderId="9" xfId="32" applyNumberFormat="1" applyFont="1" applyBorder="1" applyAlignment="1">
      <alignment horizontal="center" vertical="center"/>
    </xf>
    <xf numFmtId="43" fontId="13" fillId="0" borderId="9" xfId="32" applyNumberFormat="1" applyFont="1" applyBorder="1" applyAlignment="1">
      <alignment horizontal="center" vertical="center" wrapText="1"/>
    </xf>
    <xf numFmtId="43" fontId="50" fillId="0" borderId="9" xfId="32" applyNumberFormat="1" applyFont="1" applyBorder="1" applyAlignment="1">
      <alignment horizontal="center" vertical="center" wrapText="1"/>
    </xf>
    <xf numFmtId="0" fontId="13" fillId="0" borderId="0" xfId="32" applyFont="1"/>
    <xf numFmtId="0" fontId="13" fillId="0" borderId="10" xfId="20" applyFont="1" applyBorder="1" applyAlignment="1">
      <alignment horizontal="left" vertical="center" wrapText="1"/>
    </xf>
    <xf numFmtId="0" fontId="13" fillId="9" borderId="2" xfId="20" applyFont="1" applyFill="1" applyBorder="1" applyAlignment="1">
      <alignment horizontal="left" vertical="top" wrapText="1"/>
    </xf>
    <xf numFmtId="0" fontId="13" fillId="9" borderId="5" xfId="20" applyFont="1" applyFill="1" applyBorder="1" applyAlignment="1">
      <alignment horizontal="left" vertical="top" wrapText="1"/>
    </xf>
    <xf numFmtId="0" fontId="13" fillId="0" borderId="10" xfId="20" applyFont="1" applyBorder="1" applyAlignment="1">
      <alignment horizontal="left" vertical="center"/>
    </xf>
    <xf numFmtId="0" fontId="13" fillId="0" borderId="11" xfId="20" applyFont="1" applyBorder="1" applyAlignment="1">
      <alignment horizontal="left" vertical="center"/>
    </xf>
    <xf numFmtId="0" fontId="13" fillId="0" borderId="12" xfId="20" applyFont="1" applyBorder="1" applyAlignment="1">
      <alignment horizontal="left" vertical="center"/>
    </xf>
    <xf numFmtId="172" fontId="13" fillId="0" borderId="11" xfId="20" applyNumberFormat="1" applyFont="1" applyBorder="1" applyAlignment="1">
      <alignment horizontal="center" vertical="center" wrapText="1"/>
    </xf>
    <xf numFmtId="4" fontId="13" fillId="0" borderId="11" xfId="20" applyNumberFormat="1" applyFont="1" applyBorder="1" applyAlignment="1">
      <alignment horizontal="center" vertical="center" wrapText="1"/>
    </xf>
    <xf numFmtId="4" fontId="13" fillId="0" borderId="12" xfId="20" applyNumberFormat="1" applyFont="1" applyBorder="1" applyAlignment="1">
      <alignment horizontal="center" vertical="center" wrapText="1"/>
    </xf>
    <xf numFmtId="0" fontId="44" fillId="0" borderId="9" xfId="20" applyFont="1" applyBorder="1"/>
    <xf numFmtId="0" fontId="40" fillId="0" borderId="9" xfId="20" applyFont="1" applyBorder="1" applyAlignment="1">
      <alignment horizontal="left" wrapText="1"/>
    </xf>
    <xf numFmtId="2" fontId="9" fillId="0" borderId="9" xfId="0" applyNumberFormat="1" applyFont="1" applyFill="1" applyBorder="1"/>
    <xf numFmtId="0" fontId="9" fillId="0" borderId="9" xfId="4" applyFont="1" applyFill="1" applyBorder="1" applyAlignment="1">
      <alignment horizontal="justify" vertical="top" wrapText="1"/>
    </xf>
    <xf numFmtId="164" fontId="9" fillId="0" borderId="9" xfId="0" applyNumberFormat="1" applyFont="1" applyFill="1" applyBorder="1"/>
    <xf numFmtId="4" fontId="9" fillId="0" borderId="9" xfId="4" applyNumberFormat="1" applyFont="1" applyFill="1" applyBorder="1" applyAlignment="1">
      <alignment horizontal="left" vertical="top" wrapText="1"/>
    </xf>
    <xf numFmtId="4" fontId="17" fillId="0" borderId="9" xfId="4" applyNumberFormat="1" applyFont="1" applyFill="1" applyBorder="1" applyAlignment="1">
      <alignment horizontal="left" vertical="top" wrapText="1"/>
    </xf>
    <xf numFmtId="4" fontId="9" fillId="0" borderId="9" xfId="4" applyNumberFormat="1" applyFont="1" applyBorder="1" applyAlignment="1">
      <alignment horizontal="left" vertical="center" wrapText="1"/>
    </xf>
    <xf numFmtId="4" fontId="23" fillId="0" borderId="9" xfId="4" applyNumberFormat="1" applyFont="1" applyFill="1" applyBorder="1" applyAlignment="1">
      <alignment vertical="center" wrapText="1"/>
    </xf>
    <xf numFmtId="164" fontId="9" fillId="9" borderId="9" xfId="0" applyNumberFormat="1" applyFont="1" applyFill="1" applyBorder="1"/>
    <xf numFmtId="0" fontId="9" fillId="9" borderId="9" xfId="0" applyFont="1" applyFill="1" applyBorder="1"/>
    <xf numFmtId="4" fontId="8" fillId="9" borderId="10" xfId="4" applyNumberFormat="1" applyFont="1" applyFill="1" applyBorder="1" applyAlignment="1">
      <alignment horizontal="center" vertical="center" wrapText="1"/>
    </xf>
    <xf numFmtId="4" fontId="8" fillId="9" borderId="10" xfId="4" applyNumberFormat="1" applyFont="1" applyFill="1" applyBorder="1" applyAlignment="1" applyProtection="1">
      <alignment horizontal="center" vertical="center" wrapText="1"/>
      <protection hidden="1"/>
    </xf>
    <xf numFmtId="0" fontId="12" fillId="0" borderId="2" xfId="0" applyFont="1" applyBorder="1"/>
    <xf numFmtId="164" fontId="10" fillId="0" borderId="9" xfId="0" applyNumberFormat="1" applyFont="1" applyFill="1" applyBorder="1"/>
    <xf numFmtId="49" fontId="55" fillId="0" borderId="9" xfId="0" applyNumberFormat="1" applyFont="1" applyBorder="1" applyAlignment="1">
      <alignment vertical="justify" wrapText="1"/>
    </xf>
    <xf numFmtId="0" fontId="12" fillId="0" borderId="9" xfId="0" applyFont="1" applyBorder="1" applyAlignment="1">
      <alignment vertical="justify" wrapText="1"/>
    </xf>
    <xf numFmtId="4" fontId="9" fillId="2" borderId="9" xfId="4" applyNumberFormat="1" applyFont="1" applyFill="1" applyBorder="1" applyAlignment="1">
      <alignment horizontal="left" vertical="justify" wrapText="1"/>
    </xf>
    <xf numFmtId="0" fontId="55" fillId="9" borderId="9" xfId="0" applyFont="1" applyFill="1" applyBorder="1" applyAlignment="1">
      <alignment horizontal="justify" vertical="justify" wrapText="1"/>
    </xf>
    <xf numFmtId="0" fontId="27" fillId="0" borderId="9" xfId="0" applyFont="1" applyFill="1" applyBorder="1" applyAlignment="1">
      <alignment horizontal="left" vertical="center" wrapText="1"/>
    </xf>
    <xf numFmtId="178" fontId="9" fillId="0" borderId="9" xfId="0" applyNumberFormat="1" applyFont="1" applyBorder="1" applyAlignment="1">
      <alignment horizontal="right" vertical="center" wrapText="1"/>
    </xf>
    <xf numFmtId="0" fontId="8" fillId="18" borderId="9" xfId="0" applyFont="1" applyFill="1" applyBorder="1" applyAlignment="1">
      <alignment horizontal="left" vertical="top" wrapText="1"/>
    </xf>
    <xf numFmtId="2" fontId="9" fillId="18" borderId="9" xfId="0" applyNumberFormat="1" applyFont="1" applyFill="1" applyBorder="1" applyAlignment="1">
      <alignment horizontal="right" wrapText="1"/>
    </xf>
    <xf numFmtId="2" fontId="10" fillId="18" borderId="9" xfId="0" applyNumberFormat="1" applyFont="1" applyFill="1" applyBorder="1" applyAlignment="1">
      <alignment horizontal="right" wrapText="1"/>
    </xf>
    <xf numFmtId="0" fontId="12" fillId="18" borderId="9" xfId="0" applyFont="1" applyFill="1" applyBorder="1"/>
    <xf numFmtId="2" fontId="12" fillId="18" borderId="0" xfId="0" applyNumberFormat="1" applyFont="1" applyFill="1"/>
    <xf numFmtId="0" fontId="12" fillId="18" borderId="0" xfId="0" applyFont="1" applyFill="1"/>
    <xf numFmtId="167" fontId="8" fillId="18" borderId="9" xfId="0" applyNumberFormat="1" applyFont="1" applyFill="1" applyBorder="1" applyAlignment="1">
      <alignment horizontal="left" wrapText="1"/>
    </xf>
    <xf numFmtId="168" fontId="8" fillId="18" borderId="9" xfId="0" applyNumberFormat="1" applyFont="1" applyFill="1" applyBorder="1" applyAlignment="1">
      <alignment horizontal="right" wrapText="1"/>
    </xf>
    <xf numFmtId="168" fontId="8" fillId="18" borderId="9" xfId="0" applyNumberFormat="1" applyFont="1" applyFill="1" applyBorder="1" applyAlignment="1">
      <alignment vertical="center" wrapText="1"/>
    </xf>
    <xf numFmtId="167" fontId="9" fillId="18" borderId="9" xfId="0" applyNumberFormat="1" applyFont="1" applyFill="1" applyBorder="1" applyAlignment="1">
      <alignment horizontal="left" wrapText="1"/>
    </xf>
    <xf numFmtId="168" fontId="9" fillId="18" borderId="9" xfId="0" applyNumberFormat="1" applyFont="1" applyFill="1" applyBorder="1" applyAlignment="1">
      <alignment horizontal="right" wrapText="1"/>
    </xf>
    <xf numFmtId="167" fontId="9" fillId="18" borderId="9" xfId="0" applyNumberFormat="1" applyFont="1" applyFill="1" applyBorder="1" applyAlignment="1">
      <alignment horizontal="right" wrapText="1"/>
    </xf>
    <xf numFmtId="0" fontId="84" fillId="0" borderId="9" xfId="4" applyFont="1" applyBorder="1" applyAlignment="1">
      <alignment horizontal="left" wrapText="1"/>
    </xf>
    <xf numFmtId="164" fontId="85" fillId="0" borderId="9" xfId="1" applyFont="1" applyFill="1" applyBorder="1"/>
    <xf numFmtId="0" fontId="84" fillId="0" borderId="0" xfId="0" applyFont="1" applyAlignment="1"/>
    <xf numFmtId="0" fontId="85" fillId="0" borderId="0" xfId="0" applyFont="1"/>
    <xf numFmtId="0" fontId="13" fillId="12" borderId="10" xfId="23" applyFont="1" applyFill="1" applyBorder="1" applyAlignment="1">
      <alignment horizontal="left" vertical="center" wrapText="1"/>
    </xf>
    <xf numFmtId="0" fontId="13" fillId="9" borderId="5" xfId="23" applyFont="1" applyFill="1" applyBorder="1" applyAlignment="1">
      <alignment horizontal="left" vertical="top"/>
    </xf>
    <xf numFmtId="0" fontId="13" fillId="9" borderId="5" xfId="23" applyFont="1" applyFill="1" applyBorder="1" applyAlignment="1">
      <alignment horizontal="left" vertical="top" wrapText="1"/>
    </xf>
    <xf numFmtId="166" fontId="35" fillId="0" borderId="9" xfId="20" applyNumberFormat="1" applyFont="1" applyBorder="1" applyAlignment="1">
      <alignment vertical="center" wrapText="1"/>
    </xf>
    <xf numFmtId="0" fontId="13" fillId="0" borderId="9" xfId="22" applyFont="1" applyBorder="1" applyAlignment="1">
      <alignment wrapText="1"/>
    </xf>
    <xf numFmtId="43" fontId="13" fillId="0" borderId="9" xfId="3" applyFont="1" applyFill="1" applyBorder="1" applyAlignment="1" applyProtection="1">
      <alignment horizontal="center" vertical="center" wrapText="1"/>
    </xf>
    <xf numFmtId="171" fontId="40" fillId="0" borderId="9" xfId="0" applyNumberFormat="1" applyFont="1" applyFill="1" applyBorder="1" applyAlignment="1">
      <alignment horizontal="center" wrapText="1"/>
    </xf>
    <xf numFmtId="4" fontId="40" fillId="0" borderId="2" xfId="0" applyNumberFormat="1" applyFont="1" applyFill="1" applyBorder="1" applyAlignment="1">
      <alignment horizontal="left" vertical="center" wrapText="1"/>
    </xf>
    <xf numFmtId="4" fontId="40" fillId="0" borderId="5" xfId="0" applyNumberFormat="1" applyFont="1" applyFill="1" applyBorder="1" applyAlignment="1">
      <alignment horizontal="left" vertical="center"/>
    </xf>
    <xf numFmtId="4" fontId="40" fillId="0" borderId="8" xfId="0" applyNumberFormat="1" applyFont="1" applyFill="1" applyBorder="1" applyAlignment="1">
      <alignment horizontal="left" vertical="center"/>
    </xf>
    <xf numFmtId="4" fontId="55" fillId="0" borderId="5" xfId="0" applyNumberFormat="1" applyFont="1" applyFill="1" applyBorder="1" applyAlignment="1">
      <alignment horizontal="left" vertical="center" wrapText="1"/>
    </xf>
    <xf numFmtId="4" fontId="55" fillId="0" borderId="8" xfId="0" applyNumberFormat="1" applyFont="1" applyFill="1" applyBorder="1" applyAlignment="1">
      <alignment horizontal="left" vertical="center" wrapText="1"/>
    </xf>
    <xf numFmtId="4" fontId="55" fillId="0" borderId="2" xfId="0" applyNumberFormat="1" applyFont="1" applyFill="1" applyBorder="1" applyAlignment="1">
      <alignment horizontal="left" vertical="top" wrapText="1"/>
    </xf>
    <xf numFmtId="4" fontId="55" fillId="0" borderId="5" xfId="0" applyNumberFormat="1" applyFont="1" applyFill="1" applyBorder="1" applyAlignment="1">
      <alignment horizontal="left" vertical="top" wrapText="1"/>
    </xf>
    <xf numFmtId="4" fontId="55" fillId="0" borderId="8" xfId="0" applyNumberFormat="1" applyFont="1" applyFill="1" applyBorder="1" applyAlignment="1">
      <alignment horizontal="left" vertical="top" wrapText="1"/>
    </xf>
    <xf numFmtId="0" fontId="13" fillId="0" borderId="10" xfId="20" applyFont="1" applyBorder="1" applyAlignment="1">
      <alignment horizontal="left" vertical="center" wrapText="1"/>
    </xf>
    <xf numFmtId="0" fontId="1" fillId="0" borderId="0" xfId="20" applyFont="1" applyProtection="1"/>
    <xf numFmtId="0" fontId="9" fillId="13" borderId="9" xfId="4" applyFont="1" applyFill="1" applyBorder="1" applyAlignment="1" applyProtection="1">
      <alignment horizontal="left" vertical="top"/>
    </xf>
    <xf numFmtId="169" fontId="9" fillId="13" borderId="9" xfId="20" applyNumberFormat="1" applyFont="1" applyFill="1" applyBorder="1" applyAlignment="1" applyProtection="1">
      <alignment horizontal="center" vertical="center"/>
    </xf>
    <xf numFmtId="169" fontId="9" fillId="13" borderId="9" xfId="3" applyNumberFormat="1" applyFont="1" applyFill="1" applyBorder="1" applyAlignment="1" applyProtection="1">
      <alignment horizontal="center" vertical="center"/>
    </xf>
    <xf numFmtId="0" fontId="9" fillId="13" borderId="9" xfId="20" applyFont="1" applyFill="1" applyBorder="1" applyAlignment="1" applyProtection="1">
      <alignment vertical="center" wrapText="1"/>
    </xf>
    <xf numFmtId="4" fontId="9" fillId="9" borderId="9" xfId="4" applyNumberFormat="1" applyFont="1" applyFill="1" applyBorder="1" applyAlignment="1" applyProtection="1">
      <alignment horizontal="center" vertical="center" wrapText="1"/>
    </xf>
    <xf numFmtId="0" fontId="12" fillId="21" borderId="9" xfId="0" applyFont="1" applyFill="1" applyBorder="1" applyAlignment="1">
      <alignment wrapText="1"/>
    </xf>
    <xf numFmtId="2" fontId="8" fillId="9" borderId="9" xfId="4" applyNumberFormat="1" applyFont="1" applyFill="1" applyBorder="1" applyAlignment="1">
      <alignment horizontal="center" vertical="center" wrapText="1"/>
    </xf>
    <xf numFmtId="2" fontId="8" fillId="9" borderId="10" xfId="4" applyNumberFormat="1" applyFont="1" applyFill="1" applyBorder="1" applyAlignment="1">
      <alignment horizontal="center" vertical="center" wrapText="1"/>
    </xf>
    <xf numFmtId="2" fontId="8" fillId="12" borderId="10" xfId="4" applyNumberFormat="1" applyFont="1" applyFill="1" applyBorder="1" applyAlignment="1" applyProtection="1">
      <alignment horizontal="center" vertical="center" wrapText="1"/>
      <protection hidden="1"/>
    </xf>
    <xf numFmtId="2" fontId="8" fillId="9" borderId="9" xfId="4" applyNumberFormat="1" applyFont="1" applyFill="1" applyBorder="1" applyAlignment="1" applyProtection="1">
      <alignment horizontal="center" vertical="center" wrapText="1"/>
    </xf>
    <xf numFmtId="2" fontId="8" fillId="9" borderId="10" xfId="4" applyNumberFormat="1" applyFont="1" applyFill="1" applyBorder="1" applyAlignment="1" applyProtection="1">
      <alignment horizontal="center" vertical="center" wrapText="1"/>
      <protection hidden="1"/>
    </xf>
    <xf numFmtId="2" fontId="8" fillId="9" borderId="9" xfId="4" applyNumberFormat="1" applyFont="1" applyFill="1" applyBorder="1" applyAlignment="1" applyProtection="1">
      <alignment horizontal="center" vertical="center" wrapText="1"/>
      <protection hidden="1"/>
    </xf>
    <xf numFmtId="2" fontId="8" fillId="12" borderId="9" xfId="4" applyNumberFormat="1" applyFont="1" applyFill="1" applyBorder="1" applyAlignment="1">
      <alignment horizontal="center" vertical="center" wrapText="1"/>
    </xf>
    <xf numFmtId="2" fontId="8" fillId="12" borderId="10" xfId="4" applyNumberFormat="1" applyFont="1" applyFill="1" applyBorder="1" applyAlignment="1">
      <alignment horizontal="center" vertical="center" wrapText="1"/>
    </xf>
    <xf numFmtId="2" fontId="8" fillId="9" borderId="12" xfId="4" applyNumberFormat="1" applyFont="1" applyFill="1" applyBorder="1" applyAlignment="1">
      <alignment horizontal="center" vertical="center" wrapText="1"/>
    </xf>
    <xf numFmtId="2" fontId="8" fillId="2" borderId="9" xfId="4" applyNumberFormat="1" applyFont="1" applyFill="1" applyBorder="1" applyAlignment="1">
      <alignment horizontal="center" vertical="center" wrapText="1"/>
    </xf>
    <xf numFmtId="2" fontId="8" fillId="12" borderId="9" xfId="4" applyNumberFormat="1" applyFont="1" applyFill="1" applyBorder="1" applyAlignment="1" applyProtection="1">
      <alignment horizontal="center" vertical="center" wrapText="1"/>
    </xf>
    <xf numFmtId="2" fontId="8" fillId="4" borderId="9" xfId="4" applyNumberFormat="1" applyFont="1" applyFill="1" applyBorder="1" applyAlignment="1">
      <alignment horizontal="center" vertical="center" wrapText="1"/>
    </xf>
    <xf numFmtId="2" fontId="8" fillId="4" borderId="10" xfId="4" applyNumberFormat="1" applyFont="1" applyFill="1" applyBorder="1" applyAlignment="1">
      <alignment horizontal="center" vertical="center" wrapText="1"/>
    </xf>
    <xf numFmtId="2" fontId="8" fillId="4" borderId="10" xfId="4" applyNumberFormat="1" applyFont="1" applyFill="1" applyBorder="1" applyAlignment="1" applyProtection="1">
      <alignment horizontal="center" vertical="center" wrapText="1"/>
      <protection hidden="1"/>
    </xf>
    <xf numFmtId="0" fontId="27" fillId="0" borderId="2" xfId="4" applyFont="1" applyFill="1" applyBorder="1" applyAlignment="1">
      <alignment horizontal="center" vertical="center" wrapText="1"/>
    </xf>
    <xf numFmtId="0" fontId="27" fillId="0" borderId="5" xfId="4" applyFont="1" applyFill="1" applyBorder="1" applyAlignment="1">
      <alignment horizontal="center" vertical="center" wrapText="1"/>
    </xf>
    <xf numFmtId="0" fontId="27" fillId="0" borderId="8" xfId="4" applyFont="1" applyFill="1" applyBorder="1" applyAlignment="1">
      <alignment horizontal="center" vertical="center" wrapText="1"/>
    </xf>
    <xf numFmtId="0" fontId="9" fillId="0" borderId="5" xfId="0" applyFont="1" applyBorder="1" applyAlignment="1">
      <alignment horizontal="left" vertical="center" wrapText="1"/>
    </xf>
    <xf numFmtId="0" fontId="9" fillId="0" borderId="8" xfId="0" applyFont="1" applyBorder="1" applyAlignment="1">
      <alignment horizontal="left" vertical="center" wrapText="1"/>
    </xf>
    <xf numFmtId="0" fontId="27" fillId="2" borderId="9" xfId="4" applyFont="1" applyFill="1" applyBorder="1" applyAlignment="1">
      <alignment horizontal="center" vertical="center" wrapText="1"/>
    </xf>
    <xf numFmtId="49" fontId="12" fillId="21" borderId="9" xfId="0" applyNumberFormat="1" applyFont="1" applyFill="1" applyBorder="1" applyAlignment="1">
      <alignment wrapText="1"/>
    </xf>
    <xf numFmtId="0" fontId="12" fillId="21" borderId="9" xfId="0" applyFont="1" applyFill="1" applyBorder="1" applyAlignment="1">
      <alignment vertical="top" wrapText="1"/>
    </xf>
    <xf numFmtId="0" fontId="12" fillId="0" borderId="0" xfId="0" applyNumberFormat="1" applyFont="1" applyAlignment="1">
      <alignment vertical="top" wrapText="1"/>
    </xf>
    <xf numFmtId="165" fontId="8" fillId="0" borderId="0" xfId="0" applyNumberFormat="1" applyFont="1" applyAlignment="1" applyProtection="1">
      <alignment horizontal="center" vertical="center" wrapText="1"/>
    </xf>
    <xf numFmtId="165" fontId="49" fillId="0" borderId="1" xfId="24" applyNumberFormat="1"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8" xfId="0" applyFont="1" applyBorder="1" applyAlignment="1" applyProtection="1">
      <alignment horizontal="center" vertical="center" wrapText="1"/>
    </xf>
    <xf numFmtId="165" fontId="8" fillId="0" borderId="3" xfId="0" applyNumberFormat="1" applyFont="1" applyBorder="1" applyAlignment="1" applyProtection="1">
      <alignment horizontal="center" vertical="center" wrapText="1"/>
    </xf>
    <xf numFmtId="165" fontId="8" fillId="0" borderId="4" xfId="0" applyNumberFormat="1" applyFont="1" applyBorder="1" applyAlignment="1" applyProtection="1">
      <alignment horizontal="center" vertical="center" wrapText="1"/>
    </xf>
    <xf numFmtId="165" fontId="8" fillId="0" borderId="6" xfId="0" applyNumberFormat="1" applyFont="1" applyBorder="1" applyAlignment="1" applyProtection="1">
      <alignment horizontal="center" vertical="center" wrapText="1"/>
    </xf>
    <xf numFmtId="165" fontId="8" fillId="0" borderId="7" xfId="0" applyNumberFormat="1" applyFont="1" applyBorder="1" applyAlignment="1" applyProtection="1">
      <alignment horizontal="center" vertical="center" wrapText="1"/>
    </xf>
    <xf numFmtId="165" fontId="8" fillId="0" borderId="2" xfId="0" applyNumberFormat="1" applyFont="1" applyBorder="1" applyAlignment="1" applyProtection="1">
      <alignment horizontal="center" vertical="center" wrapText="1"/>
    </xf>
    <xf numFmtId="165" fontId="8" fillId="0" borderId="8" xfId="0" applyNumberFormat="1" applyFont="1" applyBorder="1" applyAlignment="1" applyProtection="1">
      <alignment horizontal="center" vertical="center" wrapText="1"/>
    </xf>
    <xf numFmtId="165" fontId="8" fillId="0" borderId="3" xfId="0" applyNumberFormat="1" applyFont="1" applyBorder="1" applyAlignment="1">
      <alignment horizontal="center" vertical="center" wrapText="1"/>
    </xf>
    <xf numFmtId="165" fontId="8" fillId="0" borderId="4" xfId="0" applyNumberFormat="1" applyFont="1" applyBorder="1" applyAlignment="1">
      <alignment horizontal="center" vertical="center" wrapText="1"/>
    </xf>
    <xf numFmtId="165" fontId="8" fillId="0" borderId="6" xfId="0" applyNumberFormat="1" applyFont="1" applyBorder="1" applyAlignment="1">
      <alignment horizontal="center" vertical="center" wrapText="1"/>
    </xf>
    <xf numFmtId="165" fontId="8" fillId="0" borderId="7" xfId="0" applyNumberFormat="1" applyFont="1" applyBorder="1" applyAlignment="1">
      <alignment horizontal="center" vertical="center" wrapText="1"/>
    </xf>
    <xf numFmtId="165" fontId="8" fillId="0" borderId="0" xfId="0" applyNumberFormat="1" applyFont="1" applyAlignment="1">
      <alignment horizontal="center" vertical="center" wrapText="1"/>
    </xf>
    <xf numFmtId="165" fontId="49" fillId="0" borderId="1" xfId="24" applyNumberFormat="1" applyFont="1" applyBorder="1" applyAlignment="1">
      <alignment horizontal="center" vertical="center" wrapText="1"/>
    </xf>
    <xf numFmtId="0" fontId="8" fillId="0" borderId="2" xfId="0" applyFont="1" applyBorder="1" applyAlignment="1">
      <alignment horizontal="center" vertical="center" wrapText="1"/>
    </xf>
    <xf numFmtId="0" fontId="8" fillId="0" borderId="5" xfId="0" applyFont="1" applyBorder="1" applyAlignment="1">
      <alignment horizontal="center" vertical="center" wrapText="1"/>
    </xf>
    <xf numFmtId="165" fontId="8" fillId="0" borderId="2" xfId="0" applyNumberFormat="1" applyFont="1" applyBorder="1" applyAlignment="1">
      <alignment horizontal="center" vertical="center" wrapText="1"/>
    </xf>
    <xf numFmtId="165" fontId="8" fillId="0" borderId="8" xfId="0" applyNumberFormat="1" applyFont="1" applyBorder="1" applyAlignment="1">
      <alignment horizontal="center" vertical="center" wrapText="1"/>
    </xf>
    <xf numFmtId="165" fontId="8" fillId="0" borderId="2" xfId="0" applyNumberFormat="1" applyFont="1" applyBorder="1" applyAlignment="1" applyProtection="1">
      <alignment horizontal="center" vertical="center" wrapText="1"/>
      <protection locked="0"/>
    </xf>
    <xf numFmtId="165" fontId="8" fillId="0" borderId="8" xfId="0" applyNumberFormat="1" applyFont="1" applyBorder="1" applyAlignment="1" applyProtection="1">
      <alignment horizontal="center" vertical="center" wrapText="1"/>
      <protection locked="0"/>
    </xf>
    <xf numFmtId="0" fontId="8" fillId="0" borderId="8" xfId="0" applyFont="1" applyBorder="1" applyAlignment="1">
      <alignment horizontal="center" vertical="center" wrapText="1"/>
    </xf>
    <xf numFmtId="0" fontId="8" fillId="0" borderId="2" xfId="0" applyFont="1" applyBorder="1" applyAlignment="1">
      <alignment horizontal="center" vertical="top" wrapText="1"/>
    </xf>
    <xf numFmtId="0" fontId="8" fillId="0" borderId="5" xfId="0" applyFont="1" applyBorder="1" applyAlignment="1">
      <alignment horizontal="center" vertical="top" wrapText="1"/>
    </xf>
    <xf numFmtId="0" fontId="49" fillId="0" borderId="0" xfId="24" applyFont="1" applyAlignment="1">
      <alignment horizontal="center"/>
    </xf>
    <xf numFmtId="0" fontId="8" fillId="0" borderId="9" xfId="0" applyFont="1" applyBorder="1" applyAlignment="1">
      <alignment horizontal="left" vertical="center" wrapText="1"/>
    </xf>
    <xf numFmtId="165" fontId="8" fillId="0" borderId="10" xfId="0" applyNumberFormat="1" applyFont="1" applyBorder="1" applyAlignment="1">
      <alignment horizontal="center" vertical="center" wrapText="1"/>
    </xf>
    <xf numFmtId="165" fontId="8" fillId="0" borderId="12" xfId="0" applyNumberFormat="1" applyFont="1" applyBorder="1" applyAlignment="1">
      <alignment horizontal="center" vertical="center" wrapText="1"/>
    </xf>
    <xf numFmtId="0" fontId="12" fillId="0" borderId="12" xfId="0" applyFont="1" applyBorder="1" applyAlignment="1">
      <alignment horizontal="center" vertical="center" wrapText="1"/>
    </xf>
    <xf numFmtId="165" fontId="8" fillId="0" borderId="9" xfId="0" applyNumberFormat="1" applyFont="1" applyBorder="1" applyAlignment="1">
      <alignment horizontal="center" vertical="center" wrapText="1"/>
    </xf>
    <xf numFmtId="0" fontId="19" fillId="7" borderId="10" xfId="0" applyFont="1" applyFill="1" applyBorder="1" applyAlignment="1">
      <alignment horizontal="left"/>
    </xf>
    <xf numFmtId="0" fontId="19" fillId="7" borderId="11" xfId="0" applyFont="1" applyFill="1" applyBorder="1" applyAlignment="1">
      <alignment horizontal="left"/>
    </xf>
    <xf numFmtId="0" fontId="19" fillId="7" borderId="12" xfId="0" applyFont="1" applyFill="1" applyBorder="1" applyAlignment="1">
      <alignment horizontal="left"/>
    </xf>
    <xf numFmtId="0" fontId="20" fillId="0" borderId="0" xfId="4" applyFont="1" applyAlignment="1">
      <alignment horizontal="center" vertical="center" wrapText="1"/>
    </xf>
    <xf numFmtId="165" fontId="49" fillId="0" borderId="0" xfId="24" applyNumberFormat="1" applyFont="1" applyAlignment="1">
      <alignment horizontal="center" vertical="center" wrapText="1"/>
    </xf>
    <xf numFmtId="165" fontId="22" fillId="0" borderId="0" xfId="4" applyNumberFormat="1" applyFont="1" applyAlignment="1">
      <alignment horizontal="center" vertical="center" wrapText="1"/>
    </xf>
    <xf numFmtId="0" fontId="8" fillId="7" borderId="10" xfId="0" applyFont="1" applyFill="1" applyBorder="1" applyAlignment="1">
      <alignment horizontal="left" vertical="top" wrapText="1"/>
    </xf>
    <xf numFmtId="0" fontId="8" fillId="7" borderId="11" xfId="0" applyFont="1" applyFill="1" applyBorder="1" applyAlignment="1">
      <alignment horizontal="left" vertical="top" wrapText="1"/>
    </xf>
    <xf numFmtId="0" fontId="8" fillId="7" borderId="12" xfId="0" applyFont="1" applyFill="1" applyBorder="1" applyAlignment="1">
      <alignment horizontal="left" vertical="top" wrapText="1"/>
    </xf>
    <xf numFmtId="0" fontId="8" fillId="7" borderId="10" xfId="0" applyFont="1" applyFill="1" applyBorder="1" applyAlignment="1">
      <alignment horizontal="left"/>
    </xf>
    <xf numFmtId="0" fontId="8" fillId="7" borderId="11" xfId="0" applyFont="1" applyFill="1" applyBorder="1" applyAlignment="1">
      <alignment horizontal="left"/>
    </xf>
    <xf numFmtId="0" fontId="8" fillId="7" borderId="12" xfId="0" applyFont="1" applyFill="1" applyBorder="1" applyAlignment="1">
      <alignment horizontal="left"/>
    </xf>
    <xf numFmtId="0" fontId="8" fillId="7" borderId="10" xfId="0" applyFont="1" applyFill="1" applyBorder="1" applyAlignment="1">
      <alignment horizontal="left" wrapText="1"/>
    </xf>
    <xf numFmtId="165" fontId="8" fillId="17" borderId="10" xfId="0" applyNumberFormat="1" applyFont="1" applyFill="1" applyBorder="1" applyAlignment="1">
      <alignment horizontal="center" vertical="center" wrapText="1"/>
    </xf>
    <xf numFmtId="0" fontId="12" fillId="17" borderId="12" xfId="0" applyFont="1" applyFill="1" applyBorder="1" applyAlignment="1">
      <alignment horizontal="center" vertical="center" wrapText="1"/>
    </xf>
    <xf numFmtId="0" fontId="19" fillId="0" borderId="10" xfId="0" applyFont="1" applyFill="1" applyBorder="1" applyAlignment="1">
      <alignment horizontal="left"/>
    </xf>
    <xf numFmtId="0" fontId="19" fillId="0" borderId="11" xfId="0" applyFont="1" applyFill="1" applyBorder="1" applyAlignment="1">
      <alignment horizontal="left"/>
    </xf>
    <xf numFmtId="0" fontId="19" fillId="0" borderId="12" xfId="0" applyFont="1" applyFill="1" applyBorder="1" applyAlignment="1">
      <alignment horizontal="left"/>
    </xf>
    <xf numFmtId="165" fontId="21" fillId="0" borderId="0" xfId="20" applyNumberFormat="1" applyFont="1" applyAlignment="1" applyProtection="1">
      <alignment horizontal="center" vertical="center" wrapText="1"/>
    </xf>
    <xf numFmtId="0" fontId="8" fillId="0" borderId="2" xfId="20" applyFont="1" applyBorder="1" applyAlignment="1" applyProtection="1">
      <alignment horizontal="left" vertical="top" wrapText="1"/>
    </xf>
    <xf numFmtId="0" fontId="8" fillId="0" borderId="5" xfId="20" applyFont="1" applyBorder="1" applyAlignment="1" applyProtection="1">
      <alignment horizontal="left" vertical="top" wrapText="1"/>
    </xf>
    <xf numFmtId="0" fontId="8" fillId="0" borderId="8" xfId="20" applyFont="1" applyBorder="1" applyAlignment="1" applyProtection="1">
      <alignment horizontal="left" vertical="top" wrapText="1"/>
    </xf>
    <xf numFmtId="165" fontId="8" fillId="0" borderId="2" xfId="20" applyNumberFormat="1" applyFont="1" applyBorder="1" applyAlignment="1" applyProtection="1">
      <alignment horizontal="center" vertical="center" wrapText="1"/>
    </xf>
    <xf numFmtId="165" fontId="8" fillId="0" borderId="5" xfId="20" applyNumberFormat="1" applyFont="1" applyBorder="1" applyAlignment="1" applyProtection="1">
      <alignment horizontal="center" vertical="center" wrapText="1"/>
    </xf>
    <xf numFmtId="165" fontId="8" fillId="0" borderId="3" xfId="20" applyNumberFormat="1" applyFont="1" applyBorder="1" applyAlignment="1" applyProtection="1">
      <alignment horizontal="center" vertical="center" wrapText="1"/>
    </xf>
    <xf numFmtId="165" fontId="8" fillId="0" borderId="4" xfId="20" applyNumberFormat="1" applyFont="1" applyBorder="1" applyAlignment="1" applyProtection="1">
      <alignment horizontal="center" vertical="center" wrapText="1"/>
    </xf>
    <xf numFmtId="165" fontId="8" fillId="0" borderId="6" xfId="20" applyNumberFormat="1" applyFont="1" applyBorder="1" applyAlignment="1" applyProtection="1">
      <alignment horizontal="center" vertical="center" wrapText="1"/>
    </xf>
    <xf numFmtId="165" fontId="8" fillId="0" borderId="7" xfId="20" applyNumberFormat="1" applyFont="1" applyBorder="1" applyAlignment="1" applyProtection="1">
      <alignment horizontal="center" vertical="center" wrapText="1"/>
    </xf>
    <xf numFmtId="0" fontId="8" fillId="0" borderId="2" xfId="20" applyFont="1" applyBorder="1" applyAlignment="1" applyProtection="1">
      <alignment horizontal="center" vertical="center" wrapText="1"/>
    </xf>
    <xf numFmtId="0" fontId="8" fillId="0" borderId="5" xfId="20" applyFont="1" applyBorder="1" applyAlignment="1" applyProtection="1">
      <alignment horizontal="center" vertical="center" wrapText="1"/>
    </xf>
    <xf numFmtId="0" fontId="8" fillId="0" borderId="8" xfId="20" applyFont="1" applyBorder="1" applyAlignment="1" applyProtection="1">
      <alignment horizontal="center" vertical="center" wrapText="1"/>
    </xf>
    <xf numFmtId="0" fontId="9" fillId="0" borderId="10" xfId="20" applyFont="1" applyBorder="1" applyAlignment="1" applyProtection="1">
      <alignment horizontal="left" vertical="center" wrapText="1"/>
    </xf>
    <xf numFmtId="0" fontId="9" fillId="0" borderId="11" xfId="20" applyFont="1" applyBorder="1" applyAlignment="1" applyProtection="1">
      <alignment horizontal="left" vertical="center" wrapText="1"/>
    </xf>
    <xf numFmtId="0" fontId="9" fillId="0" borderId="12" xfId="20" applyFont="1" applyBorder="1" applyAlignment="1" applyProtection="1">
      <alignment horizontal="left" vertical="center" wrapText="1"/>
    </xf>
    <xf numFmtId="0" fontId="9" fillId="0" borderId="10" xfId="20" applyFont="1" applyFill="1" applyBorder="1" applyAlignment="1" applyProtection="1">
      <alignment horizontal="left" vertical="center" wrapText="1"/>
    </xf>
    <xf numFmtId="0" fontId="9" fillId="0" borderId="11" xfId="20" applyFont="1" applyFill="1" applyBorder="1" applyAlignment="1" applyProtection="1">
      <alignment horizontal="left" vertical="center" wrapText="1"/>
    </xf>
    <xf numFmtId="0" fontId="9" fillId="0" borderId="12" xfId="20" applyFont="1" applyFill="1" applyBorder="1" applyAlignment="1" applyProtection="1">
      <alignment horizontal="left" vertical="center" wrapText="1"/>
    </xf>
    <xf numFmtId="0" fontId="9" fillId="13" borderId="10" xfId="20" applyFont="1" applyFill="1" applyBorder="1" applyAlignment="1" applyProtection="1">
      <alignment horizontal="left" vertical="center" wrapText="1"/>
    </xf>
    <xf numFmtId="0" fontId="9" fillId="13" borderId="11" xfId="20" applyFont="1" applyFill="1" applyBorder="1" applyAlignment="1" applyProtection="1">
      <alignment horizontal="left" vertical="center" wrapText="1"/>
    </xf>
    <xf numFmtId="0" fontId="9" fillId="13" borderId="12" xfId="20" applyFont="1" applyFill="1" applyBorder="1" applyAlignment="1" applyProtection="1">
      <alignment horizontal="left" vertical="center" wrapText="1"/>
    </xf>
    <xf numFmtId="0" fontId="8" fillId="0" borderId="10" xfId="20" applyFont="1" applyBorder="1" applyAlignment="1" applyProtection="1">
      <alignment horizontal="left" vertical="center" wrapText="1"/>
    </xf>
    <xf numFmtId="0" fontId="8" fillId="0" borderId="11" xfId="20" applyFont="1" applyBorder="1" applyAlignment="1" applyProtection="1">
      <alignment horizontal="left" vertical="center" wrapText="1"/>
    </xf>
    <xf numFmtId="0" fontId="8" fillId="0" borderId="12" xfId="20" applyFont="1" applyBorder="1" applyAlignment="1" applyProtection="1">
      <alignment horizontal="left" vertical="center" wrapText="1"/>
    </xf>
    <xf numFmtId="0" fontId="8" fillId="0" borderId="0" xfId="20" applyFont="1" applyAlignment="1" applyProtection="1">
      <alignment horizontal="left" vertical="center" wrapText="1"/>
    </xf>
    <xf numFmtId="0" fontId="33" fillId="0" borderId="0" xfId="20" applyFont="1" applyAlignment="1">
      <alignment horizontal="center" vertical="top" wrapText="1"/>
    </xf>
    <xf numFmtId="0" fontId="33" fillId="0" borderId="0" xfId="20" applyFont="1" applyAlignment="1">
      <alignment horizontal="center" vertical="top"/>
    </xf>
    <xf numFmtId="0" fontId="49" fillId="0" borderId="0" xfId="24" applyFont="1" applyAlignment="1">
      <alignment horizontal="center" vertical="top" wrapText="1"/>
    </xf>
    <xf numFmtId="0" fontId="49" fillId="0" borderId="0" xfId="24" applyFont="1" applyAlignment="1">
      <alignment horizontal="center" vertical="top"/>
    </xf>
    <xf numFmtId="0" fontId="8" fillId="0" borderId="2" xfId="20" applyFont="1" applyBorder="1" applyAlignment="1">
      <alignment horizontal="center" vertical="center" wrapText="1"/>
    </xf>
    <xf numFmtId="0" fontId="8" fillId="0" borderId="8" xfId="20" applyFont="1" applyBorder="1" applyAlignment="1">
      <alignment horizontal="center" vertical="center" wrapText="1"/>
    </xf>
    <xf numFmtId="165" fontId="8" fillId="0" borderId="2" xfId="20" applyNumberFormat="1" applyFont="1" applyBorder="1" applyAlignment="1">
      <alignment horizontal="center" vertical="center" wrapText="1"/>
    </xf>
    <xf numFmtId="165" fontId="8" fillId="0" borderId="8" xfId="20" applyNumberFormat="1" applyFont="1" applyBorder="1" applyAlignment="1">
      <alignment horizontal="center" vertical="center" wrapText="1"/>
    </xf>
    <xf numFmtId="165" fontId="8" fillId="0" borderId="9" xfId="20" applyNumberFormat="1" applyFont="1" applyBorder="1" applyAlignment="1">
      <alignment horizontal="center" vertical="center" wrapText="1"/>
    </xf>
    <xf numFmtId="0" fontId="9" fillId="15" borderId="10" xfId="20" applyFont="1" applyFill="1" applyBorder="1" applyAlignment="1">
      <alignment horizontal="left" vertical="center" wrapText="1"/>
    </xf>
    <xf numFmtId="0" fontId="9" fillId="15" borderId="11" xfId="20" applyFont="1" applyFill="1" applyBorder="1" applyAlignment="1">
      <alignment horizontal="left" vertical="center" wrapText="1"/>
    </xf>
    <xf numFmtId="0" fontId="9" fillId="15" borderId="12" xfId="20" applyFont="1" applyFill="1" applyBorder="1" applyAlignment="1">
      <alignment horizontal="left" vertical="center" wrapText="1"/>
    </xf>
    <xf numFmtId="0" fontId="9" fillId="13" borderId="10" xfId="20" applyFont="1" applyFill="1" applyBorder="1" applyAlignment="1">
      <alignment horizontal="left" vertical="center" wrapText="1"/>
    </xf>
    <xf numFmtId="0" fontId="9" fillId="13" borderId="11" xfId="20" applyFont="1" applyFill="1" applyBorder="1" applyAlignment="1">
      <alignment horizontal="left" vertical="center" wrapText="1"/>
    </xf>
    <xf numFmtId="0" fontId="9" fillId="13" borderId="12" xfId="20" applyFont="1" applyFill="1" applyBorder="1" applyAlignment="1">
      <alignment horizontal="left" vertical="center" wrapText="1"/>
    </xf>
    <xf numFmtId="0" fontId="26" fillId="0" borderId="10" xfId="20" applyFont="1" applyBorder="1" applyAlignment="1">
      <alignment horizontal="left" vertical="top" wrapText="1"/>
    </xf>
    <xf numFmtId="0" fontId="26" fillId="0" borderId="11" xfId="20" applyFont="1" applyBorder="1" applyAlignment="1">
      <alignment horizontal="left" vertical="top" wrapText="1"/>
    </xf>
    <xf numFmtId="0" fontId="26" fillId="0" borderId="12" xfId="20" applyFont="1" applyBorder="1" applyAlignment="1">
      <alignment horizontal="left" vertical="top" wrapText="1"/>
    </xf>
    <xf numFmtId="0" fontId="24" fillId="0" borderId="2" xfId="20" applyFont="1" applyBorder="1" applyAlignment="1">
      <alignment horizontal="center" wrapText="1"/>
    </xf>
    <xf numFmtId="0" fontId="24" fillId="0" borderId="5" xfId="20" applyFont="1" applyBorder="1" applyAlignment="1">
      <alignment horizontal="center" wrapText="1"/>
    </xf>
    <xf numFmtId="0" fontId="24" fillId="0" borderId="8" xfId="20" applyFont="1" applyBorder="1" applyAlignment="1">
      <alignment horizontal="center" wrapText="1"/>
    </xf>
    <xf numFmtId="0" fontId="26" fillId="0" borderId="9" xfId="20" applyFont="1" applyBorder="1" applyAlignment="1">
      <alignment horizontal="center"/>
    </xf>
    <xf numFmtId="0" fontId="35" fillId="0" borderId="2" xfId="20" applyFont="1" applyBorder="1" applyAlignment="1">
      <alignment horizontal="center" vertical="center" wrapText="1"/>
    </xf>
    <xf numFmtId="0" fontId="35" fillId="0" borderId="5" xfId="20" applyFont="1" applyBorder="1" applyAlignment="1">
      <alignment horizontal="center" vertical="center" wrapText="1"/>
    </xf>
    <xf numFmtId="0" fontId="35" fillId="0" borderId="8" xfId="20" applyFont="1" applyBorder="1" applyAlignment="1">
      <alignment horizontal="center" vertical="center" wrapText="1"/>
    </xf>
    <xf numFmtId="0" fontId="24" fillId="0" borderId="9" xfId="20" applyFont="1" applyBorder="1" applyAlignment="1">
      <alignment horizontal="center"/>
    </xf>
    <xf numFmtId="0" fontId="8" fillId="13" borderId="10" xfId="20" applyFont="1" applyFill="1" applyBorder="1" applyAlignment="1">
      <alignment horizontal="left" vertical="center" wrapText="1"/>
    </xf>
    <xf numFmtId="0" fontId="8" fillId="13" borderId="11" xfId="20" applyFont="1" applyFill="1" applyBorder="1" applyAlignment="1">
      <alignment horizontal="left" vertical="center" wrapText="1"/>
    </xf>
    <xf numFmtId="0" fontId="8" fillId="13" borderId="12" xfId="20" applyFont="1" applyFill="1" applyBorder="1" applyAlignment="1">
      <alignment horizontal="left" vertical="center" wrapText="1"/>
    </xf>
    <xf numFmtId="0" fontId="8" fillId="15" borderId="10" xfId="20" applyFont="1" applyFill="1" applyBorder="1" applyAlignment="1">
      <alignment horizontal="left" vertical="center" wrapText="1"/>
    </xf>
    <xf numFmtId="0" fontId="8" fillId="15" borderId="11" xfId="20" applyFont="1" applyFill="1" applyBorder="1" applyAlignment="1">
      <alignment horizontal="left" vertical="center" wrapText="1"/>
    </xf>
    <xf numFmtId="0" fontId="13" fillId="0" borderId="2" xfId="20" applyFont="1" applyBorder="1" applyAlignment="1">
      <alignment horizontal="left" vertical="top" wrapText="1"/>
    </xf>
    <xf numFmtId="0" fontId="13" fillId="0" borderId="5" xfId="20" applyFont="1" applyBorder="1" applyAlignment="1">
      <alignment horizontal="left" vertical="top" wrapText="1"/>
    </xf>
    <xf numFmtId="0" fontId="13" fillId="0" borderId="8" xfId="20" applyFont="1" applyBorder="1" applyAlignment="1">
      <alignment horizontal="left" vertical="top" wrapText="1"/>
    </xf>
    <xf numFmtId="0" fontId="28" fillId="0" borderId="2" xfId="22" applyFont="1" applyBorder="1" applyAlignment="1">
      <alignment horizontal="left" vertical="top" wrapText="1"/>
    </xf>
    <xf numFmtId="0" fontId="13" fillId="0" borderId="5" xfId="22" applyFont="1" applyBorder="1" applyAlignment="1">
      <alignment horizontal="left" vertical="top" wrapText="1"/>
    </xf>
    <xf numFmtId="0" fontId="13" fillId="0" borderId="8" xfId="22" applyFont="1" applyBorder="1" applyAlignment="1">
      <alignment horizontal="left" vertical="top" wrapText="1"/>
    </xf>
    <xf numFmtId="0" fontId="49" fillId="0" borderId="0" xfId="24" applyFont="1" applyAlignment="1">
      <alignment horizontal="center" wrapText="1"/>
    </xf>
    <xf numFmtId="0" fontId="38" fillId="0" borderId="2" xfId="22" applyFont="1" applyBorder="1" applyAlignment="1">
      <alignment horizontal="center" vertical="center" wrapText="1"/>
    </xf>
    <xf numFmtId="0" fontId="38" fillId="0" borderId="8" xfId="22" applyFont="1" applyBorder="1" applyAlignment="1">
      <alignment horizontal="center" vertical="center" wrapText="1"/>
    </xf>
    <xf numFmtId="0" fontId="38" fillId="0" borderId="10" xfId="22" applyFont="1" applyBorder="1" applyAlignment="1">
      <alignment horizontal="center" wrapText="1"/>
    </xf>
    <xf numFmtId="0" fontId="38" fillId="0" borderId="12" xfId="22" applyFont="1" applyBorder="1" applyAlignment="1">
      <alignment horizontal="center" wrapText="1"/>
    </xf>
    <xf numFmtId="165" fontId="28" fillId="0" borderId="10" xfId="22" applyNumberFormat="1" applyFont="1" applyBorder="1" applyAlignment="1">
      <alignment horizontal="center" vertical="center" wrapText="1"/>
    </xf>
    <xf numFmtId="165" fontId="28" fillId="0" borderId="12" xfId="22" applyNumberFormat="1" applyFont="1" applyBorder="1" applyAlignment="1">
      <alignment horizontal="center" vertical="center" wrapText="1"/>
    </xf>
    <xf numFmtId="0" fontId="38" fillId="0" borderId="9" xfId="22" applyFont="1" applyBorder="1" applyAlignment="1">
      <alignment horizontal="center" wrapText="1"/>
    </xf>
    <xf numFmtId="0" fontId="28" fillId="13" borderId="11" xfId="22" applyFont="1" applyFill="1" applyBorder="1" applyAlignment="1">
      <alignment horizontal="left" vertical="center"/>
    </xf>
    <xf numFmtId="0" fontId="28" fillId="13" borderId="12" xfId="22" applyFont="1" applyFill="1" applyBorder="1" applyAlignment="1">
      <alignment horizontal="left" vertical="center"/>
    </xf>
    <xf numFmtId="0" fontId="28" fillId="15" borderId="11" xfId="22" applyFont="1" applyFill="1" applyBorder="1" applyAlignment="1">
      <alignment horizontal="left" vertical="center"/>
    </xf>
    <xf numFmtId="0" fontId="28" fillId="15" borderId="12" xfId="22" applyFont="1" applyFill="1" applyBorder="1" applyAlignment="1">
      <alignment horizontal="left" vertical="center"/>
    </xf>
    <xf numFmtId="0" fontId="13" fillId="9" borderId="5" xfId="23" applyFont="1" applyFill="1" applyBorder="1" applyAlignment="1">
      <alignment horizontal="left" vertical="top" wrapText="1"/>
    </xf>
    <xf numFmtId="0" fontId="13" fillId="9" borderId="5" xfId="23" applyFont="1" applyFill="1" applyBorder="1" applyAlignment="1">
      <alignment horizontal="left" vertical="top"/>
    </xf>
    <xf numFmtId="0" fontId="13" fillId="9" borderId="8" xfId="23" applyFont="1" applyFill="1" applyBorder="1" applyAlignment="1">
      <alignment horizontal="left" vertical="top"/>
    </xf>
    <xf numFmtId="0" fontId="13" fillId="9" borderId="2" xfId="23" applyFont="1" applyFill="1" applyBorder="1" applyAlignment="1">
      <alignment horizontal="center"/>
    </xf>
    <xf numFmtId="0" fontId="13" fillId="9" borderId="5" xfId="23" applyFont="1" applyFill="1" applyBorder="1" applyAlignment="1">
      <alignment horizontal="center"/>
    </xf>
    <xf numFmtId="0" fontId="13" fillId="9" borderId="8" xfId="23" applyFont="1" applyFill="1" applyBorder="1" applyAlignment="1">
      <alignment horizontal="center"/>
    </xf>
    <xf numFmtId="0" fontId="13" fillId="0" borderId="2" xfId="23" applyFont="1" applyBorder="1" applyAlignment="1">
      <alignment horizontal="center"/>
    </xf>
    <xf numFmtId="0" fontId="13" fillId="0" borderId="5" xfId="23" applyFont="1" applyBorder="1" applyAlignment="1">
      <alignment horizontal="center"/>
    </xf>
    <xf numFmtId="0" fontId="13" fillId="0" borderId="8" xfId="23" applyFont="1" applyBorder="1" applyAlignment="1">
      <alignment horizontal="center"/>
    </xf>
    <xf numFmtId="0" fontId="13" fillId="9" borderId="8" xfId="23" applyFont="1" applyFill="1" applyBorder="1" applyAlignment="1">
      <alignment horizontal="left" vertical="top" wrapText="1"/>
    </xf>
    <xf numFmtId="0" fontId="13" fillId="0" borderId="5" xfId="23" applyFont="1" applyBorder="1" applyAlignment="1">
      <alignment horizontal="left" vertical="center" wrapText="1"/>
    </xf>
    <xf numFmtId="0" fontId="13" fillId="0" borderId="5" xfId="23" applyFont="1" applyBorder="1" applyAlignment="1">
      <alignment horizontal="center" vertical="center" wrapText="1"/>
    </xf>
    <xf numFmtId="0" fontId="13" fillId="9" borderId="2" xfId="23" applyFont="1" applyFill="1" applyBorder="1" applyAlignment="1">
      <alignment horizontal="left" vertical="top" wrapText="1"/>
    </xf>
    <xf numFmtId="0" fontId="49" fillId="0" borderId="0" xfId="24" applyFont="1" applyAlignment="1">
      <alignment horizontal="left" vertical="center"/>
    </xf>
    <xf numFmtId="0" fontId="28" fillId="0" borderId="2" xfId="23" applyFont="1" applyBorder="1" applyAlignment="1">
      <alignment horizontal="center" vertical="center" wrapText="1"/>
    </xf>
    <xf numFmtId="0" fontId="28" fillId="0" borderId="8" xfId="23" applyFont="1" applyBorder="1" applyAlignment="1">
      <alignment horizontal="center" vertical="center" wrapText="1"/>
    </xf>
    <xf numFmtId="0" fontId="28" fillId="0" borderId="9" xfId="23" applyFont="1" applyBorder="1" applyAlignment="1">
      <alignment horizontal="center" vertical="center" wrapText="1"/>
    </xf>
    <xf numFmtId="165" fontId="28" fillId="0" borderId="10" xfId="23" applyNumberFormat="1" applyFont="1" applyBorder="1" applyAlignment="1">
      <alignment horizontal="center" vertical="center" wrapText="1"/>
    </xf>
    <xf numFmtId="165" fontId="28" fillId="0" borderId="12" xfId="23" applyNumberFormat="1" applyFont="1" applyBorder="1" applyAlignment="1">
      <alignment horizontal="center" vertical="center" wrapText="1"/>
    </xf>
    <xf numFmtId="0" fontId="28" fillId="13" borderId="10" xfId="23" applyFont="1" applyFill="1" applyBorder="1" applyAlignment="1">
      <alignment horizontal="left" vertical="center" wrapText="1"/>
    </xf>
    <xf numFmtId="0" fontId="28" fillId="13" borderId="11" xfId="23" applyFont="1" applyFill="1" applyBorder="1" applyAlignment="1">
      <alignment horizontal="left" vertical="center" wrapText="1"/>
    </xf>
    <xf numFmtId="0" fontId="28" fillId="13" borderId="12" xfId="23" applyFont="1" applyFill="1" applyBorder="1" applyAlignment="1">
      <alignment horizontal="left" vertical="center" wrapText="1"/>
    </xf>
    <xf numFmtId="0" fontId="13" fillId="18" borderId="10" xfId="23" applyFont="1" applyFill="1" applyBorder="1" applyAlignment="1">
      <alignment horizontal="left" vertical="center" wrapText="1"/>
    </xf>
    <xf numFmtId="0" fontId="13" fillId="18" borderId="11" xfId="23" applyFont="1" applyFill="1" applyBorder="1" applyAlignment="1">
      <alignment horizontal="left" vertical="center" wrapText="1"/>
    </xf>
    <xf numFmtId="0" fontId="13" fillId="18" borderId="12" xfId="23" applyFont="1" applyFill="1" applyBorder="1" applyAlignment="1">
      <alignment horizontal="left" vertical="center" wrapText="1"/>
    </xf>
    <xf numFmtId="165" fontId="28" fillId="0" borderId="9" xfId="23" applyNumberFormat="1" applyFont="1" applyBorder="1" applyAlignment="1">
      <alignment horizontal="center" vertical="center" wrapText="1"/>
    </xf>
    <xf numFmtId="0" fontId="13" fillId="12" borderId="10" xfId="23" applyFont="1" applyFill="1" applyBorder="1" applyAlignment="1">
      <alignment horizontal="left" vertical="center" wrapText="1"/>
    </xf>
    <xf numFmtId="0" fontId="13" fillId="12" borderId="11" xfId="23" applyFont="1" applyFill="1" applyBorder="1" applyAlignment="1">
      <alignment horizontal="left" vertical="center" wrapText="1"/>
    </xf>
    <xf numFmtId="0" fontId="13" fillId="12" borderId="12" xfId="23" applyFont="1" applyFill="1" applyBorder="1" applyAlignment="1">
      <alignment horizontal="left" vertical="center" wrapText="1"/>
    </xf>
    <xf numFmtId="0" fontId="28" fillId="9" borderId="2" xfId="23" applyFont="1" applyFill="1" applyBorder="1" applyAlignment="1">
      <alignment horizontal="left" vertical="top" wrapText="1"/>
    </xf>
    <xf numFmtId="0" fontId="28" fillId="0" borderId="2" xfId="23" applyFont="1" applyBorder="1" applyAlignment="1">
      <alignment horizontal="left" vertical="center" wrapText="1"/>
    </xf>
    <xf numFmtId="0" fontId="13" fillId="0" borderId="8" xfId="23" applyFont="1" applyBorder="1" applyAlignment="1">
      <alignment horizontal="left" vertical="center" wrapText="1"/>
    </xf>
    <xf numFmtId="49" fontId="28" fillId="0" borderId="2" xfId="20" applyNumberFormat="1" applyFont="1" applyBorder="1" applyAlignment="1">
      <alignment horizontal="center" vertical="center" wrapText="1"/>
    </xf>
    <xf numFmtId="49" fontId="28" fillId="0" borderId="8" xfId="20" applyNumberFormat="1" applyFont="1" applyBorder="1" applyAlignment="1">
      <alignment horizontal="center" vertical="center" wrapText="1"/>
    </xf>
    <xf numFmtId="165" fontId="28" fillId="0" borderId="10" xfId="20" applyNumberFormat="1" applyFont="1" applyBorder="1" applyAlignment="1">
      <alignment horizontal="center" vertical="center" wrapText="1"/>
    </xf>
    <xf numFmtId="165" fontId="28" fillId="0" borderId="12" xfId="20" applyNumberFormat="1" applyFont="1" applyBorder="1" applyAlignment="1">
      <alignment horizontal="center" vertical="center" wrapText="1"/>
    </xf>
    <xf numFmtId="0" fontId="49" fillId="0" borderId="0" xfId="24" applyFont="1" applyAlignment="1">
      <alignment horizontal="center" vertical="center" wrapText="1"/>
    </xf>
    <xf numFmtId="0" fontId="28" fillId="0" borderId="2" xfId="20" applyFont="1" applyBorder="1" applyAlignment="1">
      <alignment horizontal="center" vertical="center" wrapText="1"/>
    </xf>
    <xf numFmtId="0" fontId="28" fillId="0" borderId="5" xfId="20" applyFont="1" applyBorder="1" applyAlignment="1">
      <alignment horizontal="center" vertical="center" wrapText="1"/>
    </xf>
    <xf numFmtId="0" fontId="28" fillId="0" borderId="8" xfId="20" applyFont="1" applyBorder="1" applyAlignment="1">
      <alignment horizontal="center" vertical="center" wrapText="1"/>
    </xf>
    <xf numFmtId="165" fontId="28" fillId="0" borderId="2" xfId="20" applyNumberFormat="1" applyFont="1" applyBorder="1" applyAlignment="1">
      <alignment horizontal="center" vertical="center" wrapText="1"/>
    </xf>
    <xf numFmtId="165" fontId="28" fillId="0" borderId="5" xfId="20" applyNumberFormat="1" applyFont="1" applyBorder="1" applyAlignment="1">
      <alignment horizontal="center" vertical="center" wrapText="1"/>
    </xf>
    <xf numFmtId="165" fontId="28" fillId="0" borderId="8" xfId="20" applyNumberFormat="1" applyFont="1" applyBorder="1" applyAlignment="1">
      <alignment horizontal="center" vertical="center" wrapText="1"/>
    </xf>
    <xf numFmtId="165" fontId="28" fillId="0" borderId="11" xfId="20" applyNumberFormat="1" applyFont="1" applyBorder="1" applyAlignment="1">
      <alignment horizontal="center" vertical="center" wrapText="1"/>
    </xf>
    <xf numFmtId="0" fontId="13" fillId="0" borderId="10" xfId="20" applyFont="1" applyBorder="1" applyAlignment="1">
      <alignment horizontal="left" vertical="center" wrapText="1"/>
    </xf>
    <xf numFmtId="0" fontId="13" fillId="0" borderId="11" xfId="20" applyFont="1" applyBorder="1" applyAlignment="1">
      <alignment horizontal="left" vertical="center" wrapText="1"/>
    </xf>
    <xf numFmtId="0" fontId="13" fillId="0" borderId="12" xfId="20" applyFont="1" applyBorder="1" applyAlignment="1">
      <alignment horizontal="left" vertical="center" wrapText="1"/>
    </xf>
    <xf numFmtId="49" fontId="28" fillId="0" borderId="4" xfId="20" applyNumberFormat="1" applyFont="1" applyBorder="1" applyAlignment="1">
      <alignment horizontal="center" vertical="center" wrapText="1"/>
    </xf>
    <xf numFmtId="49" fontId="28" fillId="0" borderId="7" xfId="20" applyNumberFormat="1" applyFont="1" applyBorder="1" applyAlignment="1">
      <alignment horizontal="center" vertical="center" wrapText="1"/>
    </xf>
    <xf numFmtId="0" fontId="13" fillId="0" borderId="2" xfId="20" applyFont="1" applyBorder="1" applyAlignment="1">
      <alignment horizontal="center" vertical="center" wrapText="1"/>
    </xf>
    <xf numFmtId="0" fontId="13" fillId="0" borderId="5" xfId="20" applyFont="1" applyBorder="1" applyAlignment="1">
      <alignment horizontal="center" vertical="center" wrapText="1"/>
    </xf>
    <xf numFmtId="0" fontId="13" fillId="0" borderId="8" xfId="20" applyFont="1" applyBorder="1" applyAlignment="1">
      <alignment horizontal="center" vertical="center" wrapText="1"/>
    </xf>
    <xf numFmtId="0" fontId="13" fillId="0" borderId="9" xfId="20" applyFont="1" applyFill="1" applyBorder="1" applyAlignment="1">
      <alignment horizontal="left" wrapText="1"/>
    </xf>
    <xf numFmtId="0" fontId="13" fillId="0" borderId="9" xfId="20" applyFont="1" applyFill="1" applyBorder="1" applyAlignment="1">
      <alignment horizontal="left"/>
    </xf>
    <xf numFmtId="0" fontId="13" fillId="0" borderId="9" xfId="20" applyFont="1" applyBorder="1" applyAlignment="1">
      <alignment horizontal="left" wrapText="1"/>
    </xf>
    <xf numFmtId="0" fontId="13" fillId="0" borderId="9" xfId="20" applyFont="1" applyBorder="1" applyAlignment="1">
      <alignment horizontal="left"/>
    </xf>
    <xf numFmtId="0" fontId="13" fillId="9" borderId="2" xfId="20" applyFont="1" applyFill="1" applyBorder="1" applyAlignment="1">
      <alignment horizontal="left" vertical="top" wrapText="1"/>
    </xf>
    <xf numFmtId="0" fontId="13" fillId="9" borderId="5" xfId="20" applyFont="1" applyFill="1" applyBorder="1" applyAlignment="1">
      <alignment horizontal="left" vertical="top" wrapText="1"/>
    </xf>
    <xf numFmtId="0" fontId="13" fillId="9" borderId="8" xfId="20" applyFont="1" applyFill="1" applyBorder="1" applyAlignment="1">
      <alignment horizontal="left" vertical="top" wrapText="1"/>
    </xf>
    <xf numFmtId="0" fontId="13" fillId="14" borderId="10" xfId="20" applyFont="1" applyFill="1" applyBorder="1" applyAlignment="1">
      <alignment horizontal="left" vertical="center" wrapText="1"/>
    </xf>
    <xf numFmtId="0" fontId="13" fillId="14" borderId="11" xfId="20" applyFont="1" applyFill="1" applyBorder="1" applyAlignment="1">
      <alignment horizontal="left" vertical="center" wrapText="1"/>
    </xf>
    <xf numFmtId="0" fontId="13" fillId="14" borderId="12" xfId="20" applyFont="1" applyFill="1" applyBorder="1" applyAlignment="1">
      <alignment horizontal="left" vertical="center" wrapText="1"/>
    </xf>
    <xf numFmtId="0" fontId="13" fillId="0" borderId="2" xfId="20" applyFont="1" applyBorder="1" applyAlignment="1">
      <alignment horizontal="left" vertical="center" wrapText="1"/>
    </xf>
    <xf numFmtId="0" fontId="13" fillId="0" borderId="5" xfId="20" applyFont="1" applyBorder="1" applyAlignment="1">
      <alignment horizontal="left" vertical="center"/>
    </xf>
    <xf numFmtId="0" fontId="13" fillId="0" borderId="8" xfId="20" applyFont="1" applyBorder="1" applyAlignment="1">
      <alignment horizontal="left" vertical="center"/>
    </xf>
    <xf numFmtId="0" fontId="13" fillId="0" borderId="10" xfId="20" applyFont="1" applyBorder="1" applyAlignment="1">
      <alignment horizontal="left" vertical="center"/>
    </xf>
    <xf numFmtId="0" fontId="13" fillId="0" borderId="11" xfId="20" applyFont="1" applyBorder="1" applyAlignment="1">
      <alignment horizontal="left" vertical="center"/>
    </xf>
    <xf numFmtId="0" fontId="13" fillId="0" borderId="12" xfId="20" applyFont="1" applyBorder="1" applyAlignment="1">
      <alignment horizontal="left" vertical="center"/>
    </xf>
    <xf numFmtId="0" fontId="28" fillId="0" borderId="9" xfId="22" applyFont="1" applyBorder="1" applyAlignment="1">
      <alignment horizontal="center" vertical="center" wrapText="1"/>
    </xf>
    <xf numFmtId="0" fontId="28" fillId="0" borderId="2" xfId="22" applyFont="1" applyBorder="1" applyAlignment="1">
      <alignment horizontal="center" vertical="center" wrapText="1"/>
    </xf>
    <xf numFmtId="0" fontId="28" fillId="0" borderId="8" xfId="22" applyFont="1" applyBorder="1" applyAlignment="1">
      <alignment horizontal="center" vertical="center" wrapText="1"/>
    </xf>
    <xf numFmtId="0" fontId="28" fillId="9" borderId="2" xfId="22" applyFont="1" applyFill="1" applyBorder="1" applyAlignment="1">
      <alignment horizontal="center" vertical="center" wrapText="1"/>
    </xf>
    <xf numFmtId="0" fontId="28" fillId="9" borderId="8" xfId="22" applyFont="1" applyFill="1" applyBorder="1" applyAlignment="1">
      <alignment horizontal="center" vertical="center" wrapText="1"/>
    </xf>
    <xf numFmtId="0" fontId="28" fillId="9" borderId="10" xfId="22" applyFont="1" applyFill="1" applyBorder="1" applyAlignment="1">
      <alignment horizontal="center" vertical="center" wrapText="1"/>
    </xf>
    <xf numFmtId="0" fontId="28" fillId="9" borderId="12" xfId="22" applyFont="1" applyFill="1" applyBorder="1" applyAlignment="1">
      <alignment horizontal="center" vertical="center" wrapText="1"/>
    </xf>
    <xf numFmtId="165" fontId="28" fillId="0" borderId="9" xfId="22" applyNumberFormat="1" applyFont="1" applyBorder="1" applyAlignment="1">
      <alignment horizontal="center" vertical="center" wrapText="1"/>
    </xf>
    <xf numFmtId="0" fontId="13" fillId="0" borderId="9" xfId="22" applyFont="1" applyBorder="1" applyAlignment="1">
      <alignment horizontal="center" wrapText="1"/>
    </xf>
    <xf numFmtId="0" fontId="13" fillId="14" borderId="10" xfId="22" applyFont="1" applyFill="1" applyBorder="1" applyAlignment="1">
      <alignment horizontal="left" vertical="center" wrapText="1"/>
    </xf>
    <xf numFmtId="0" fontId="13" fillId="14" borderId="11" xfId="22" applyFont="1" applyFill="1" applyBorder="1" applyAlignment="1">
      <alignment horizontal="left" vertical="center" wrapText="1"/>
    </xf>
    <xf numFmtId="0" fontId="13" fillId="14" borderId="12" xfId="22" applyFont="1" applyFill="1" applyBorder="1" applyAlignment="1">
      <alignment horizontal="left" vertical="center" wrapText="1"/>
    </xf>
  </cellXfs>
  <cellStyles count="58">
    <cellStyle name="Гиперссылка" xfId="24" builtinId="8"/>
    <cellStyle name="Обычный" xfId="0" builtinId="0"/>
    <cellStyle name="Обычный 10" xfId="36"/>
    <cellStyle name="Обычный 2" xfId="4"/>
    <cellStyle name="Обычный 2 2" xfId="25"/>
    <cellStyle name="Обычный 2 5" xfId="12"/>
    <cellStyle name="Обычный 3" xfId="20"/>
    <cellStyle name="Обычный 3 2" xfId="13"/>
    <cellStyle name="Обычный 3 2 2" xfId="32"/>
    <cellStyle name="Обычный 3 2 2 2" xfId="54"/>
    <cellStyle name="Обычный 3 2 3" xfId="40"/>
    <cellStyle name="Обычный 3 3" xfId="11"/>
    <cellStyle name="Обычный 3 4" xfId="44"/>
    <cellStyle name="Обычный 4" xfId="7"/>
    <cellStyle name="Обычный 5" xfId="16"/>
    <cellStyle name="Обычный 5 2" xfId="6"/>
    <cellStyle name="Обычный 5 2 2" xfId="30"/>
    <cellStyle name="Обычный 5 2 2 2" xfId="52"/>
    <cellStyle name="Обычный 5 2 3" xfId="38"/>
    <cellStyle name="Обычный 5 3" xfId="22"/>
    <cellStyle name="Обычный 5 3 2" xfId="46"/>
    <cellStyle name="Обычный 5 4" xfId="34"/>
    <cellStyle name="Обычный 5 4 2" xfId="56"/>
    <cellStyle name="Обычный 5 5" xfId="42"/>
    <cellStyle name="Обычный 6" xfId="9"/>
    <cellStyle name="Обычный 6 2" xfId="15"/>
    <cellStyle name="Обычный 6 2 2" xfId="33"/>
    <cellStyle name="Обычный 6 2 2 2" xfId="55"/>
    <cellStyle name="Обычный 6 2 3" xfId="41"/>
    <cellStyle name="Обычный 6 3" xfId="17"/>
    <cellStyle name="Обычный 6 3 2" xfId="35"/>
    <cellStyle name="Обычный 6 3 2 2" xfId="57"/>
    <cellStyle name="Обычный 6 3 3" xfId="43"/>
    <cellStyle name="Обычный 6 4" xfId="23"/>
    <cellStyle name="Обычный 6 4 2" xfId="47"/>
    <cellStyle name="Обычный 6 5" xfId="31"/>
    <cellStyle name="Обычный 6 5 2" xfId="53"/>
    <cellStyle name="Обычный 6 6" xfId="39"/>
    <cellStyle name="Обычный 7" xfId="10"/>
    <cellStyle name="Обычный 8" xfId="14"/>
    <cellStyle name="Обычный 9" xfId="26"/>
    <cellStyle name="Обычный 9 2" xfId="48"/>
    <cellStyle name="Процентный 2" xfId="18"/>
    <cellStyle name="Финансовый" xfId="1" builtinId="3"/>
    <cellStyle name="Финансовый 2" xfId="5"/>
    <cellStyle name="Финансовый 2 2" xfId="21"/>
    <cellStyle name="Финансовый 2 2 2" xfId="45"/>
    <cellStyle name="Финансовый 2 3" xfId="29"/>
    <cellStyle name="Финансовый 2 3 2" xfId="51"/>
    <cellStyle name="Финансовый 3" xfId="3"/>
    <cellStyle name="Финансовый 3 2" xfId="28"/>
    <cellStyle name="Финансовый 3 2 2" xfId="50"/>
    <cellStyle name="Финансовый 3 3" xfId="37"/>
    <cellStyle name="Финансовый 4" xfId="19"/>
    <cellStyle name="Финансовый 5" xfId="2"/>
    <cellStyle name="Финансовый 6" xfId="27"/>
    <cellStyle name="Финансовый 6 2" xfId="49"/>
    <cellStyle name="Финансовый 7" xfId="8"/>
  </cellStyles>
  <dxfs count="0"/>
  <tableStyles count="0" defaultTableStyle="TableStyleMedium2" defaultPivotStyle="PivotStyleMedium9"/>
  <colors>
    <mruColors>
      <color rgb="FF6CF8CD"/>
      <color rgb="FF6CF4C0"/>
      <color rgb="FF000000"/>
      <color rgb="FF13EDC3"/>
      <color rgb="FF00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revisionHeaders" Target="revisions/revisionHeader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usernames" Target="revisions/userNam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59;&#1069;/&#1054;&#1058;&#1044;&#1045;&#1051;%20&#1040;&#1053;&#1040;&#1051;&#1048;&#1058;&#1048;&#1050;&#1048;/&#1052;&#1059;&#1053;&#1048;&#1062;&#1048;&#1055;&#1040;&#1051;&#1068;&#1053;&#1067;&#1045;%20&#1080;%20&#1043;&#1054;&#1057;.%20&#1055;&#1056;&#1054;&#1043;&#1056;&#1040;&#1052;&#1052;&#1067;/&#1048;&#1047;&#1052;&#1045;&#1053;&#1045;&#1053;&#1048;&#1071;%20&#1087;&#1086;%20&#1087;&#1088;&#1086;&#1075;&#1088;&#1072;&#1084;&#1084;&#1072;&#1084;%20(&#8470;362-&#1043;&#1044;)%2017.01.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quot;Образование&quot;"/>
      <sheetName val="02 &quot;Соерж.объект.гор.хоз.&quot;"/>
      <sheetName val="03 &quot;Формирование ком.гор.ср.&quot;"/>
      <sheetName val="04 &quot;Культурное простр.&quot;"/>
      <sheetName val="05 &quot;Физ.культура&quot;"/>
      <sheetName val="06 &quot;Сод-е занятости&quot;"/>
      <sheetName val="07 &quot;АПК&quot;"/>
      <sheetName val="08 &quot;Развитие жил.сферы&quot;"/>
      <sheetName val="09 &quot;Развитие ЖКХ&quot;"/>
      <sheetName val="10 &quot;Проф.правонар.&quot;"/>
      <sheetName val="11 &quot;Безоп.жизни.&quot;"/>
      <sheetName val="12 &quot;Экологическая безопасность"/>
      <sheetName val="13 &quot;Соц.-экон. развитие&quot;"/>
      <sheetName val="14&quot;Трансп.система&quot;"/>
      <sheetName val="15&quot;Муницип.финансы&quot;"/>
      <sheetName val="16 &quot;Разв.институтов&quot;"/>
      <sheetName val="17 &quot;Муницип. имущество&quot;"/>
      <sheetName val="18 &quot;Укрепление межнац.соглас.&quot;"/>
      <sheetName val="19 &quot;Муницип. служба&quot;"/>
      <sheetName val="свод"/>
    </sheetNames>
    <sheetDataSet>
      <sheetData sheetId="0"/>
      <sheetData sheetId="1"/>
      <sheetData sheetId="2"/>
      <sheetData sheetId="3">
        <row r="8">
          <cell r="C8">
            <v>494514.2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0">
          <cell r="C10">
            <v>158074.99999999997</v>
          </cell>
        </row>
      </sheetData>
      <sheetData sheetId="19"/>
    </sheetDataSet>
  </externalBook>
</externalLink>
</file>

<file path=xl/revisions/_rels/revisionHeaders.xml.rels><?xml version="1.0" encoding="UTF-8" standalone="yes"?>
<Relationships xmlns="http://schemas.openxmlformats.org/package/2006/relationships"><Relationship Id="rId231" Type="http://schemas.openxmlformats.org/officeDocument/2006/relationships/revisionLog" Target="revisionLog20.xml"/><Relationship Id="rId188" Type="http://schemas.openxmlformats.org/officeDocument/2006/relationships/revisionLog" Target="revisionLog70.xml"/><Relationship Id="rId175" Type="http://schemas.openxmlformats.org/officeDocument/2006/relationships/revisionLog" Target="revisionLog57.xml"/><Relationship Id="rId167" Type="http://schemas.openxmlformats.org/officeDocument/2006/relationships/revisionLog" Target="revisionLog49.xml"/><Relationship Id="rId162" Type="http://schemas.openxmlformats.org/officeDocument/2006/relationships/revisionLog" Target="revisionLog44.xml"/><Relationship Id="rId170" Type="http://schemas.openxmlformats.org/officeDocument/2006/relationships/revisionLog" Target="revisionLog52.xml"/><Relationship Id="rId183" Type="http://schemas.openxmlformats.org/officeDocument/2006/relationships/revisionLog" Target="revisionLog65.xml"/><Relationship Id="rId191" Type="http://schemas.openxmlformats.org/officeDocument/2006/relationships/revisionLog" Target="revisionLog73.xml"/><Relationship Id="rId196" Type="http://schemas.openxmlformats.org/officeDocument/2006/relationships/revisionLog" Target="revisionLog78.xml"/><Relationship Id="rId200" Type="http://schemas.openxmlformats.org/officeDocument/2006/relationships/revisionLog" Target="revisionLog82.xml"/><Relationship Id="rId205" Type="http://schemas.openxmlformats.org/officeDocument/2006/relationships/revisionLog" Target="revisionLog87.xml"/><Relationship Id="rId213" Type="http://schemas.openxmlformats.org/officeDocument/2006/relationships/revisionLog" Target="revisionLog2.xml"/><Relationship Id="rId218" Type="http://schemas.openxmlformats.org/officeDocument/2006/relationships/revisionLog" Target="revisionLog7.xml"/><Relationship Id="rId226" Type="http://schemas.openxmlformats.org/officeDocument/2006/relationships/revisionLog" Target="revisionLog15.xml"/><Relationship Id="rId234" Type="http://schemas.openxmlformats.org/officeDocument/2006/relationships/revisionLog" Target="revisionLog23.xml"/><Relationship Id="rId239" Type="http://schemas.openxmlformats.org/officeDocument/2006/relationships/revisionLog" Target="revisionLog28.xml"/><Relationship Id="rId247" Type="http://schemas.openxmlformats.org/officeDocument/2006/relationships/revisionLog" Target="revisionLog36.xml"/><Relationship Id="rId221" Type="http://schemas.openxmlformats.org/officeDocument/2006/relationships/revisionLog" Target="revisionLog10.xml"/><Relationship Id="rId242" Type="http://schemas.openxmlformats.org/officeDocument/2006/relationships/revisionLog" Target="revisionLog31.xml"/><Relationship Id="rId250" Type="http://schemas.openxmlformats.org/officeDocument/2006/relationships/revisionLog" Target="revisionLog39.xml"/><Relationship Id="rId178" Type="http://schemas.openxmlformats.org/officeDocument/2006/relationships/revisionLog" Target="revisionLog60.xml"/><Relationship Id="rId208" Type="http://schemas.openxmlformats.org/officeDocument/2006/relationships/revisionLog" Target="revisionLog90.xml"/><Relationship Id="rId160" Type="http://schemas.openxmlformats.org/officeDocument/2006/relationships/revisionLog" Target="revisionLog42.xml"/><Relationship Id="rId165" Type="http://schemas.openxmlformats.org/officeDocument/2006/relationships/revisionLog" Target="revisionLog47.xml"/><Relationship Id="rId173" Type="http://schemas.openxmlformats.org/officeDocument/2006/relationships/revisionLog" Target="revisionLog55.xml"/><Relationship Id="rId181" Type="http://schemas.openxmlformats.org/officeDocument/2006/relationships/revisionLog" Target="revisionLog63.xml"/><Relationship Id="rId186" Type="http://schemas.openxmlformats.org/officeDocument/2006/relationships/revisionLog" Target="revisionLog68.xml"/><Relationship Id="rId194" Type="http://schemas.openxmlformats.org/officeDocument/2006/relationships/revisionLog" Target="revisionLog76.xml"/><Relationship Id="rId199" Type="http://schemas.openxmlformats.org/officeDocument/2006/relationships/revisionLog" Target="revisionLog81.xml"/><Relationship Id="rId203" Type="http://schemas.openxmlformats.org/officeDocument/2006/relationships/revisionLog" Target="revisionLog85.xml"/><Relationship Id="rId216" Type="http://schemas.openxmlformats.org/officeDocument/2006/relationships/revisionLog" Target="revisionLog5.xml"/><Relationship Id="rId229" Type="http://schemas.openxmlformats.org/officeDocument/2006/relationships/revisionLog" Target="revisionLog18.xml"/><Relationship Id="rId237" Type="http://schemas.openxmlformats.org/officeDocument/2006/relationships/revisionLog" Target="revisionLog26.xml"/><Relationship Id="rId211" Type="http://schemas.openxmlformats.org/officeDocument/2006/relationships/revisionLog" Target="revisionLog93.xml"/><Relationship Id="rId224" Type="http://schemas.openxmlformats.org/officeDocument/2006/relationships/revisionLog" Target="revisionLog13.xml"/><Relationship Id="rId232" Type="http://schemas.openxmlformats.org/officeDocument/2006/relationships/revisionLog" Target="revisionLog21.xml"/><Relationship Id="rId240" Type="http://schemas.openxmlformats.org/officeDocument/2006/relationships/revisionLog" Target="revisionLog29.xml"/><Relationship Id="rId245" Type="http://schemas.openxmlformats.org/officeDocument/2006/relationships/revisionLog" Target="revisionLog34.xml"/><Relationship Id="rId168" Type="http://schemas.openxmlformats.org/officeDocument/2006/relationships/revisionLog" Target="revisionLog50.xml"/><Relationship Id="rId206" Type="http://schemas.openxmlformats.org/officeDocument/2006/relationships/revisionLog" Target="revisionLog88.xml"/><Relationship Id="rId197" Type="http://schemas.openxmlformats.org/officeDocument/2006/relationships/revisionLog" Target="revisionLog79.xml"/><Relationship Id="rId192" Type="http://schemas.openxmlformats.org/officeDocument/2006/relationships/revisionLog" Target="revisionLog74.xml"/><Relationship Id="rId189" Type="http://schemas.openxmlformats.org/officeDocument/2006/relationships/revisionLog" Target="revisionLog71.xml"/><Relationship Id="rId163" Type="http://schemas.openxmlformats.org/officeDocument/2006/relationships/revisionLog" Target="revisionLog45.xml"/><Relationship Id="rId171" Type="http://schemas.openxmlformats.org/officeDocument/2006/relationships/revisionLog" Target="revisionLog53.xml"/><Relationship Id="rId176" Type="http://schemas.openxmlformats.org/officeDocument/2006/relationships/revisionLog" Target="revisionLog58.xml"/><Relationship Id="rId184" Type="http://schemas.openxmlformats.org/officeDocument/2006/relationships/revisionLog" Target="revisionLog66.xml"/><Relationship Id="rId219" Type="http://schemas.openxmlformats.org/officeDocument/2006/relationships/revisionLog" Target="revisionLog8.xml"/><Relationship Id="rId227" Type="http://schemas.openxmlformats.org/officeDocument/2006/relationships/revisionLog" Target="revisionLog16.xml"/><Relationship Id="rId201" Type="http://schemas.openxmlformats.org/officeDocument/2006/relationships/revisionLog" Target="revisionLog83.xml"/><Relationship Id="rId214" Type="http://schemas.openxmlformats.org/officeDocument/2006/relationships/revisionLog" Target="revisionLog3.xml"/><Relationship Id="rId222" Type="http://schemas.openxmlformats.org/officeDocument/2006/relationships/revisionLog" Target="revisionLog11.xml"/><Relationship Id="rId230" Type="http://schemas.openxmlformats.org/officeDocument/2006/relationships/revisionLog" Target="revisionLog19.xml"/><Relationship Id="rId235" Type="http://schemas.openxmlformats.org/officeDocument/2006/relationships/revisionLog" Target="revisionLog24.xml"/><Relationship Id="rId243" Type="http://schemas.openxmlformats.org/officeDocument/2006/relationships/revisionLog" Target="revisionLog32.xml"/><Relationship Id="rId248" Type="http://schemas.openxmlformats.org/officeDocument/2006/relationships/revisionLog" Target="revisionLog37.xml"/><Relationship Id="rId251" Type="http://schemas.openxmlformats.org/officeDocument/2006/relationships/revisionLog" Target="revisionLog40.xml"/><Relationship Id="rId209" Type="http://schemas.openxmlformats.org/officeDocument/2006/relationships/revisionLog" Target="revisionLog91.xml"/><Relationship Id="rId195" Type="http://schemas.openxmlformats.org/officeDocument/2006/relationships/revisionLog" Target="revisionLog77.xml"/><Relationship Id="rId187" Type="http://schemas.openxmlformats.org/officeDocument/2006/relationships/revisionLog" Target="revisionLog69.xml"/><Relationship Id="rId182" Type="http://schemas.openxmlformats.org/officeDocument/2006/relationships/revisionLog" Target="revisionLog64.xml"/><Relationship Id="rId161" Type="http://schemas.openxmlformats.org/officeDocument/2006/relationships/revisionLog" Target="revisionLog43.xml"/><Relationship Id="rId166" Type="http://schemas.openxmlformats.org/officeDocument/2006/relationships/revisionLog" Target="revisionLog48.xml"/><Relationship Id="rId174" Type="http://schemas.openxmlformats.org/officeDocument/2006/relationships/revisionLog" Target="revisionLog56.xml"/><Relationship Id="rId179" Type="http://schemas.openxmlformats.org/officeDocument/2006/relationships/revisionLog" Target="revisionLog61.xml"/><Relationship Id="rId217" Type="http://schemas.openxmlformats.org/officeDocument/2006/relationships/revisionLog" Target="revisionLog6.xml"/><Relationship Id="rId204" Type="http://schemas.openxmlformats.org/officeDocument/2006/relationships/revisionLog" Target="revisionLog86.xml"/><Relationship Id="rId190" Type="http://schemas.openxmlformats.org/officeDocument/2006/relationships/revisionLog" Target="revisionLog72.xml"/><Relationship Id="rId212" Type="http://schemas.openxmlformats.org/officeDocument/2006/relationships/revisionLog" Target="revisionLog1.xml"/><Relationship Id="rId220" Type="http://schemas.openxmlformats.org/officeDocument/2006/relationships/revisionLog" Target="revisionLog9.xml"/><Relationship Id="rId225" Type="http://schemas.openxmlformats.org/officeDocument/2006/relationships/revisionLog" Target="revisionLog14.xml"/><Relationship Id="rId233" Type="http://schemas.openxmlformats.org/officeDocument/2006/relationships/revisionLog" Target="revisionLog22.xml"/><Relationship Id="rId238" Type="http://schemas.openxmlformats.org/officeDocument/2006/relationships/revisionLog" Target="revisionLog27.xml"/><Relationship Id="rId241" Type="http://schemas.openxmlformats.org/officeDocument/2006/relationships/revisionLog" Target="revisionLog30.xml"/><Relationship Id="rId246" Type="http://schemas.openxmlformats.org/officeDocument/2006/relationships/revisionLog" Target="revisionLog35.xml"/><Relationship Id="rId198" Type="http://schemas.openxmlformats.org/officeDocument/2006/relationships/revisionLog" Target="revisionLog80.xml"/><Relationship Id="rId185" Type="http://schemas.openxmlformats.org/officeDocument/2006/relationships/revisionLog" Target="revisionLog67.xml"/><Relationship Id="rId177" Type="http://schemas.openxmlformats.org/officeDocument/2006/relationships/revisionLog" Target="revisionLog59.xml"/><Relationship Id="rId169" Type="http://schemas.openxmlformats.org/officeDocument/2006/relationships/revisionLog" Target="revisionLog51.xml"/><Relationship Id="rId164" Type="http://schemas.openxmlformats.org/officeDocument/2006/relationships/revisionLog" Target="revisionLog46.xml"/><Relationship Id="rId210" Type="http://schemas.openxmlformats.org/officeDocument/2006/relationships/revisionLog" Target="revisionLog92.xml"/><Relationship Id="rId207" Type="http://schemas.openxmlformats.org/officeDocument/2006/relationships/revisionLog" Target="revisionLog89.xml"/><Relationship Id="rId202" Type="http://schemas.openxmlformats.org/officeDocument/2006/relationships/revisionLog" Target="revisionLog84.xml"/><Relationship Id="rId193" Type="http://schemas.openxmlformats.org/officeDocument/2006/relationships/revisionLog" Target="revisionLog75.xml"/><Relationship Id="rId172" Type="http://schemas.openxmlformats.org/officeDocument/2006/relationships/revisionLog" Target="revisionLog54.xml"/><Relationship Id="rId180" Type="http://schemas.openxmlformats.org/officeDocument/2006/relationships/revisionLog" Target="revisionLog62.xml"/><Relationship Id="rId215" Type="http://schemas.openxmlformats.org/officeDocument/2006/relationships/revisionLog" Target="revisionLog4.xml"/><Relationship Id="rId223" Type="http://schemas.openxmlformats.org/officeDocument/2006/relationships/revisionLog" Target="revisionLog12.xml"/><Relationship Id="rId228" Type="http://schemas.openxmlformats.org/officeDocument/2006/relationships/revisionLog" Target="revisionLog17.xml"/><Relationship Id="rId236" Type="http://schemas.openxmlformats.org/officeDocument/2006/relationships/revisionLog" Target="revisionLog25.xml"/><Relationship Id="rId244" Type="http://schemas.openxmlformats.org/officeDocument/2006/relationships/revisionLog" Target="revisionLog33.xml"/><Relationship Id="rId249" Type="http://schemas.openxmlformats.org/officeDocument/2006/relationships/revisionLog" Target="revisionLog38.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675FBE43-8B79-4361-BB0D-808FD3AEB5E2}" diskRevisions="1" revisionId="10014" version="17">
  <header guid="{38729B70-2AE3-4BB3-95C5-B1F1F3D4AB80}" dateTime="2024-06-19T14:26:07" maxSheetId="24" userName="Мягкова Оксана Викторовна" r:id="rId160" minRId="6038" maxRId="6043">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01510D9E-DC27-49CF-8566-C7B828F475D9}" dateTime="2024-06-19T17:08:21" maxSheetId="24" userName="Мягкова Оксана Викторовна" r:id="rId161" minRId="6044" maxRId="6051">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4C412082-40C5-4FD0-8AAD-27A432677D11}" dateTime="2024-06-20T11:14:09" maxSheetId="24" userName="Краева Ольга Витальевна" r:id="rId162" minRId="6052" maxRId="6055">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87E1C5D3-534B-499D-B29B-D2BB1391E226}" dateTime="2024-06-20T14:25:20" maxSheetId="24" userName="Краева Ольга Витальевна" r:id="rId163" minRId="6067" maxRId="6096">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98A8AA06-940B-4C12-8DF5-7BA62F0C3832}" dateTime="2024-07-04T10:09:17" maxSheetId="24" userName="Смекалин Дмитрий Александрович" r:id="rId164" minRId="6097" maxRId="6195">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BA8CE7E1-E788-4CA9-9541-349FED61103B}" dateTime="2024-07-04T11:37:05" maxSheetId="24" userName="агомедов Алихан Магомедханович" r:id="rId165">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5688062D-2ED3-474C-A6AD-32EBFA4F71D1}" dateTime="2024-07-04T12:00:47" maxSheetId="24" userName="Смекалин Дмитрий Александрович" r:id="rId166" minRId="6207" maxRId="6222">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A0BAD767-3590-47B4-90D6-731DA70D0101}" dateTime="2024-07-04T12:11:24" maxSheetId="24" userName="Смекалин Дмитрий Александрович" r:id="rId167" minRId="6223" maxRId="6247">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F3CACF43-832C-463E-919D-6C8006F17719}" dateTime="2024-07-04T12:12:04" maxSheetId="24" userName="агомедов Алихан Магомедханович" r:id="rId168" minRId="6248" maxRId="6281">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6C32F508-193F-4F90-B634-91E1352A2839}" dateTime="2024-07-04T12:15:29" maxSheetId="24" userName="Смекалин Дмитрий Александрович" r:id="rId169" minRId="6293">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EF4F82E4-394D-4282-A86A-A6420E075085}" dateTime="2024-07-04T12:17:34" maxSheetId="24" userName="Смекалин Дмитрий Александрович" r:id="rId170" minRId="6294" maxRId="6297">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B7492A68-D018-4E8D-912A-8C4EA97C6CE6}" dateTime="2024-07-04T12:18:00" maxSheetId="24" userName="Смекалин Дмитрий Александрович" r:id="rId171" minRId="6298" maxRId="6300">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01D1AA6C-855F-4098-B9DC-4E9199C2692E}" dateTime="2024-07-04T12:35:54" maxSheetId="24" userName="агомедов Алихан Магомедханович" r:id="rId172" minRId="6301" maxRId="6341">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0F7E9382-3E5B-4997-8C6E-6A00B3D1A0C8}" dateTime="2024-07-04T16:27:43" maxSheetId="24" userName="агомедов Алихан Магомедханович" r:id="rId173" minRId="6342" maxRId="6428">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4AA467F5-34C5-4274-8FAB-43E0DAAE2122}" dateTime="2024-07-04T16:33:13" maxSheetId="24" userName="агомедов Алихан Магомедханович" r:id="rId174" minRId="6429" maxRId="6434">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70E67DAE-6849-4B6A-8DA5-7F61D83570BD}" dateTime="2024-07-04T16:35:49" maxSheetId="24" userName="агомедов Алихан Магомедханович" r:id="rId175" minRId="6435">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8D2A2572-F4F6-44D4-AE2D-0357B88AFBD9}" dateTime="2024-07-04T16:41:52" maxSheetId="24" userName="агомедов Алихан Магомедханович" r:id="rId176" minRId="6436" maxRId="6440">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4DB5BC46-55F8-4D51-8C94-A49A57543319}" dateTime="2024-07-04T16:45:09" maxSheetId="24" userName="агомедов Алихан Магомедханович" r:id="rId177">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73AC55A0-D5BA-45D6-B750-86091C6671AF}" dateTime="2024-07-04T17:19:55" maxSheetId="24" userName="агомедов Алихан Магомедханович" r:id="rId178">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2032713C-9105-438D-88FE-D981D5FE6DA6}" dateTime="2024-07-04T17:52:34" maxSheetId="24" userName="Епифанова Елена Валерьевна" r:id="rId179" minRId="6463" maxRId="6465">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8D1A376E-50E7-4BE3-A8F8-B8A73BB4AA6B}" dateTime="2024-07-05T09:26:48" maxSheetId="24" userName="Грязнова Екатерина Владимировна" r:id="rId180" minRId="6466" maxRId="6474">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02803E8A-A343-4E04-AA36-E7E48C42F297}" dateTime="2024-07-05T09:29:03" maxSheetId="24" userName="Грязнова Екатерина Владимировна" r:id="rId181" minRId="6475">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634FD825-4016-45D7-8618-A2C301313191}" dateTime="2024-07-05T10:22:38" maxSheetId="24" userName="Цыганкова Ирина Анатольевн" r:id="rId182" minRId="6476" maxRId="6507">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D53C5FB9-C4BD-4214-AF6E-ECBF06AA2EEC}" dateTime="2024-07-05T10:27:55" maxSheetId="24" userName="Цыганкова Ирина Анатольевн" r:id="rId183" minRId="6508" maxRId="6509">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800EFD75-C4B6-4700-A3D6-332F39E19BCA}" dateTime="2024-07-05T10:38:54" maxSheetId="24" userName="Цыганкова Ирина Анатольевн" r:id="rId184" minRId="6510" maxRId="6522">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2C4B23B8-EF29-4229-BF54-4AE03252327E}" dateTime="2024-07-05T10:43:44" maxSheetId="24" userName="Цыганкова Ирина Анатольевн" r:id="rId185" minRId="6523" maxRId="6536">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57EF0A87-7715-47EC-B96F-49FF65676DEF}" dateTime="2024-07-05T10:46:51" maxSheetId="24" userName="Цыганкова Ирина Анатольевн" r:id="rId186" minRId="6537" maxRId="6538">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8B19649F-C641-4E8E-9B82-B7A0E571B49F}" dateTime="2024-07-05T10:48:43" maxSheetId="24" userName="Цыганкова Ирина Анатольевн" r:id="rId187" minRId="6539" maxRId="6541">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9E080250-57C1-4E95-9F5D-EE37007593D7}" dateTime="2024-07-05T10:53:39" maxSheetId="24" userName="Цыганкова Ирина Анатольевн" r:id="rId188" minRId="6542" maxRId="6689">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67053DDC-01EF-403E-BAD8-696FCA7B3F88}" dateTime="2024-07-05T10:57:35" maxSheetId="24" userName="Цыганкова Ирина Анатольевн" r:id="rId189" minRId="6701" maxRId="6703">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75DAADEB-6881-4880-AA4A-4031679BAD69}" dateTime="2024-07-05T10:59:38" maxSheetId="24" userName="Цыганкова Ирина Анатольевн" r:id="rId190" minRId="6704">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5525EAF6-4B03-425B-8AE4-91067D1E7C2C}" dateTime="2024-07-05T13:05:52" maxSheetId="24" userName="Епифанова Елена Валерьевна" r:id="rId191" minRId="6705" maxRId="7468">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1DFDC360-AEC2-4986-B490-9DCFCD30F3FB}" dateTime="2024-07-05T13:18:31" maxSheetId="24" userName="Епифанова Елена Валерьевна" r:id="rId192" minRId="7480" maxRId="7481">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DCDA5E0A-00EC-41C8-B4D5-5887716C7FC8}" dateTime="2024-07-05T14:04:35" maxSheetId="24" userName="Цёвка Елена Александровна" r:id="rId193" minRId="7482" maxRId="7485">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E73BA63C-30B2-4B35-9026-0358FC87E9C9}" dateTime="2024-07-05T17:10:26" maxSheetId="24" userName="Хамадуллина Анастасия Олеговна" r:id="rId194" minRId="7497" maxRId="7555">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E12B9147-42E7-4B49-9008-03A754D71C69}" dateTime="2024-07-12T10:39:23" maxSheetId="24" userName="Колесник Елена Николаевна" r:id="rId195" minRId="7556" maxRId="7558">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34F8D1D7-3BA8-4BA8-8065-AE6CD3072B76}" dateTime="2024-07-12T10:53:39" maxSheetId="24" userName="Колесник Елена Николаевна" r:id="rId196" minRId="7559" maxRId="7564">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CC489DBB-A41E-4020-A71F-15CFEB212348}" dateTime="2024-07-12T10:58:28" maxSheetId="24" userName="Колесник Елена Николаевна" r:id="rId197" minRId="7565" maxRId="7567">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CC1E4636-4900-42D5-A86F-F730E1FFBFE0}" dateTime="2024-07-12T11:02:05" maxSheetId="24" userName="Колесник Елена Николаевна" r:id="rId198" minRId="7579">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A52A855E-37DE-4C0A-B987-5B6F66EBD977}" dateTime="2024-07-12T11:29:15" maxSheetId="24" userName="Колесник Елена Николаевна" r:id="rId199" minRId="7580">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7FF0ACB0-37E4-4C3F-8BE9-D8AEB209CE0F}" dateTime="2024-07-12T11:51:37" maxSheetId="24" userName="Колесник Елена Николаевна" r:id="rId200" minRId="7581" maxRId="7583">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40D3BDCC-DD43-4F75-89A1-0BC220750505}" dateTime="2024-07-12T17:14:25" maxSheetId="24" userName="Харченко Ольга Владимировна" r:id="rId201" minRId="7584" maxRId="7616">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B9C2D3C0-37D7-48A7-B4E7-C5FD95F4F435}" dateTime="2024-07-12T17:15:23" maxSheetId="24" userName="Харченко Ольга Владимировна" r:id="rId202">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4B82CC02-124C-46A6-B61A-5CE3937BFAA1}" dateTime="2024-07-15T10:11:15" maxSheetId="24" userName="Харченко Ольга Владимировна" r:id="rId203" minRId="7617" maxRId="7626">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DEB6862E-F62A-4385-AAF0-179ED6479C78}" dateTime="2024-07-15T10:30:15" maxSheetId="24" userName="Харченко Ольга Владимировна" r:id="rId204" minRId="7638" maxRId="7660">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DC99F4E4-A293-4687-B0F8-94567F027FE2}" dateTime="2024-07-15T10:42:26" maxSheetId="24" userName="Харченко Ольга Владимировна" r:id="rId205" minRId="7661" maxRId="7680">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2B4FA4B6-3E1D-4B57-ABF8-E3B3973753E8}" dateTime="2024-07-15T11:13:37" maxSheetId="24" userName="Харченко Ольга Владимировна" r:id="rId206" minRId="7681" maxRId="7702">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BE5D747E-4A37-4FAB-A226-7AEEB5B8FF09}" dateTime="2024-07-15T11:29:17" maxSheetId="24" userName="Харченко Ольга Владимировна" r:id="rId207" minRId="7703" maxRId="7721">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053B3D43-D9C9-495C-B133-713B4BD7AE5C}" dateTime="2024-07-15T12:08:05" maxSheetId="24" userName="Харченко Ольга Владимировна" r:id="rId208" minRId="7733" maxRId="7784">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6F664513-5FC9-4EF0-9C0E-A8AA2D9C9BBF}" dateTime="2024-07-15T12:10:14" maxSheetId="24" userName="Харченко Ольга Владимировна" r:id="rId209" minRId="7785">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D9A1E928-85F2-4AC3-A131-E0342457E07D}" dateTime="2024-07-15T15:03:06" maxSheetId="24" userName="Огиренко Ольга Ивановна" r:id="rId210" minRId="7786">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4BAF8852-2735-4D56-9475-51DC093D8D9C}" dateTime="2024-07-15T15:15:25" maxSheetId="24" userName="Огиренко Ольга Ивановна" r:id="rId211">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5793E022-C3FD-4AC4-BE4A-1F0F9FDADADF}" dateTime="2024-07-15T15:22:00" maxSheetId="24" userName="Чекменева Наталья Валерьевна" r:id="rId212" minRId="7798" maxRId="7801">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956079A3-7E60-43C0-A626-21335D022327}" dateTime="2024-07-15T15:22:32" maxSheetId="24" userName="Чекменева Наталья Валерьевна" r:id="rId213">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22F3655C-B95F-4D82-9CB8-6F27B72EF426}" dateTime="2024-07-15T16:23:33" maxSheetId="24" userName="Митина Екатерина Сергеевна" r:id="rId214">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4A9F251E-2A2A-4B44-8D5A-BEDCF0D252B0}" dateTime="2024-07-15T16:23:46" maxSheetId="24" userName="Митина Екатерина Сергеевна" r:id="rId215" minRId="7835">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C111E965-C431-4A14-89BA-E8BD79966622}" dateTime="2024-07-15T17:00:10" maxSheetId="24" userName="Митина Екатерина Сергеевна" r:id="rId216" minRId="7847" maxRId="8033">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D0F5BD1A-3EE2-4F4D-ABD1-C41CB223BC2F}" dateTime="2024-07-15T18:01:58" maxSheetId="24" userName="Митина Екатерина Сергеевна" r:id="rId217" minRId="8034" maxRId="8063">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63988733-F33B-4DAE-BCD4-B8ECD28D0D18}" dateTime="2024-07-15T18:06:12" maxSheetId="24" userName="Митина Екатерина Сергеевна" r:id="rId218" minRId="8064" maxRId="8124">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52EB681C-6571-451C-930A-2354C6FC25FD}" dateTime="2024-07-15T18:15:08" maxSheetId="24" userName="Митина Екатерина Сергеевна" r:id="rId219" minRId="8125" maxRId="8149">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DA44743A-CFB8-4823-B80A-8451CC88AE52}" dateTime="2024-07-15T18:36:16" maxSheetId="24" userName="Митина Екатерина Сергеевна" r:id="rId220" minRId="8150" maxRId="8245">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CBE63C8E-4C9C-405F-B90A-D62FB4E8F27B}" dateTime="2024-07-15T18:45:13" maxSheetId="24" userName="Митина Екатерина Сергеевна" r:id="rId221" minRId="8246" maxRId="8249">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DE842C9D-B2B2-4238-8700-FF450E724144}" dateTime="2024-07-15T18:49:18" maxSheetId="24" userName="Митина Екатерина Сергеевна" r:id="rId222" minRId="8250" maxRId="8251">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D320F259-AD1E-42F3-9F3B-7E67537D84F4}" dateTime="2024-07-15T18:53:48" maxSheetId="24" userName="Митина Екатерина Сергеевна" r:id="rId223" minRId="8252" maxRId="8254">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8ABC7842-CAEA-41DA-ADD6-27197394B68D}" dateTime="2024-07-15T19:02:19" maxSheetId="24" userName="Митина Екатерина Сергеевна" r:id="rId224" minRId="8266" maxRId="8311">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8789DFDC-ADF8-435E-8C6E-76C1D24D394D}" dateTime="2024-07-16T11:20:28" maxSheetId="24" userName="агомедов Алихан Магомедханович" r:id="rId225" minRId="8312" maxRId="8317">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C6713FEE-DB62-4F65-94B7-D05D35D3342C}" dateTime="2024-07-16T12:01:36" maxSheetId="24" userName="Подворчан Оксана" r:id="rId226" minRId="8318" maxRId="8358">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FFF5E11B-9B6B-4723-9646-4CE6AA27D8F9}" dateTime="2024-07-16T12:30:32" maxSheetId="24" userName="Подворчан Оксана" r:id="rId227" minRId="8359" maxRId="8406">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28321EBA-E04F-4940-AAE6-20CD1E979050}" dateTime="2024-07-16T14:38:05" maxSheetId="24" userName="Митина Екатерина Сергеевна" r:id="rId228" minRId="8407" maxRId="8417">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E92A2FD1-33B5-451B-BC6E-7C294BB6B18D}" dateTime="2024-07-16T14:48:05" maxSheetId="24" userName="Подворчан Оксана" r:id="rId229" minRId="8429" maxRId="8473">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96512436-3612-4331-AFB1-BDC11D48D8D7}" dateTime="2024-07-16T15:22:06" maxSheetId="24" userName="Подворчан Оксана" r:id="rId230" minRId="8474">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F82B521F-E77A-4538-8D0C-DBFF389D7C10}" dateTime="2024-07-16T16:27:56" maxSheetId="24" userName="Степаненко Наталья Алексеевна" r:id="rId231" minRId="8486">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500A42DC-27EF-4BEC-AFDF-C46E04A6F38A}" dateTime="2024-07-16T16:28:13" maxSheetId="24" userName="Степаненко Наталья Алексеевна" r:id="rId232" minRId="8487">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310C2876-DB70-4A2F-98D2-D99E3437FC90}" dateTime="2024-07-16T17:32:13" maxSheetId="24" userName="Игошкина Марина Юрьевна" r:id="rId233" minRId="8488" maxRId="9786">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C1E4AFB3-8412-448C-AB13-4FCDF06E0F4B}" dateTime="2024-07-16T18:05:08" maxSheetId="24" userName="Степаненко Наталья Алексеевна" r:id="rId234" minRId="9787" maxRId="9789">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03B557B7-D592-404F-8CF6-D338FD13CBA1}" dateTime="2024-07-16T18:51:33" maxSheetId="24" userName="Тихонова Лариса Анатольевна" r:id="rId235" minRId="9790" maxRId="9845">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6C0DE76A-6113-46FA-ACED-4DBB7F09C573}" dateTime="2024-07-17T09:28:06" maxSheetId="24" userName="Степаненко Наталья Алексеевна" r:id="rId236" minRId="9846" maxRId="9848">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872BC4A9-7CFE-4AB9-8880-132FFF72DBCA}" dateTime="2024-07-17T10:00:06" maxSheetId="24" userName="Харченко Ольга Владимировна" r:id="rId237" minRId="9849" maxRId="9855">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3AF04623-2573-4849-A209-292EB2738A72}" dateTime="2024-07-17T10:03:41" maxSheetId="24" userName="Колесник Елена Николаевна" r:id="rId238" minRId="9867" maxRId="9884">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4FDB8E6C-A961-41B6-BBA7-025C54D36B6F}" dateTime="2024-07-17T10:07:12" maxSheetId="24" userName="Колесник Елена Николаевна" r:id="rId239" minRId="9885" maxRId="9888">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B13BF58E-9DBE-45B0-B6CD-B17F4BCA4604}" dateTime="2024-07-17T10:08:19" maxSheetId="24" userName="Тихонова Лариса Анатольевна" r:id="rId240" minRId="9889" maxRId="9905">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ED293AB5-28CA-4B4F-8CCE-3C13E28C1A4B}" dateTime="2024-07-17T11:10:41" maxSheetId="24" userName="Подворчан Оксана" r:id="rId241" minRId="9918" maxRId="9922">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E2D66AD6-3161-4196-A3DE-3E7934C7D066}" dateTime="2024-07-17T11:10:49" maxSheetId="24" userName="Тихонова Лариса Анатольевна" r:id="rId242" minRId="9923" maxRId="9964">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B4F07208-CFBD-4CD8-B985-3B4A2EA8BD25}" dateTime="2024-07-17T11:15:39" maxSheetId="24" userName="Игошкина Марина Юрьевна" r:id="rId243" minRId="9965">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031A1F10-CEB5-4BD9-90CD-1A78F156F190}" dateTime="2024-07-17T11:34:09" maxSheetId="24" userName="Подворчан Оксана" r:id="rId244" minRId="9966" maxRId="9985">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08EE2D3F-8EB2-410E-B256-1AB67EDD3A20}" dateTime="2024-07-17T11:34:28" maxSheetId="24" userName="Колесник Елена Николаевна" r:id="rId245" minRId="9986">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FD7B5C55-25A5-492D-BF66-85400D5C7E10}" dateTime="2024-07-17T11:35:36" maxSheetId="24" userName="Подворчан Оксана" r:id="rId246" minRId="9987">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5A969D8B-2F95-4DE3-B25D-604FCB16307C}" dateTime="2024-07-17T11:36:22" maxSheetId="24" userName="Колесник Елена Николаевна" r:id="rId247" minRId="9988">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6ED6AE99-174A-4125-B95A-31B38CB6A38A}" dateTime="2024-07-17T11:37:05" maxSheetId="24" userName="Колесник Елена Николаевна" r:id="rId248" minRId="9989">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0387B855-0969-4055-B5F1-D86FBC94259F}" dateTime="2024-07-17T12:08:56" maxSheetId="24" userName="Тихонова Лариса Анатольевна" r:id="rId249" minRId="9990" maxRId="9991">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75B364A2-091B-47DB-A055-E5D2BE480F4E}" dateTime="2024-07-17T14:47:11" maxSheetId="24" userName="Тихонова Лариса Анатольевна" r:id="rId250">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675FBE43-8B79-4361-BB0D-808FD3AEB5E2}" dateTime="2024-07-17T14:51:02" maxSheetId="24" userName="Тихонова Лариса Анатольевна" r:id="rId251">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98" sId="22">
    <oc r="AF20" t="inlineStr">
      <is>
        <t xml:space="preserve">Муниципальный контракт №0187300013724000020 от 25.03.2024 на выполнение работ по строительству объекта благоустройства "Этнодеревня в городе Когалыме" 3 этап:
- цена контракта 21 952,3 тыс.рублей;
- срок выполнения работ: 01.08.2024 г.
- внесены изменения в существенные условия контракта, в части установления аванса в размере 45% от цены контракта, перечислен аванс в сумме 9 878, 57 тыс.руб. (45%), </t>
      </is>
    </oc>
    <nc r="AF20" t="inlineStr">
      <is>
        <t xml:space="preserve">1.Муниципальный контракт №0187300013724000020 от 25.03.2024 на выполнение работ по строительству объекта благоустройства "Этнодеревня в городе Когалыме" 3 этап:
- цена контракта 21 952,37 тыс.рублей;
- срок выполнения работ: 01.08.2024 г.
- внесены изменения в существенные условия контракта, в части установления аванса в размере 45% от цены контракта, перечислен аванс в сумме 9 878, 57 тыс.руб. (45%), </t>
      </is>
    </nc>
  </rcc>
  <rcc rId="7799" sId="22">
    <oc r="AF27" t="inlineStr">
      <is>
        <t>Муниципальный контракт № 0187300013724000090 от 24.05.2024  на выполнение работ на выполнение работ по строительству объекта благоустройства "Литературный сквер в городе Когалыме" 
-цена контракта 19 001,24 тыс.руб.;
-срок выполнения работ: 16.08.2024 г.;
-ведется выполнение работ.</t>
      </is>
    </oc>
    <nc r="AF27" t="inlineStr">
      <is>
        <t>Муниципальный контракт № 0187300013724000090 от 24.05.2024  на выполнение работ на выполнение работ по строительству объекта благоустройства "Литературный сквер в городе Когалыме" 
-цена контракта 19 001,24 тыс.руб.;
-перечислен аванс в сумме 9 120,54 тыс.руб. (48%)
-срок выполнения работ: 16.08.2024 г.;
-ведется выполнение работ.</t>
      </is>
    </nc>
  </rcc>
  <rcc rId="7800" sId="22">
    <oc r="AF56" t="inlineStr">
      <is>
        <t>1. Муниципальный контракт № 12/2024 от 12.02.2024 на выполнение инженерных изысканий для объекта благоустройства "Этностойбище коренных народов ХМАО-Югры "Вонт-Лунг" (лесной дух) в г. Когалыме"
-цена контракта 594,1 тыс.руб.;
-срок выполнения работ: 29.02.2024 г.
-работы выполнены и оплачены в полном объеме.
2. Муниципальный контракт №15/2024 от 07.03.2024 на выполнение работ по разработке проектно-сметной документации на строительство объекта благоустройства "Этностойбище коренных народов ХМАО-Югры "Вонт-Корт" (лесное стойбище) в г. Когалыме:
- цена контракта 597,01 тыс.руб.;
- срок выполнения работ: 31.05.2024 г. 
3.  Муниципальный контракт №36/2024 от 27.05.2024 на оказание услуг по проведению негосударственной экспертизы сметной документации на выполнение работ по устройству этнических сооружений на объекте благоустройства "Этностойбище коренных народов ХМАО-Югры "Вонт-Корт" (Лесное стойбище) в г. Когалыме"
- цена контракта 15,0 тыс.руб.;
- срок выполнения работ: 25.06.2024г.;
-услуги оказаны и оплачены в полном объеме.
4. Размещен электронный аукцион на  выполнение работ по устройству этнических сооружений на объекте благоустройства «Этностойбище коренных народов ХМАО-Югры «Вонт-Корт» (лесное стойбище) в г. Когалыме»  дата проведения торгов: 07.06.2024.</t>
      </is>
    </oc>
    <nc r="AF56" t="inlineStr">
      <is>
        <t>1. Муниципальный контракт № 12/2024 от 12.02.2024 на выполнение инженерных изысканий для объекта благоустройства "Этностойбище коренных народов ХМАО-Югры "Вонт-Лунг" (лесной дух) в г. Когалыме"
-цена контракта 594,1 тыс.руб.;
-срок выполнения работ: 29.02.2024 г.
-работы выполнены и оплачены в полном объеме.
2. Муниципальный контракт №15/2024 от 07.03.2024 на выполнение работ по разработке проектно-сметной документации на строительство объекта благоустройства "Этностойбище коренных народов ХМАО-Югры "Вонт-Корт" (лесное стойбище) в г. Когалыме:
- цена контракта 597,01 тыс.руб.;
- срок выполнения работ: 31.05.2024 г. 
3.  Муниципальный контракт №36/2024 от 27.05.2024 на оказание услуг по проведению негосударственной экспертизы сметной документации на выполнение работ по устройству этнических сооружений на объекте благоустройства "Этностойбище коренных народов ХМАО-Югры "Вонт-Корт" (Лесное стойбище) в г. Когалыме"
- цена контракта 15,0 тыс.руб.;
- срок выполнения работ: 25.06.2024г.;
-услуги оказаны и оплачены в полном объеме.
4. Муниципальный контракт № 0187300013724000129 от 24.06.2024 на выполнение работ по устройству этнических сооружений на объекте благоустройства «Этностойбище коренных народов ХМАО-Югры «Вонт-Корт» (лесное стойбище) в г. Когалыме»
-цена контракта 13 699,46 тыс.руб.;
-срок выполнения работ: 20.09.2024г.
5. Размещен электронный аукцион на  выполнение работ по строительству объекта благоустройства "Этностойбище коренных народов ХМАО-Югры "Вонт-Корт (лесное стойбище) в городе Когалыме"   дата проведения торгов: 11.07.2024.</t>
      </is>
    </nc>
  </rcc>
  <rcc rId="7801" sId="22">
    <oc r="AF68" t="inlineStr">
      <is>
        <t>Ведется подготовка проекта контракта на проектно-изыскательные работы.</t>
      </is>
    </oc>
    <nc r="AF68" t="inlineStr">
      <is>
        <t>Муниципальный контракт № 46/2024 от 28.06.2024 на Выполнение работ по разработке проектно-сметной документации на строительство объекта благоустройства "Сквер по проезду Солнечному в городе  Когалыме"
- цена контракта:595,00  тыс.руб.;
- срок выполнения работ: 31.07.2024 г.
- ведется выполнение работ.</t>
      </is>
    </nc>
  </rcc>
  <rdn rId="0" localSheetId="2" customView="1" name="Z_391AB76E_B386_49C1_800F_016A48AA1A46_.wvu.Rows" hidden="1" oldHidden="1">
    <formula>'1.СЗН'!$69:$73</formula>
  </rdn>
  <rdn rId="0" localSheetId="2" customView="1" name="Z_391AB76E_B386_49C1_800F_016A48AA1A46_.wvu.FilterData" hidden="1" oldHidden="1">
    <formula>'1.СЗН'!$A$1:$AF$63</formula>
  </rdn>
  <rdn rId="0" localSheetId="3" customView="1" name="Z_391AB76E_B386_49C1_800F_016A48AA1A46_.wvu.FilterData" hidden="1" oldHidden="1">
    <formula>'2.АПК'!$A$1:$AF$36</formula>
  </rdn>
  <rdn rId="0" localSheetId="4" customView="1" name="Z_391AB76E_B386_49C1_800F_016A48AA1A46_.wvu.FilterData" hidden="1" oldHidden="1">
    <formula>'3.БЖД'!$A$1:$AF$17</formula>
  </rdn>
  <rdn rId="0" localSheetId="5" customView="1" name="Z_391AB76E_B386_49C1_800F_016A48AA1A46_.wvu.FilterData" hidden="1" oldHidden="1">
    <formula>'4.УМИ'!$A$1:$AF$11</formula>
  </rdn>
  <rdn rId="0" localSheetId="6" customView="1" name="Z_391AB76E_B386_49C1_800F_016A48AA1A46_.wvu.FilterData" hidden="1" oldHidden="1">
    <formula>'5.Проф. прав.'!$A$1:$AF$12</formula>
  </rdn>
  <rdn rId="0" localSheetId="7" customView="1" name="Z_391AB76E_B386_49C1_800F_016A48AA1A46_.wvu.Rows" hidden="1" oldHidden="1">
    <formula>'6.Экстримизм'!$9:$23,'6.Экстримизм'!$30:$38,'6.Экстримизм'!$44:$49,'6.Экстримизм'!$65:$67,'6.Экстримизм'!$71:$76,'6.Экстримизм'!$86:$88,'6.Экстримизм'!$95:$97</formula>
  </rdn>
  <rdn rId="0" localSheetId="7" customView="1" name="Z_391AB76E_B386_49C1_800F_016A48AA1A46_.wvu.FilterData" hidden="1" oldHidden="1">
    <formula>'6.Экстримизм'!$A$1:$AF$11</formula>
  </rdn>
  <rdn rId="0" localSheetId="14" customView="1" name="Z_391AB76E_B386_49C1_800F_016A48AA1A46_.wvu.FilterData" hidden="1" oldHidden="1">
    <formula>'11.МП РО'!$A$4:$A$380</formula>
  </rdn>
  <rdn rId="0" localSheetId="17" customView="1" name="Z_391AB76E_B386_49C1_800F_016A48AA1A46_.wvu.Rows" hidden="1" oldHidden="1">
    <formula>'13.МП РЖС'!$122:$127</formula>
  </rdn>
  <rdn rId="0" localSheetId="17" customView="1" name="Z_391AB76E_B386_49C1_800F_016A48AA1A46_.wvu.Cols" hidden="1" oldHidden="1">
    <formula>'13.МП РЖС'!$AG:$AG</formula>
  </rdn>
  <rcv guid="{391AB76E-B386-49C1-800F-016A48AA1A46}" action="add"/>
</revisions>
</file>

<file path=xl/revisions/revisionLog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46" sId="18">
    <oc r="M28">
      <f>M29+M30</f>
    </oc>
    <nc r="M28">
      <f>M29+M30</f>
    </nc>
  </rcc>
  <rcc rId="8247" sId="18" numFmtId="4">
    <oc r="X50">
      <v>0</v>
    </oc>
    <nc r="X50">
      <v>2.5</v>
    </nc>
  </rcc>
  <rcc rId="8248" sId="18" numFmtId="4">
    <oc r="X51">
      <v>0</v>
    </oc>
    <nc r="X51">
      <v>2.5</v>
    </nc>
  </rcc>
  <rcc rId="8249" sId="18" numFmtId="4">
    <oc r="R51">
      <v>14.6</v>
    </oc>
    <nc r="R51">
      <v>14.61</v>
    </nc>
  </rcc>
  <rfmt sheetId="18" sqref="B88">
    <dxf>
      <fill>
        <patternFill patternType="none">
          <bgColor auto="1"/>
        </patternFill>
      </fill>
    </dxf>
  </rfmt>
</revisions>
</file>

<file path=xl/revisions/revisionLog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8" sqref="B103">
    <dxf>
      <fill>
        <patternFill patternType="solid">
          <bgColor rgb="FFFFFF00"/>
        </patternFill>
      </fill>
    </dxf>
  </rfmt>
  <rcc rId="8250" sId="18" numFmtId="4">
    <oc r="X105">
      <v>0</v>
    </oc>
    <nc r="X105">
      <v>93.1</v>
    </nc>
  </rcc>
  <rfmt sheetId="18" sqref="B103">
    <dxf>
      <fill>
        <patternFill patternType="none">
          <bgColor auto="1"/>
        </patternFill>
      </fill>
    </dxf>
  </rfmt>
  <rcc rId="8251" sId="18" numFmtId="4">
    <oc r="AB133">
      <v>93.1</v>
    </oc>
    <nc r="AB133">
      <v>0</v>
    </nc>
  </rcc>
</revisions>
</file>

<file path=xl/revisions/revisionLog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52" sId="18">
    <oc r="C142">
      <f>C40+C65</f>
    </oc>
    <nc r="C142">
      <f>C40+C65</f>
    </nc>
  </rcc>
  <rcc rId="8253" sId="18" numFmtId="4">
    <oc r="S126">
      <v>0</v>
    </oc>
    <nc r="S126">
      <v>0.72</v>
    </nc>
  </rcc>
  <rcc rId="8254" sId="18" numFmtId="4">
    <oc r="S90">
      <v>0</v>
    </oc>
    <nc r="S90">
      <v>500</v>
    </nc>
  </rcc>
  <rcv guid="{602C8EDB-B9EF-4C85-B0D5-0558C3A0ABAB}" action="delete"/>
  <rdn rId="0" localSheetId="2" customView="1" name="Z_602C8EDB_B9EF_4C85_B0D5_0558C3A0ABAB_.wvu.Rows" hidden="1" oldHidden="1">
    <formula>'1.СЗН'!$69:$73</formula>
    <oldFormula>'1.СЗН'!$69:$73</oldFormula>
  </rdn>
  <rdn rId="0" localSheetId="2" customView="1" name="Z_602C8EDB_B9EF_4C85_B0D5_0558C3A0ABAB_.wvu.FilterData" hidden="1" oldHidden="1">
    <formula>'1.СЗН'!$A$1:$AF$63</formula>
    <oldFormula>'1.СЗН'!$A$1:$AF$63</oldFormula>
  </rdn>
  <rdn rId="0" localSheetId="3" customView="1" name="Z_602C8EDB_B9EF_4C85_B0D5_0558C3A0ABAB_.wvu.FilterData" hidden="1" oldHidden="1">
    <formula>'2.АПК'!$A$1:$AF$36</formula>
    <oldFormula>'2.АПК'!$A$1:$AF$36</oldFormula>
  </rdn>
  <rdn rId="0" localSheetId="4" customView="1" name="Z_602C8EDB_B9EF_4C85_B0D5_0558C3A0ABAB_.wvu.FilterData" hidden="1" oldHidden="1">
    <formula>'3.БЖД'!$A$1:$AF$17</formula>
    <oldFormula>'3.БЖД'!$A$1:$AF$17</oldFormula>
  </rdn>
  <rdn rId="0" localSheetId="5" customView="1" name="Z_602C8EDB_B9EF_4C85_B0D5_0558C3A0ABAB_.wvu.FilterData" hidden="1" oldHidden="1">
    <formula>'4.УМИ'!$A$1:$AF$11</formula>
    <oldFormula>'4.УМИ'!$A$1:$AF$11</oldFormula>
  </rdn>
  <rdn rId="0" localSheetId="6" customView="1" name="Z_602C8EDB_B9EF_4C85_B0D5_0558C3A0ABAB_.wvu.FilterData" hidden="1" oldHidden="1">
    <formula>'5.Проф. прав.'!$A$1:$AF$12</formula>
    <oldFormula>'5.Проф. прав.'!$A$1:$AF$12</oldFormula>
  </rdn>
  <rdn rId="0" localSheetId="7" customView="1" name="Z_602C8EDB_B9EF_4C85_B0D5_0558C3A0ABAB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602C8EDB_B9EF_4C85_B0D5_0558C3A0ABAB_.wvu.FilterData" hidden="1" oldHidden="1">
    <formula>'6.Экстримизм'!$A$1:$AF$11</formula>
    <oldFormula>'6.Экстримизм'!$A$1:$AF$11</oldFormula>
  </rdn>
  <rdn rId="0" localSheetId="14" customView="1" name="Z_602C8EDB_B9EF_4C85_B0D5_0558C3A0ABAB_.wvu.FilterData" hidden="1" oldHidden="1">
    <formula>'11.МП РО'!$A$4:$A$380</formula>
    <oldFormula>'11.МП РО'!$A$4:$A$380</oldFormula>
  </rdn>
  <rdn rId="0" localSheetId="17" customView="1" name="Z_602C8EDB_B9EF_4C85_B0D5_0558C3A0ABAB_.wvu.Rows" hidden="1" oldHidden="1">
    <formula>'13.МП РЖС'!$122:$127</formula>
    <oldFormula>'13.МП РЖС'!$122:$127</oldFormula>
  </rdn>
  <rdn rId="0" localSheetId="17" customView="1" name="Z_602C8EDB_B9EF_4C85_B0D5_0558C3A0ABAB_.wvu.Cols" hidden="1" oldHidden="1">
    <formula>'13.МП РЖС'!$AG:$AG</formula>
    <oldFormula>'13.МП РЖС'!$AG:$AG</oldFormula>
  </rdn>
  <rcv guid="{602C8EDB-B9EF-4C85-B0D5-0558C3A0ABAB}" action="add"/>
</revisions>
</file>

<file path=xl/revisions/revisionLog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66" sId="18" odxf="1" dxf="1">
    <oc r="C64">
      <f>C74+C84+C89+C94+C99+C104+C109+C114+C119+C124</f>
    </oc>
    <nc r="C64">
      <f>C74+C79+C84+C89+C94+C99+C104+C109+C114+C119+C124</f>
    </nc>
    <ndxf>
      <protection locked="0"/>
    </ndxf>
  </rcc>
  <rcc rId="8267" sId="18" odxf="1" dxf="1">
    <oc r="D64">
      <f>D74+D84+D89+D94+D99+D104+D109+D114+D119+D124</f>
    </oc>
    <nc r="D64">
      <f>D74+D79+D84+D89+D94+D99+D104+D109+D114+D119+D124</f>
    </nc>
    <odxf>
      <protection locked="1"/>
    </odxf>
    <ndxf>
      <protection locked="0"/>
    </ndxf>
  </rcc>
  <rcc rId="8268" sId="18" odxf="1" dxf="1">
    <oc r="E64">
      <f>E74+E84+E89+E94+E99+E104+E109+E114+E119+E124</f>
    </oc>
    <nc r="E64">
      <f>E74+E79+E84+E89+E94+E99+E104+E109+E114+E119+E124</f>
    </nc>
    <odxf>
      <protection locked="1"/>
    </odxf>
    <ndxf>
      <protection locked="0"/>
    </ndxf>
  </rcc>
  <rfmt sheetId="18" sqref="F64" start="0" length="0">
    <dxf>
      <protection locked="0"/>
    </dxf>
  </rfmt>
  <rfmt sheetId="18" sqref="G64" start="0" length="0">
    <dxf>
      <protection locked="0"/>
    </dxf>
  </rfmt>
  <rcc rId="8269" sId="18">
    <oc r="H64">
      <f>H74+H79+H84+H89+H94+H99+H104+H109+H114+H119+H124</f>
    </oc>
    <nc r="H64">
      <f>H74+H79+H84+H89+H94+H99+H104+H109+H114+H119+H124</f>
    </nc>
  </rcc>
  <rcc rId="8270" sId="18">
    <oc r="I64">
      <f>I74+I79+I84+I89+I94+I99+I104+I109+I114+I119+I124</f>
    </oc>
    <nc r="I64">
      <f>I74+I79+I84+I89+I94+I99+I104+I109+I114+I119+I124</f>
    </nc>
  </rcc>
  <rcc rId="8271" sId="18">
    <oc r="J64">
      <f>J74+J79+J84+J89+J94+J99+J104+J109+J114+J119+J124</f>
    </oc>
    <nc r="J64">
      <f>J74+J79+J84+J89+J94+J99+J104+J109+J114+J119+J124</f>
    </nc>
  </rcc>
  <rcc rId="8272" sId="18">
    <oc r="K64">
      <f>K74+K79+K84+K89+K94+K99+K104+K109+K114+K119+K124</f>
    </oc>
    <nc r="K64">
      <f>K74+K79+K84+K89+K94+K99+K104+K109+K114+K119+K124</f>
    </nc>
  </rcc>
  <rcc rId="8273" sId="18">
    <oc r="L64">
      <f>L74+L79+L84+L89+L94+L99+L104+L109+L114+L119+L124</f>
    </oc>
    <nc r="L64">
      <f>L74+L79+L84+L89+L94+L99+L104+L109+L114+L119+L124</f>
    </nc>
  </rcc>
  <rcc rId="8274" sId="18">
    <oc r="M64">
      <f>M74+M79+M84+M89+M94+M99+M104+M109+M114+M119+M124</f>
    </oc>
    <nc r="M64">
      <f>M74+M79+M84+M89+M94+M99+M104+M109+M114+M119+M124</f>
    </nc>
  </rcc>
  <rcc rId="8275" sId="18">
    <oc r="N64">
      <f>N74+N79+N84+N89+N94+N99+N104+N109+N114+N119+N124</f>
    </oc>
    <nc r="N64">
      <f>N74+N79+N84+N89+N94+N99+N104+N109+N114+N119+N124</f>
    </nc>
  </rcc>
  <rcc rId="8276" sId="18">
    <oc r="O64">
      <f>O74+O79+O84+O89+O94+O99+O104+O109+O114+O119+O124</f>
    </oc>
    <nc r="O64">
      <f>O74+O79+O84+O89+O94+O99+O104+O109+O114+O119+O124</f>
    </nc>
  </rcc>
  <rcc rId="8277" sId="18">
    <oc r="P64">
      <f>P74+P79+P84+P89+P94+P99+P104+P109+P114+P119+P124</f>
    </oc>
    <nc r="P64">
      <f>P74+P79+P84+P89+P94+P99+P104+P109+P114+P119+P124</f>
    </nc>
  </rcc>
  <rcc rId="8278" sId="18">
    <oc r="Q64">
      <f>Q74+Q79+Q84+Q89+Q94+Q99+Q104+Q109+Q114+Q119+Q124</f>
    </oc>
    <nc r="Q64">
      <f>Q74+Q79+Q84+Q89+Q94+Q99+Q104+Q109+Q114+Q119+Q124</f>
    </nc>
  </rcc>
  <rcc rId="8279" sId="18" odxf="1" dxf="1">
    <oc r="F64">
      <f>IFERROR(E64/B64*100,0)</f>
    </oc>
    <nc r="F64">
      <f>IFERROR(E64/B64*100,0)</f>
    </nc>
    <ndxf>
      <protection locked="1"/>
    </ndxf>
  </rcc>
  <rcc rId="8280" sId="18" odxf="1" dxf="1">
    <oc r="G64">
      <f>IFERROR(E64/C64*100,0)</f>
    </oc>
    <nc r="G64">
      <f>IFERROR(E64/C64*100,0)</f>
    </nc>
    <ndxf>
      <protection locked="1"/>
    </ndxf>
  </rcc>
  <rcc rId="8281" sId="18" odxf="1" dxf="1">
    <oc r="C65">
      <f>C75+C85+C90+C95+C100+C105+C110+C115+C120+C125</f>
    </oc>
    <nc r="C65">
      <f>C75+C80+C85+C90+C95+C100+C105+C110+C115+C120+C125</f>
    </nc>
    <ndxf>
      <protection locked="0"/>
    </ndxf>
  </rcc>
  <rcc rId="8282" sId="18" odxf="1" dxf="1">
    <oc r="D65">
      <f>D75+D85+D90+D95+D100+D105+D110+D115+D120+D125</f>
    </oc>
    <nc r="D65">
      <f>D75+D80+D85+D90+D95+D100+D105+D110+D115+D120+D125</f>
    </nc>
    <odxf>
      <protection locked="1"/>
    </odxf>
    <ndxf>
      <protection locked="0"/>
    </ndxf>
  </rcc>
  <rcc rId="8283" sId="18" odxf="1" dxf="1">
    <oc r="E65">
      <f>E75+E85+E90+E95+E100+E105+E110+E115+E120+E125</f>
    </oc>
    <nc r="E65">
      <f>E75+E80+E85+E90+E95+E100+E105+E110+E115+E120+E125</f>
    </nc>
    <odxf>
      <protection locked="1"/>
    </odxf>
    <ndxf>
      <protection locked="0"/>
    </ndxf>
  </rcc>
  <rfmt sheetId="18" sqref="F65" start="0" length="0">
    <dxf>
      <protection locked="0"/>
    </dxf>
  </rfmt>
  <rfmt sheetId="18" sqref="G65" start="0" length="0">
    <dxf>
      <protection locked="0"/>
    </dxf>
  </rfmt>
  <rcc rId="8284" sId="18">
    <oc r="H65">
      <f>H75+H80+H85+H90+H95+H100+H105+H110+H115+H120+H125</f>
    </oc>
    <nc r="H65">
      <f>H75+H80+H85+H90+H95+H100+H105+H110+H115+H120+H125</f>
    </nc>
  </rcc>
  <rcc rId="8285" sId="18">
    <oc r="I65">
      <f>I75+I80+I85+I90+I95+I100+I105+I110+I115+I120+I125</f>
    </oc>
    <nc r="I65">
      <f>I75+I80+I85+I90+I95+I100+I105+I110+I115+I120+I125</f>
    </nc>
  </rcc>
  <rcc rId="8286" sId="18">
    <oc r="J65">
      <f>J75+J80+J85+J90+J95+J100+J105+J110+J115+J120+J125</f>
    </oc>
    <nc r="J65">
      <f>J75+J80+J85+J90+J95+J100+J105+J110+J115+J120+J125</f>
    </nc>
  </rcc>
  <rcc rId="8287" sId="18">
    <oc r="K65">
      <f>K75+K80+K85+K90+K95+K100+K105+K110+K115+K120+K125</f>
    </oc>
    <nc r="K65">
      <f>K75+K80+K85+K90+K95+K100+K105+K110+K115+K120+K125</f>
    </nc>
  </rcc>
  <rcc rId="8288" sId="18">
    <oc r="L65">
      <f>L75+L80+L85+L90+L95+L100+L105+L110+L115+L120+L125</f>
    </oc>
    <nc r="L65">
      <f>L75+L80+L85+L90+L95+L100+L105+L110+L115+L120+L125</f>
    </nc>
  </rcc>
  <rcc rId="8289" sId="18">
    <oc r="M65">
      <f>M75+M80+M85+M90+M95+M100+M105+M110+M115+M120+M125</f>
    </oc>
    <nc r="M65">
      <f>M75+M80+M85+M90+M95+M100+M105+M110+M115+M120+M125</f>
    </nc>
  </rcc>
  <rcc rId="8290" sId="18">
    <oc r="N65">
      <f>N75+N80+N85+N90+N95+N100+N105+N110+N115+N120+N125</f>
    </oc>
    <nc r="N65">
      <f>N75+N80+N85+N90+N95+N100+N105+N110+N115+N120+N125</f>
    </nc>
  </rcc>
  <rcc rId="8291" sId="18">
    <oc r="O65">
      <f>O75+O80+O85+O90+O95+O100+O105+O110+O115+O120+O125</f>
    </oc>
    <nc r="O65">
      <f>O75+O80+O85+O90+O95+O100+O105+O110+O115+O120+O125</f>
    </nc>
  </rcc>
  <rcc rId="8292" sId="18">
    <oc r="P65">
      <f>P75+P80+P85+P90+P95+P100+P105+P110+P115+P120+P125</f>
    </oc>
    <nc r="P65">
      <f>P75+P80+P85+P90+P95+P100+P105+P110+P115+P120+P125</f>
    </nc>
  </rcc>
  <rcc rId="8293" sId="18">
    <oc r="Q65">
      <f>Q75+Q80+Q85+Q90+Q95+Q100+Q105+Q110+Q115+Q120+Q125</f>
    </oc>
    <nc r="Q65">
      <f>Q75+Q80+Q85+Q90+Q95+Q100+Q105+Q110+Q115+Q120+Q125</f>
    </nc>
  </rcc>
  <rcc rId="8294" sId="18" odxf="1" dxf="1">
    <oc r="F65">
      <f>IFERROR(E65/B65*100,0)</f>
    </oc>
    <nc r="F65">
      <f>IFERROR(E65/B65*100,0)</f>
    </nc>
    <ndxf>
      <protection locked="1"/>
    </ndxf>
  </rcc>
  <rcc rId="8295" sId="18" odxf="1" dxf="1">
    <oc r="G65">
      <f>IFERROR(E65/C65*100,0)</f>
    </oc>
    <nc r="G65">
      <f>IFERROR(E65/C65*100,0)</f>
    </nc>
    <ndxf>
      <protection locked="1"/>
    </ndxf>
  </rcc>
  <rcc rId="8296" sId="18" odxf="1" dxf="1">
    <oc r="C66">
      <f>C76+C81+C86+C91+C96+C101+C106+C111+C116+C121+C126</f>
    </oc>
    <nc r="C66">
      <f>C76+C81+C86+C91+C96+C101+C106+C111+C116+C121+C126</f>
    </nc>
    <odxf>
      <protection locked="1"/>
    </odxf>
    <ndxf>
      <protection locked="0"/>
    </ndxf>
  </rcc>
  <rcc rId="8297" sId="18" odxf="1" dxf="1">
    <oc r="D66">
      <f>D76+D81+D86+D91+D96+D101+D106+D111+D116+D121+D126</f>
    </oc>
    <nc r="D66">
      <f>D76+D81+D86+D91+D96+D101+D106+D111+D116+D121+D126</f>
    </nc>
    <odxf>
      <protection locked="1"/>
    </odxf>
    <ndxf>
      <protection locked="0"/>
    </ndxf>
  </rcc>
  <rcc rId="8298" sId="18" odxf="1" dxf="1">
    <oc r="E66">
      <f>E76+E81+E86+E91+E96+E101+E106+E111+E116+E121+E126</f>
    </oc>
    <nc r="E66">
      <f>E76+E81+E86+E91+E96+E101+E106+E111+E116+E121+E126</f>
    </nc>
    <odxf>
      <protection locked="1"/>
    </odxf>
    <ndxf>
      <protection locked="0"/>
    </ndxf>
  </rcc>
  <rfmt sheetId="18" sqref="F66" start="0" length="0">
    <dxf>
      <protection locked="0"/>
    </dxf>
  </rfmt>
  <rfmt sheetId="18" sqref="G66" start="0" length="0">
    <dxf>
      <protection locked="0"/>
    </dxf>
  </rfmt>
  <rcc rId="8299" sId="18">
    <oc r="H66">
      <f>H76+H81+H86+H91+H96+H101+H106+H111+H116+H121+H126</f>
    </oc>
    <nc r="H66">
      <f>H76+H81+H86+H91+H96+H101+H106+H111+H116+H121+H126</f>
    </nc>
  </rcc>
  <rcc rId="8300" sId="18">
    <oc r="I66">
      <f>I76+I81+I86+I91+I96+I101+I106+I111+I116+I121+I126</f>
    </oc>
    <nc r="I66">
      <f>I76+I81+I86+I91+I96+I101+I106+I111+I116+I121+I126</f>
    </nc>
  </rcc>
  <rcc rId="8301" sId="18">
    <oc r="J66">
      <f>J76+J81+J86+J91+J96+J101+J106+J111+J116+J121+J126</f>
    </oc>
    <nc r="J66">
      <f>J76+J81+J86+J91+J96+J101+J106+J111+J116+J121+J126</f>
    </nc>
  </rcc>
  <rcc rId="8302" sId="18">
    <oc r="K66">
      <f>K76+K81+K86+K91+K96+K101+K106+K111+K116+K121+K126</f>
    </oc>
    <nc r="K66">
      <f>K76+K81+K86+K91+K96+K101+K106+K111+K116+K121+K126</f>
    </nc>
  </rcc>
  <rcc rId="8303" sId="18">
    <oc r="L66">
      <f>L76+L81+L86+L91+L96+L101+L106+L111+L116+L121+L126</f>
    </oc>
    <nc r="L66">
      <f>L76+L81+L86+L91+L96+L101+L106+L111+L116+L121+L126</f>
    </nc>
  </rcc>
  <rcc rId="8304" sId="18">
    <oc r="M66">
      <f>M76+M81+M86+M91+M96+M101+M106+M111+M116+M121+M126</f>
    </oc>
    <nc r="M66">
      <f>M76+M81+M86+M91+M96+M101+M106+M111+M116+M121+M126</f>
    </nc>
  </rcc>
  <rcc rId="8305" sId="18">
    <oc r="N66">
      <f>N76+N81+N86+N91+N96+N101+N106+N111+N116+N121+N126</f>
    </oc>
    <nc r="N66">
      <f>N76+N81+N86+N91+N96+N101+N106+N111+N116+N121+N126</f>
    </nc>
  </rcc>
  <rcc rId="8306" sId="18">
    <oc r="O66">
      <f>O76+O81+O86+O91+O96+O101+O106+O111+O116+O121+O126</f>
    </oc>
    <nc r="O66">
      <f>O76+O81+O86+O91+O96+O101+O106+O111+O116+O121+O126</f>
    </nc>
  </rcc>
  <rcc rId="8307" sId="18">
    <oc r="P66">
      <f>P76+P81+P86+P91+P96+P101+P106+P111+P116+P121+P126</f>
    </oc>
    <nc r="P66">
      <f>P76+P81+P86+P91+P96+P101+P106+P111+P116+P121+P126</f>
    </nc>
  </rcc>
  <rcc rId="8308" sId="18">
    <oc r="Q66">
      <f>Q76+Q81+Q86+Q91+Q96+Q101+Q106+Q111+Q116+Q121+Q126</f>
    </oc>
    <nc r="Q66">
      <f>Q76+Q81+Q86+Q91+Q96+Q101+Q106+Q111+Q116+Q121+Q126</f>
    </nc>
  </rcc>
  <rcc rId="8309" sId="18" odxf="1" dxf="1">
    <oc r="F66">
      <f>IFERROR(E66/B66*100,0)</f>
    </oc>
    <nc r="F66">
      <f>IFERROR(E66/B66*100,0)</f>
    </nc>
    <ndxf>
      <protection locked="1"/>
    </ndxf>
  </rcc>
  <rcc rId="8310" sId="18" odxf="1" dxf="1">
    <oc r="G66">
      <f>IFERROR(E66/C66*100,0)</f>
    </oc>
    <nc r="G66">
      <f>IFERROR(E66/C66*100,0)</f>
    </nc>
    <ndxf>
      <protection locked="1"/>
    </ndxf>
  </rcc>
  <rfmt sheetId="18" sqref="B147:AE148">
    <dxf>
      <fill>
        <patternFill patternType="none">
          <bgColor auto="1"/>
        </patternFill>
      </fill>
    </dxf>
  </rfmt>
  <rcc rId="8311" sId="18">
    <oc r="C148">
      <f>C152+C156</f>
    </oc>
    <nc r="C148">
      <f>C152+C156</f>
    </nc>
  </rcc>
</revisions>
</file>

<file path=xl/revisions/revisionLog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312" sId="22">
    <oc r="AF20" t="inlineStr">
      <is>
        <t xml:space="preserve">1.Муниципальный контракт №0187300013724000020 от 25.03.2024 на выполнение работ по строительству объекта благоустройства "Этнодеревня в городе Когалыме" 3 этап:
- цена контракта 21 952,37 тыс.рублей;
- срок выполнения работ: 01.08.2024 г.
- внесены изменения в существенные условия контракта, в части установления аванса в размере 45% от цены контракта, перечислен аванс в сумме 9 878, 57 тыс.руб. (45%), </t>
      </is>
    </oc>
    <nc r="AF20" t="inlineStr">
      <is>
        <t>1.Муниципальный контракт №0187300013724000020 от 25.03.2024 на выполнение работ по строительству объекта благоустройства "Этнодеревня в городе Когалыме" 3 этап:
- цена контракта 21 952,37 тыс.рублей;
- срок выполнения работ: 01.08.2024 г.
- внесены изменения в существенные условия контракта, в части установления аванса в размере 45% от цены контракта, перечислен аванс в сумме 9 878, 57 тыс.руб. (45%),                                                                                                               2.На основании решения Думы города Когалыма от 19.06.2024 № 410-ГД перераспределения экономии ПА сложившейся по результатам проведения электронного аукциона в сумме - 35,8 тыс.руб.</t>
      </is>
    </nc>
  </rcc>
  <rm rId="8313" sheetId="22" source="AF27" destination="AF30" sourceSheetId="22">
    <rfmt sheetId="22" s="1" sqref="AF30" start="0" length="0">
      <dxf>
        <font>
          <sz val="12"/>
          <color auto="1"/>
          <name val="Times New Roman"/>
          <scheme val="none"/>
        </font>
        <fill>
          <patternFill patternType="solid">
            <bgColor theme="0"/>
          </patternFill>
        </fill>
        <alignment horizontal="left" vertical="top" wrapText="1" readingOrder="0"/>
        <border outline="0">
          <left style="thin">
            <color indexed="64"/>
          </left>
          <right style="thin">
            <color indexed="64"/>
          </right>
        </border>
      </dxf>
    </rfmt>
  </rm>
  <rm rId="8314" sheetId="22" source="AF30" destination="AF27" sourceSheetId="22">
    <rfmt sheetId="22" s="1" sqref="AF27" start="0" length="0">
      <dxf>
        <font>
          <sz val="12"/>
          <color theme="1"/>
          <name val="Calibri"/>
          <scheme val="minor"/>
        </font>
      </dxf>
    </rfmt>
  </rm>
  <rcc rId="8315" sId="22">
    <oc r="AF48" t="inlineStr">
      <is>
        <t xml:space="preserve"> 1. Муниципальный контракт № 117/2023 от 15.12.2023 на поставку и монтаж светильников объекта благоустройства "Литературный сквер в городе Когалыме"
-цена контракта 580,00 тыс.руб; (произведена частичная оплата за фактически поставленные и установленные светильники в размере 348,0 тыс.руб. в 2023 году)
-срок поставки и монтажа:22.12.2023;
-работы выполнены и оплачены в полном объеме.
2. Договор № Т2/24/0007-ДТП от 16.05.2024 на Осуществление технологического присоединения к электрическим сетям (Архитектурная композиция "Термометр").
- цена контракта 43,55 тыс.руб.;  перечислен аванс в сумме 34,84 тыс.руб. (80%), 
- срлк выполнения работ: 01.12.2024 г.
-ведется выполнение работ.
</t>
      </is>
    </oc>
    <nc r="AF48" t="inlineStr">
      <is>
        <t xml:space="preserve"> 1. Муниципальный контракт № 117/2023 от 15.12.2023 на поставку и монтаж светильников объекта благоустройства "Литературный сквер в городе Когалыме"
-цена контракта 580,00 тыс.руб; (произведена частичная оплата за фактически поставленные и установленные светильники в размере 348,0 тыс.руб. в 2023 году)
-срок поставки и монтажа:22.12.2023;
-работы выполнены и оплачены в полном объеме.
2. Договор № Т2/24/0007-ДТП от 16.05.2024 на Осуществление технологического присоединения к электрическим сетям (Архитектурная композиция "Термометр").
- цена контракта 43,55 тыс.руб.;  перечислен аванс в сумме 34,84 тыс.руб. (80%), 
- срлк выполнения работ: 01.12.2024 г.
-ведется выполнение работ.
3.На основании решения Думы города Когалыма от 19.06.2024 № 410-ГД выделены ПА, в размере 15536,0 тыс.руб. - средства посоглашению с ПАО "Лукойл"</t>
      </is>
    </nc>
  </rcc>
  <rcc rId="8316" sId="22">
    <oc r="AF62" t="inlineStr">
      <is>
        <t>Муниципальный контракт № 0187300013724000088 от 24.05.2024 на выполнение проектно-изыскательских работ для строительства объекта благоустройства "Экотропа в городе Когалыме".
- цена контракта: 799,07 тыс.руб.;
- срок выполнения работ: 01.08.2024 г.
- ведется выполнение работ.</t>
      </is>
    </oc>
    <nc r="AF62" t="inlineStr">
      <is>
        <t>1.Муниципальный контракт № 0187300013724000088 от 24.05.2024 на выполнение проектно-изыскательских работ для строительства объекта благоустройства "Экотропа в городе Когалыме".
- цена контракта: 799,07 тыс.руб.;
- срок выполнения работ: 01.08.2024 г.
- ведется выполнение работ.                                                                                          2.На основании решения Думы города Когалыма от 19.06.2024 № 410-ГД перераспределение экономии ПА, сложившейся по результатам проведения электронного аукциона в сумме - 757,9 тыс.руб.</t>
      </is>
    </nc>
  </rcc>
  <rcc rId="8317" sId="22">
    <oc r="AF68" t="inlineStr">
      <is>
        <t>Муниципальный контракт № 46/2024 от 28.06.2024 на Выполнение работ по разработке проектно-сметной документации на строительство объекта благоустройства "Сквер по проезду Солнечному в городе  Когалыме"
- цена контракта:595,00  тыс.руб.;
- срок выполнения работ: 31.07.2024 г.
- ведется выполнение работ.</t>
      </is>
    </oc>
    <nc r="AF68" t="inlineStr">
      <is>
        <t xml:space="preserve">Муниципальный контракт № 46/2024 от 28.06.2024 на Выполнение работ по разработке проектно-сметной документации на строительство объекта благоустройства "Сквер по проезду Солнечному в городе  Когалыме"
- цена контракта:595,00  тыс.руб.;
- срок выполнения работ: 31.07.2024 г.
- ведется выполнение работ.                                                                                       </t>
      </is>
    </nc>
  </rcc>
</revisions>
</file>

<file path=xl/revisions/revisionLog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318" sId="11" numFmtId="19">
    <oc r="C7">
      <v>45444</v>
    </oc>
    <nc r="C7">
      <v>45474</v>
    </nc>
  </rcc>
  <rcc rId="8319" sId="11" numFmtId="19">
    <oc r="D7">
      <v>45444</v>
    </oc>
    <nc r="D7">
      <v>45474</v>
    </nc>
  </rcc>
  <rcc rId="8320" sId="11" numFmtId="19">
    <oc r="E7">
      <v>45444</v>
    </oc>
    <nc r="E7">
      <v>45474</v>
    </nc>
  </rcc>
  <rcc rId="8321" sId="11" numFmtId="4">
    <nc r="S55">
      <v>100</v>
    </nc>
  </rcc>
  <rcc rId="8322" sId="11">
    <nc r="S52">
      <f>S55</f>
    </nc>
  </rcc>
  <rcc rId="8323" sId="11" numFmtId="4">
    <nc r="S53">
      <v>0</v>
    </nc>
  </rcc>
  <rcc rId="8324" sId="11" numFmtId="4">
    <nc r="S54">
      <v>0</v>
    </nc>
  </rcc>
  <rcc rId="8325" sId="11" numFmtId="4">
    <nc r="S56">
      <v>0</v>
    </nc>
  </rcc>
  <rcc rId="8326" sId="11">
    <nc r="S51">
      <f>S52</f>
    </nc>
  </rcc>
  <rcc rId="8327" sId="11">
    <nc r="S46">
      <f>S49</f>
    </nc>
  </rcc>
  <rcc rId="8328" sId="11">
    <nc r="S45">
      <f>S46</f>
    </nc>
  </rcc>
  <rcc rId="8329" sId="11">
    <oc r="C55">
      <f>H55+J55+L55+N55+P55</f>
    </oc>
    <nc r="C55">
      <f>H55+J55+L55+N55+P55+R55</f>
    </nc>
  </rcc>
  <rcc rId="8330" sId="11">
    <oc r="E55">
      <f>I55+K55+M55+O55+Q55</f>
    </oc>
    <nc r="E55">
      <f>I55+K55+M55+O55+Q55+S55</f>
    </nc>
  </rcc>
  <rfmt sheetId="11" sqref="S58:S62">
    <dxf>
      <fill>
        <patternFill>
          <bgColor rgb="FFFF0000"/>
        </patternFill>
      </fill>
    </dxf>
  </rfmt>
  <rcc rId="8331" sId="11" numFmtId="4">
    <nc r="R74">
      <v>0</v>
    </nc>
  </rcc>
  <rcc rId="8332" sId="11" numFmtId="4">
    <nc r="R75">
      <v>0</v>
    </nc>
  </rcc>
  <rcc rId="8333" sId="11" numFmtId="4">
    <nc r="S76">
      <v>469.791</v>
    </nc>
  </rcc>
  <rcc rId="8334" sId="11" numFmtId="4">
    <nc r="S75">
      <v>0</v>
    </nc>
  </rcc>
  <rcc rId="8335" sId="11" numFmtId="4">
    <nc r="S74">
      <v>0</v>
    </nc>
  </rcc>
  <rcc rId="8336" sId="11">
    <nc r="S72">
      <f>S73</f>
    </nc>
  </rcc>
  <rcc rId="8337" sId="11">
    <oc r="E76">
      <f>I76+K76+M76+O76+Q76</f>
    </oc>
    <nc r="E76">
      <f>I76+K76+M76+O76+Q76+S76</f>
    </nc>
  </rcc>
  <rcc rId="8338" sId="11">
    <oc r="C76">
      <f>H76+J76+L76+N76+P76</f>
    </oc>
    <nc r="C76">
      <f>H76+J76+L76+N76+P76+R76</f>
    </nc>
  </rcc>
  <rcc rId="8339" sId="11" numFmtId="4">
    <nc r="S83">
      <v>246.28899999999999</v>
    </nc>
  </rcc>
  <rcc rId="8340" sId="11" numFmtId="4">
    <nc r="R82">
      <v>0</v>
    </nc>
  </rcc>
  <rcc rId="8341" sId="11" numFmtId="4">
    <nc r="R81">
      <v>0</v>
    </nc>
  </rcc>
  <rcc rId="8342" sId="11" numFmtId="4">
    <nc r="S81">
      <v>0</v>
    </nc>
  </rcc>
  <rcc rId="8343" sId="11" numFmtId="4">
    <nc r="S82">
      <v>0</v>
    </nc>
  </rcc>
  <rcc rId="8344" sId="11">
    <nc r="S80">
      <f>S83+S84</f>
    </nc>
  </rcc>
  <rcc rId="8345" sId="11" numFmtId="4">
    <nc r="R85">
      <v>0</v>
    </nc>
  </rcc>
  <rcc rId="8346" sId="11" numFmtId="4">
    <nc r="S85">
      <v>0</v>
    </nc>
  </rcc>
  <rcc rId="8347" sId="11">
    <oc r="E83">
      <f>I83+K83+M83+O83+Q83</f>
    </oc>
    <nc r="E83">
      <f>I83+K83+M83+O83+Q83+S83</f>
    </nc>
  </rcc>
  <rcc rId="8348" sId="11">
    <oc r="C83">
      <f>H83+J83+L83+N83+P83</f>
    </oc>
    <nc r="C83">
      <f>H83+J83+L83+N83+P83+R83</f>
    </nc>
  </rcc>
  <rcc rId="8349" sId="11" numFmtId="4">
    <nc r="S90">
      <v>1995.915</v>
    </nc>
  </rcc>
  <rcc rId="8350" sId="11" numFmtId="4">
    <nc r="R89">
      <v>0</v>
    </nc>
  </rcc>
  <rcc rId="8351" sId="11" numFmtId="4">
    <nc r="R88">
      <v>0</v>
    </nc>
  </rcc>
  <rcc rId="8352" sId="11" numFmtId="4">
    <nc r="R92">
      <v>0</v>
    </nc>
  </rcc>
  <rcc rId="8353" sId="11">
    <nc r="S92" t="inlineStr">
      <is>
        <t>0.00</t>
      </is>
    </nc>
  </rcc>
  <rcc rId="8354" sId="11" numFmtId="4">
    <nc r="S89">
      <v>0</v>
    </nc>
  </rcc>
  <rcc rId="8355" sId="11" numFmtId="4">
    <nc r="S88">
      <v>0</v>
    </nc>
  </rcc>
  <rcc rId="8356" sId="11">
    <nc r="S87">
      <f>S90+S91</f>
    </nc>
  </rcc>
  <rcc rId="8357" sId="11">
    <oc r="E90">
      <f>I90+K90+M90+O90+Q90</f>
    </oc>
    <nc r="E90">
      <f>I90+K90+M90+O90+Q90+S90</f>
    </nc>
  </rcc>
  <rcc rId="8358" sId="11">
    <oc r="C90">
      <f>H90+J90+L90+N90+P90</f>
    </oc>
    <nc r="C90">
      <f>H90+J90+L90+N90+P90+R90</f>
    </nc>
  </rcc>
</revisions>
</file>

<file path=xl/revisions/revisionLog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359" sId="11">
    <nc r="S57">
      <f>S58</f>
    </nc>
  </rcc>
  <rcc rId="8360" sId="11">
    <oc r="E61">
      <f>I61+K61+M61+O61+Q61</f>
    </oc>
    <nc r="E61">
      <f>I61+K61+M61+O61+Q61+S61</f>
    </nc>
  </rcc>
  <rcc rId="8361" sId="11">
    <oc r="C61">
      <f>H61+J61+L61+N61+P61</f>
    </oc>
    <nc r="C61">
      <f>H61+J61+L61+N61+P61+R61</f>
    </nc>
  </rcc>
  <rcc rId="8362" sId="11" odxf="1" dxf="1">
    <nc r="S58">
      <f>S61</f>
    </nc>
    <ndxf>
      <fill>
        <patternFill>
          <bgColor theme="0"/>
        </patternFill>
      </fill>
    </ndxf>
  </rcc>
  <rcc rId="8363" sId="11" odxf="1" dxf="1" numFmtId="4">
    <nc r="S59">
      <v>0</v>
    </nc>
    <ndxf>
      <font>
        <b/>
        <sz val="14"/>
        <name val="Times New Roman"/>
        <scheme val="none"/>
      </font>
      <fill>
        <patternFill>
          <bgColor theme="0"/>
        </patternFill>
      </fill>
    </ndxf>
  </rcc>
  <rcc rId="8364" sId="11" odxf="1" dxf="1" numFmtId="4">
    <nc r="S60">
      <v>0</v>
    </nc>
    <ndxf>
      <font>
        <b/>
        <sz val="14"/>
        <name val="Times New Roman"/>
        <scheme val="none"/>
      </font>
      <fill>
        <patternFill>
          <bgColor theme="0"/>
        </patternFill>
      </fill>
    </ndxf>
  </rcc>
  <rcc rId="8365" sId="11" odxf="1" dxf="1" numFmtId="4">
    <nc r="S61">
      <v>1479</v>
    </nc>
    <ndxf>
      <font>
        <b/>
        <sz val="14"/>
        <name val="Times New Roman"/>
        <scheme val="none"/>
      </font>
      <fill>
        <patternFill>
          <bgColor theme="0"/>
        </patternFill>
      </fill>
    </ndxf>
  </rcc>
  <rcc rId="8366" sId="11" odxf="1" dxf="1" numFmtId="4">
    <nc r="S62">
      <v>0</v>
    </nc>
    <ndxf>
      <font>
        <b/>
        <sz val="14"/>
        <name val="Times New Roman"/>
        <scheme val="none"/>
      </font>
      <fill>
        <patternFill>
          <bgColor theme="0"/>
        </patternFill>
      </fill>
    </ndxf>
  </rcc>
  <rcc rId="8367" sId="11" numFmtId="4">
    <nc r="R19">
      <v>0</v>
    </nc>
  </rcc>
  <rcc rId="8368" sId="11" numFmtId="4">
    <nc r="S19">
      <v>0</v>
    </nc>
  </rcc>
  <rcc rId="8369" sId="11" numFmtId="4">
    <nc r="T19">
      <v>0</v>
    </nc>
  </rcc>
  <rcc rId="8370" sId="11" numFmtId="4">
    <nc r="R20">
      <v>0</v>
    </nc>
  </rcc>
  <rcc rId="8371" sId="11" numFmtId="4">
    <nc r="S20">
      <v>0</v>
    </nc>
  </rcc>
  <rcc rId="8372" sId="11" numFmtId="4">
    <nc r="T20">
      <v>0</v>
    </nc>
  </rcc>
  <rcc rId="8373" sId="11" numFmtId="4">
    <nc r="R21">
      <v>0</v>
    </nc>
  </rcc>
  <rcc rId="8374" sId="11" numFmtId="4">
    <nc r="S21">
      <v>0</v>
    </nc>
  </rcc>
  <rcc rId="8375" sId="11" numFmtId="4">
    <nc r="T21">
      <v>0</v>
    </nc>
  </rcc>
  <rcc rId="8376" sId="11" numFmtId="4">
    <nc r="R22">
      <v>0</v>
    </nc>
  </rcc>
  <rcc rId="8377" sId="11" numFmtId="4">
    <nc r="S22">
      <v>0</v>
    </nc>
  </rcc>
  <rcc rId="8378" sId="11" numFmtId="4">
    <nc r="T22">
      <v>0</v>
    </nc>
  </rcc>
  <rcc rId="8379" sId="11" numFmtId="4">
    <nc r="S18">
      <v>0</v>
    </nc>
  </rcc>
  <rcc rId="8380" sId="11" numFmtId="4">
    <nc r="S12">
      <v>0</v>
    </nc>
  </rcc>
  <rcc rId="8381" sId="11" numFmtId="4">
    <nc r="S11">
      <v>0</v>
    </nc>
  </rcc>
  <rcc rId="8382" sId="11">
    <nc r="R33">
      <f>P33</f>
    </nc>
  </rcc>
  <rcc rId="8383" sId="11">
    <nc r="S33">
      <f>Q33</f>
    </nc>
  </rcc>
  <rcc rId="8384" sId="11">
    <nc r="R34">
      <f>P34</f>
    </nc>
  </rcc>
  <rcc rId="8385" sId="11">
    <nc r="S34">
      <f>Q34</f>
    </nc>
  </rcc>
  <rcc rId="8386" sId="11">
    <nc r="R35">
      <f>P35</f>
    </nc>
  </rcc>
  <rcc rId="8387" sId="11">
    <nc r="S35">
      <f>Q35</f>
    </nc>
  </rcc>
  <rcc rId="8388" sId="11">
    <nc r="R36">
      <f>P36</f>
    </nc>
  </rcc>
  <rcc rId="8389" sId="11">
    <nc r="S36">
      <f>Q36</f>
    </nc>
  </rcc>
  <rcc rId="8390" sId="11" numFmtId="4">
    <nc r="S32">
      <v>0</v>
    </nc>
  </rcc>
  <rcc rId="8391" sId="11" numFmtId="4">
    <nc r="S31">
      <v>0</v>
    </nc>
  </rcc>
  <rcc rId="8392" sId="11">
    <nc r="S37">
      <f>S38</f>
    </nc>
  </rcc>
  <rcc rId="8393" sId="11">
    <nc r="S38">
      <f>S39+S40+S41+S42</f>
    </nc>
  </rcc>
  <rcc rId="8394" sId="11" numFmtId="4">
    <nc r="S39">
      <v>0</v>
    </nc>
  </rcc>
  <rcc rId="8395" sId="11" numFmtId="4">
    <nc r="S40">
      <v>0</v>
    </nc>
  </rcc>
  <rcc rId="8396" sId="11" numFmtId="4">
    <nc r="S41">
      <v>0</v>
    </nc>
  </rcc>
  <rcc rId="8397" sId="11" numFmtId="4">
    <nc r="S42">
      <v>0</v>
    </nc>
  </rcc>
  <rcc rId="8398" sId="11" numFmtId="4">
    <oc r="S71">
      <f>S78+S85+S92</f>
    </oc>
    <nc r="S71">
      <v>0</v>
    </nc>
  </rcc>
  <rcc rId="8399" sId="11">
    <nc r="S66">
      <f>S67+S68+S69+S71</f>
    </nc>
  </rcc>
  <rcc rId="8400" sId="11">
    <nc r="S65">
      <f>S66</f>
    </nc>
  </rcc>
  <rcc rId="8401" sId="11" numFmtId="4">
    <nc r="R78">
      <v>0</v>
    </nc>
  </rcc>
  <rcc rId="8402" sId="11" numFmtId="4">
    <nc r="S78">
      <v>0</v>
    </nc>
  </rcc>
  <rcc rId="8403" sId="11">
    <nc r="S93">
      <f>S94+S95+S96+S98</f>
    </nc>
  </rcc>
  <rcc rId="8404" sId="11">
    <nc r="S99">
      <f>S102</f>
    </nc>
  </rcc>
  <rcc rId="8405" sId="11" numFmtId="4">
    <nc r="AF102">
      <v>4165.1499999999996</v>
    </nc>
  </rcc>
  <rcc rId="8406" sId="11">
    <oc r="AF51" t="inlineStr">
      <is>
        <t>Расхождение плановых средств по п.3.1.1. от фактических расходов составляет 100,16 тыс.руб. сложилось ввиду оплаты, согласно счетов по  фактически оказаному объему услуг.</t>
      </is>
    </oc>
    <nc r="AF51" t="inlineStr">
      <is>
        <t>Расхождение плановых средств по п.3.1.1. от фактических расходов составляет 144,36 тыс.руб. сложилось ввиду оплаты, согласно счетов по  фактически оказаному объему услуг.</t>
      </is>
    </nc>
  </rcc>
</revisions>
</file>

<file path=xl/revisions/revisionLog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407" sId="18" xfDxf="1" s="1" dxf="1">
    <nc r="AF48" t="inlineStr">
      <is>
        <t>Финансовая поддержка предоставлена 3 субъектам предпринимательской деятельности. На оставшийся объем финансирования объявлен дополнительный приём заявок (срок приёма с 09.07 по 19.07.2024).</t>
      </is>
    </nc>
    <ndxf>
      <font>
        <b/>
        <i val="0"/>
        <strike val="0"/>
        <condense val="0"/>
        <extend val="0"/>
        <outline val="0"/>
        <shadow val="0"/>
        <u val="none"/>
        <vertAlign val="baseline"/>
        <sz val="14"/>
        <color auto="1"/>
        <name val="Times New Roman"/>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ndxf>
  </rcc>
  <rfmt sheetId="18" sqref="AF48" start="0" length="2147483647">
    <dxf>
      <font>
        <b val="0"/>
      </font>
    </dxf>
  </rfmt>
  <rcc rId="8408" sId="18">
    <nc r="AF73" t="inlineStr">
      <is>
        <t>17 субъектов предпринимательской деятельности стали получателями финансовой поддержки по данному мероприятию</t>
      </is>
    </nc>
  </rcc>
  <rfmt sheetId="18" sqref="AF73" start="0" length="2147483647">
    <dxf>
      <font>
        <b val="0"/>
      </font>
    </dxf>
  </rfmt>
  <rcc rId="8409" sId="18">
    <nc r="AF78" t="inlineStr">
      <is>
        <t>8 субъектов предпринимательской деятельности стали получателями финансовой поддержки по данному мероприятию</t>
      </is>
    </nc>
  </rcc>
  <rfmt sheetId="18" sqref="AF78" start="0" length="2147483647">
    <dxf>
      <font>
        <b val="0"/>
      </font>
    </dxf>
  </rfmt>
  <rcc rId="8410" sId="18">
    <nc r="AF83" t="inlineStr">
      <is>
        <t>8 субъектов предпринимательской деятельности стали получателями финансовой поддержки по данному мероприятию</t>
      </is>
    </nc>
  </rcc>
  <rfmt sheetId="18" sqref="AF83" start="0" length="2147483647">
    <dxf>
      <font>
        <b val="0"/>
      </font>
    </dxf>
  </rfmt>
  <rcc rId="8411" sId="18">
    <nc r="AF88" t="inlineStr">
      <is>
        <t>9 субъектов предпринимательской деятельности стали получателями финансовой поддержки по данному мероприятию</t>
      </is>
    </nc>
  </rcc>
  <rfmt sheetId="18" sqref="AF88:AF96" start="0" length="2147483647">
    <dxf>
      <font>
        <b val="0"/>
      </font>
    </dxf>
  </rfmt>
  <rcc rId="8412" sId="18">
    <nc r="AF93" t="inlineStr">
      <is>
        <t>16 субъектов предпринимательской деятельности стали получателями финансовой поддержки по данному мероприятию</t>
      </is>
    </nc>
  </rcc>
  <rcc rId="8413" sId="18">
    <nc r="AF103" t="inlineStr">
      <is>
        <t>4 субъекта предпринимательской деятельности стали получателями финансовой поддержки по данному мероприятию.
На оставшийся объем финансирования (504 724 руб)  объявлен дополнительный приём заявок (срок приёма с 09.07 по 19.07.2024).</t>
      </is>
    </nc>
  </rcc>
  <rfmt sheetId="18" sqref="AF103" start="0" length="2147483647">
    <dxf>
      <font>
        <b val="0"/>
      </font>
    </dxf>
  </rfmt>
  <rcc rId="8414" sId="18">
    <nc r="AF108" t="inlineStr">
      <is>
        <t xml:space="preserve">26.06.2024 комиссией по рассмотрению заявок участников отбора на получение грантов в форме субсидий субъектам МСП принято решение о предоставлении 2-х грантов в размере 500 тыс. рублей каждый для реализацииследующих проектв:
- ИП Богдановой О.В. «Туристический центр «Йети»;
- ИП Дёмина О. Н. «Логопедический центр «Кубик» 
(перечисление денежных средств в июле 2024 года). </t>
      </is>
    </nc>
  </rcc>
  <rfmt sheetId="18" sqref="AF108" start="0" length="2147483647">
    <dxf>
      <font>
        <b val="0"/>
      </font>
    </dxf>
  </rfmt>
  <rcc rId="8415" sId="18">
    <nc r="AF113" t="inlineStr">
      <is>
        <t xml:space="preserve">26.06.2024 комиссией по рассмотрению заявок участников отбора на получение грантов в форме субсидий субъектам МСП принято решение о предоставлении 2-х грантов в размере 300 тыс. рублей каждый для реализацииследующих проектв:
- ИП Фаритов Р.Ф. «Проведение интеллектуально-развлекательных игр»;
- ИП Зырянов М. И.
«Прокат детских электромобилей»
(перечисление денежных средств в июле 2024 года). </t>
      </is>
    </nc>
  </rcc>
  <rfmt sheetId="18" sqref="AF113" start="0" length="2147483647">
    <dxf>
      <font>
        <b val="0"/>
      </font>
    </dxf>
  </rfmt>
  <rcc rId="8416" sId="18">
    <nc r="AF118" t="inlineStr">
      <is>
        <t xml:space="preserve">26.06.2024 комиссией по рассмотрению заявок участников отбора на получение грантов в форме субсидий субъектам МСП принято решение о предоставлении гранта в размере 600 тыс. рублей для реализации следующего  проека:
- ИП Голуб К.А. «Собственное производство одежды. Создание и реализация бренда в г. Когалыме"
(перечисление денежных средств в июле 2024 года). </t>
      </is>
    </nc>
  </rcc>
  <rfmt sheetId="18" sqref="AF118" start="0" length="2147483647">
    <dxf>
      <font>
        <b val="0"/>
      </font>
    </dxf>
  </rfmt>
  <rcc rId="8417" sId="18">
    <nc r="AF123" t="inlineStr">
      <is>
        <t>1 субъект предпринимательской деятельности стал получателем финансовой поддержки по данному мероприятию.
На оставшийся объем финансирования (85 600 руб)  объявлен дополнительный приём заявок (срок приёма с 09.07 по 19.07.2024).</t>
      </is>
    </nc>
  </rcc>
  <rfmt sheetId="18" sqref="AF123" start="0" length="2147483647">
    <dxf>
      <font>
        <b val="0"/>
      </font>
    </dxf>
  </rfmt>
  <rcv guid="{602C8EDB-B9EF-4C85-B0D5-0558C3A0ABAB}" action="delete"/>
  <rdn rId="0" localSheetId="2" customView="1" name="Z_602C8EDB_B9EF_4C85_B0D5_0558C3A0ABAB_.wvu.Rows" hidden="1" oldHidden="1">
    <formula>'1.СЗН'!$69:$73</formula>
    <oldFormula>'1.СЗН'!$69:$73</oldFormula>
  </rdn>
  <rdn rId="0" localSheetId="2" customView="1" name="Z_602C8EDB_B9EF_4C85_B0D5_0558C3A0ABAB_.wvu.FilterData" hidden="1" oldHidden="1">
    <formula>'1.СЗН'!$A$1:$AF$63</formula>
    <oldFormula>'1.СЗН'!$A$1:$AF$63</oldFormula>
  </rdn>
  <rdn rId="0" localSheetId="3" customView="1" name="Z_602C8EDB_B9EF_4C85_B0D5_0558C3A0ABAB_.wvu.FilterData" hidden="1" oldHidden="1">
    <formula>'2.АПК'!$A$1:$AF$36</formula>
    <oldFormula>'2.АПК'!$A$1:$AF$36</oldFormula>
  </rdn>
  <rdn rId="0" localSheetId="4" customView="1" name="Z_602C8EDB_B9EF_4C85_B0D5_0558C3A0ABAB_.wvu.FilterData" hidden="1" oldHidden="1">
    <formula>'3.БЖД'!$A$1:$AF$17</formula>
    <oldFormula>'3.БЖД'!$A$1:$AF$17</oldFormula>
  </rdn>
  <rdn rId="0" localSheetId="5" customView="1" name="Z_602C8EDB_B9EF_4C85_B0D5_0558C3A0ABAB_.wvu.FilterData" hidden="1" oldHidden="1">
    <formula>'4.УМИ'!$A$1:$AF$11</formula>
    <oldFormula>'4.УМИ'!$A$1:$AF$11</oldFormula>
  </rdn>
  <rdn rId="0" localSheetId="6" customView="1" name="Z_602C8EDB_B9EF_4C85_B0D5_0558C3A0ABAB_.wvu.FilterData" hidden="1" oldHidden="1">
    <formula>'5.Проф. прав.'!$A$1:$AF$12</formula>
    <oldFormula>'5.Проф. прав.'!$A$1:$AF$12</oldFormula>
  </rdn>
  <rdn rId="0" localSheetId="7" customView="1" name="Z_602C8EDB_B9EF_4C85_B0D5_0558C3A0ABAB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602C8EDB_B9EF_4C85_B0D5_0558C3A0ABAB_.wvu.FilterData" hidden="1" oldHidden="1">
    <formula>'6.Экстримизм'!$A$1:$AF$11</formula>
    <oldFormula>'6.Экстримизм'!$A$1:$AF$11</oldFormula>
  </rdn>
  <rdn rId="0" localSheetId="14" customView="1" name="Z_602C8EDB_B9EF_4C85_B0D5_0558C3A0ABAB_.wvu.FilterData" hidden="1" oldHidden="1">
    <formula>'11.МП РО'!$A$4:$A$380</formula>
    <oldFormula>'11.МП РО'!$A$4:$A$380</oldFormula>
  </rdn>
  <rdn rId="0" localSheetId="17" customView="1" name="Z_602C8EDB_B9EF_4C85_B0D5_0558C3A0ABAB_.wvu.Rows" hidden="1" oldHidden="1">
    <formula>'13.МП РЖС'!$122:$127</formula>
    <oldFormula>'13.МП РЖС'!$122:$127</oldFormula>
  </rdn>
  <rdn rId="0" localSheetId="17" customView="1" name="Z_602C8EDB_B9EF_4C85_B0D5_0558C3A0ABAB_.wvu.Cols" hidden="1" oldHidden="1">
    <formula>'13.МП РЖС'!$AG:$AG</formula>
    <oldFormula>'13.МП РЖС'!$AG:$AG</oldFormula>
  </rdn>
  <rcv guid="{602C8EDB-B9EF-4C85-B0D5-0558C3A0ABAB}" action="add"/>
</revisions>
</file>

<file path=xl/revisions/revisionLog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429" sId="11">
    <oc r="AF80" t="inlineStr">
      <is>
        <t>Разница фактических расходов по п.4.1.2. от плановых составляет  224,12 тыс.руб.Расхождение фактических расходов  от плановых сложилось по причине неисполнения по заработной плате и начисленниям по оплате труда, в связи с тем что выплаты денежного поощрения по результам работы за год были выплачены за фактически отработанное время. Кроме того,  по причине досрочной уплаты запланированных на 2024 год страховых взносов в декабре 2023 года.</t>
      </is>
    </oc>
    <nc r="AF80" t="inlineStr">
      <is>
        <t>Разница фактических расходов по п.4.1.2. от плановых составляет  222,88 тыс.руб.Расхождение фактических расходов  от плановых сложилось по причине неисполнения по заработной плате и начисленниям по оплате труда, в связи с тем что выплаты денежного поощрения по результам работы за год были выплачены за фактически отработанное время. Кроме того,  по причине досрочной уплаты запланированных на 2024 год страховых взносов в декабре 2023 года.</t>
      </is>
    </nc>
  </rcc>
  <rfmt sheetId="11" sqref="B90:AB90">
    <dxf>
      <fill>
        <patternFill patternType="solid">
          <bgColor rgb="FFFFFF00"/>
        </patternFill>
      </fill>
    </dxf>
  </rfmt>
  <rcc rId="8430" sId="11" numFmtId="4">
    <oc r="AD90">
      <v>945.64499999999998</v>
    </oc>
    <nc r="AD90">
      <v>1078.7750000000001</v>
    </nc>
  </rcc>
  <rfmt sheetId="11" sqref="C90:D90" start="0" length="2147483647">
    <dxf>
      <font>
        <color rgb="FFFF0000"/>
      </font>
    </dxf>
  </rfmt>
  <rfmt sheetId="11" sqref="C90:D90" start="0" length="2147483647">
    <dxf>
      <font/>
    </dxf>
  </rfmt>
  <rfmt sheetId="11" sqref="C90:D90">
    <dxf>
      <fill>
        <patternFill>
          <bgColor rgb="FFFF0000"/>
        </patternFill>
      </fill>
    </dxf>
  </rfmt>
  <rfmt sheetId="11" sqref="C90:D90" start="0" length="2147483647">
    <dxf>
      <font>
        <color auto="1"/>
      </font>
    </dxf>
  </rfmt>
  <rcc rId="8431" sId="11">
    <oc r="AF90" t="inlineStr">
      <is>
        <t>Расхождение фактических расходов по п.4.1.3. от плановых составляет  988,49 тыс.руб. сложилось по причине неисполнения по заработной платы и начисленниям по оплате труда, в связи с тем, что выплаты денежного поощрения по результам работы  выплачены за фактически отработанное время. Кроме того,  по причине досрочной уплаты запланированных на 2024 год страховых взносов в декабре 2023 года.</t>
      </is>
    </oc>
    <nc r="AF90" t="inlineStr">
      <is>
        <t>Расхождение фактических расходов по п.4.1.3. от плановых составляет  497,94 тыс.руб. сложилось по причине неисполнения по заработной платы и начисленниям по оплате труда, в связи с тем, что выплаты денежного поощрения по результам работы  выплачены за фактически отработанное время. Кроме того,  по причине досрочной уплаты запланированных на 2024 год страховых взносов в декабре 2023 года.</t>
      </is>
    </nc>
  </rcc>
  <rcc rId="8432" sId="11" odxf="1" dxf="1">
    <oc r="B90">
      <f>H90+J90+L90+N90+P90+R90+T90+V90+X90+Z90+AB90+AD90</f>
    </oc>
    <nc r="B90">
      <f>H90+J90+L90+N90+P90+R90+T90+V90+X90+Z90+AB90+AD90</f>
    </nc>
    <odxf>
      <fill>
        <patternFill>
          <bgColor rgb="FFFFFF00"/>
        </patternFill>
      </fill>
      <border outline="0">
        <right/>
      </border>
      <protection hidden="1"/>
    </odxf>
    <ndxf>
      <fill>
        <patternFill>
          <bgColor theme="0"/>
        </patternFill>
      </fill>
      <border outline="0">
        <right style="thin">
          <color indexed="64"/>
        </right>
      </border>
      <protection hidden="0"/>
    </ndxf>
  </rcc>
  <rcc rId="8433" sId="11" odxf="1" dxf="1">
    <oc r="C90">
      <f>H90+J90+L90+N90+P90+R90</f>
    </oc>
    <nc r="C90">
      <f>H90+J90+L90+N90+P90+R90</f>
    </nc>
    <odxf>
      <fill>
        <patternFill>
          <bgColor rgb="FFFF0000"/>
        </patternFill>
      </fill>
      <border outline="0">
        <right/>
      </border>
      <protection hidden="1"/>
    </odxf>
    <ndxf>
      <fill>
        <patternFill>
          <bgColor theme="0"/>
        </patternFill>
      </fill>
      <border outline="0">
        <right style="thin">
          <color indexed="64"/>
        </right>
      </border>
      <protection hidden="0"/>
    </ndxf>
  </rcc>
  <rcc rId="8434" sId="11" odxf="1" dxf="1">
    <oc r="D90">
      <f>E90</f>
    </oc>
    <nc r="D90">
      <f>E90</f>
    </nc>
    <odxf>
      <fill>
        <patternFill>
          <bgColor rgb="FFFF0000"/>
        </patternFill>
      </fill>
      <border outline="0">
        <right/>
      </border>
    </odxf>
    <ndxf>
      <fill>
        <patternFill>
          <bgColor theme="0"/>
        </patternFill>
      </fill>
      <border outline="0">
        <right style="thin">
          <color indexed="64"/>
        </right>
      </border>
    </ndxf>
  </rcc>
  <rcc rId="8435" sId="11" odxf="1" dxf="1">
    <oc r="E90">
      <f>I90+K90+M90+O90+Q90+S90</f>
    </oc>
    <nc r="E90">
      <f>I90+K90+M90+O90+Q90+S90</f>
    </nc>
    <odxf>
      <fill>
        <patternFill>
          <bgColor rgb="FFFFFF00"/>
        </patternFill>
      </fill>
      <border outline="0">
        <right/>
      </border>
      <protection hidden="1"/>
    </odxf>
    <ndxf>
      <fill>
        <patternFill>
          <bgColor theme="0"/>
        </patternFill>
      </fill>
      <border outline="0">
        <right style="thin">
          <color indexed="64"/>
        </right>
      </border>
      <protection hidden="0"/>
    </ndxf>
  </rcc>
  <rcc rId="8436" sId="11" odxf="1" dxf="1">
    <oc r="F90">
      <f>E90/B90*100</f>
    </oc>
    <nc r="F90">
      <f>E90/B90*100</f>
    </nc>
    <odxf>
      <fill>
        <patternFill>
          <bgColor rgb="FFFFFF00"/>
        </patternFill>
      </fill>
    </odxf>
    <ndxf>
      <fill>
        <patternFill>
          <bgColor theme="0"/>
        </patternFill>
      </fill>
    </ndxf>
  </rcc>
  <rcc rId="8437" sId="11" odxf="1" dxf="1">
    <oc r="G90">
      <f>E90/C90*100</f>
    </oc>
    <nc r="G90">
      <f>E90/C90*100</f>
    </nc>
    <odxf>
      <fill>
        <patternFill>
          <bgColor rgb="FFFFFF00"/>
        </patternFill>
      </fill>
    </odxf>
    <ndxf>
      <fill>
        <patternFill>
          <bgColor theme="0"/>
        </patternFill>
      </fill>
    </ndxf>
  </rcc>
  <rfmt sheetId="11" sqref="H90" start="0" length="0">
    <dxf>
      <fill>
        <patternFill>
          <bgColor theme="0"/>
        </patternFill>
      </fill>
    </dxf>
  </rfmt>
  <rfmt sheetId="11" sqref="I90" start="0" length="0">
    <dxf>
      <fill>
        <patternFill>
          <bgColor theme="0"/>
        </patternFill>
      </fill>
    </dxf>
  </rfmt>
  <rfmt sheetId="11" sqref="J90" start="0" length="0">
    <dxf>
      <fill>
        <patternFill>
          <bgColor theme="0"/>
        </patternFill>
      </fill>
    </dxf>
  </rfmt>
  <rfmt sheetId="11" sqref="K90" start="0" length="0">
    <dxf>
      <fill>
        <patternFill>
          <bgColor theme="0"/>
        </patternFill>
      </fill>
    </dxf>
  </rfmt>
  <rcc rId="8438" sId="11" odxf="1" dxf="1" numFmtId="4">
    <oc r="L90">
      <v>1102.0650000000001</v>
    </oc>
    <nc r="L90">
      <v>1148.2139999999999</v>
    </nc>
    <ndxf>
      <fill>
        <patternFill>
          <bgColor theme="0"/>
        </patternFill>
      </fill>
    </ndxf>
  </rcc>
  <rfmt sheetId="11" sqref="M90" start="0" length="0">
    <dxf>
      <fill>
        <patternFill>
          <bgColor theme="0"/>
        </patternFill>
      </fill>
    </dxf>
  </rfmt>
  <rcc rId="8439" sId="11" odxf="1" dxf="1" numFmtId="4">
    <oc r="N90">
      <v>1614.24</v>
    </oc>
    <nc r="N90">
      <v>1720.4749999999999</v>
    </nc>
    <ndxf>
      <fill>
        <patternFill>
          <bgColor theme="0"/>
        </patternFill>
      </fill>
    </ndxf>
  </rcc>
  <rfmt sheetId="11" sqref="O90" start="0" length="0">
    <dxf>
      <fill>
        <patternFill>
          <bgColor theme="0"/>
        </patternFill>
      </fill>
    </dxf>
  </rfmt>
  <rcc rId="8440" sId="11" odxf="1" dxf="1" numFmtId="4">
    <oc r="P90">
      <v>1293.442</v>
    </oc>
    <nc r="P90">
      <v>1925.296</v>
    </nc>
    <ndxf>
      <fill>
        <patternFill>
          <bgColor theme="0"/>
        </patternFill>
      </fill>
    </ndxf>
  </rcc>
  <rfmt sheetId="11" sqref="Q90" start="0" length="0">
    <dxf>
      <fill>
        <patternFill>
          <bgColor theme="0"/>
        </patternFill>
      </fill>
    </dxf>
  </rfmt>
  <rcc rId="8441" sId="11" odxf="1" dxf="1" numFmtId="4">
    <oc r="R90">
      <v>1102.0650000000001</v>
    </oc>
    <nc r="R90">
      <v>1222.337</v>
    </nc>
    <ndxf>
      <fill>
        <patternFill>
          <bgColor theme="0"/>
        </patternFill>
      </fill>
    </ndxf>
  </rcc>
  <rfmt sheetId="11" sqref="S90" start="0" length="0">
    <dxf>
      <fill>
        <patternFill>
          <bgColor theme="0"/>
        </patternFill>
      </fill>
    </dxf>
  </rfmt>
  <rcc rId="8442" sId="11" odxf="1" dxf="1" numFmtId="4">
    <oc r="T90">
      <v>1650.94</v>
    </oc>
    <nc r="T90">
      <v>1863.41</v>
    </nc>
    <ndxf>
      <fill>
        <patternFill>
          <bgColor theme="0"/>
        </patternFill>
      </fill>
    </ndxf>
  </rcc>
  <rfmt sheetId="11" sqref="U90" start="0" length="0">
    <dxf>
      <fill>
        <patternFill>
          <bgColor theme="0"/>
        </patternFill>
      </fill>
    </dxf>
  </rfmt>
  <rcc rId="8443" sId="11" odxf="1" dxf="1" numFmtId="4">
    <oc r="V90">
      <v>1256.742</v>
    </oc>
    <nc r="V90">
      <v>1404.788</v>
    </nc>
    <ndxf>
      <fill>
        <patternFill>
          <bgColor theme="0"/>
        </patternFill>
      </fill>
    </ndxf>
  </rcc>
  <rfmt sheetId="11" sqref="W90" start="0" length="0">
    <dxf>
      <fill>
        <patternFill>
          <bgColor theme="0"/>
        </patternFill>
      </fill>
    </dxf>
  </rfmt>
  <rcc rId="8444" sId="11" odxf="1" dxf="1" numFmtId="4">
    <oc r="X90">
      <v>1102.0650000000001</v>
    </oc>
    <nc r="X90">
      <v>1222.2370000000001</v>
    </nc>
    <ndxf>
      <fill>
        <patternFill>
          <bgColor theme="0"/>
        </patternFill>
      </fill>
    </ndxf>
  </rcc>
  <rfmt sheetId="11" sqref="Y90" start="0" length="0">
    <dxf>
      <fill>
        <patternFill>
          <bgColor theme="0"/>
        </patternFill>
      </fill>
    </dxf>
  </rfmt>
  <rcc rId="8445" sId="11" odxf="1" dxf="1" numFmtId="4">
    <oc r="Z90">
      <v>1614.24</v>
    </oc>
    <nc r="Z90">
      <v>1736.258</v>
    </nc>
    <ndxf>
      <fill>
        <patternFill>
          <bgColor theme="0"/>
        </patternFill>
      </fill>
    </ndxf>
  </rcc>
  <rfmt sheetId="11" sqref="AA90" start="0" length="0">
    <dxf>
      <fill>
        <patternFill>
          <bgColor theme="0"/>
        </patternFill>
      </fill>
    </dxf>
  </rfmt>
  <rcc rId="8446" sId="11" odxf="1" dxf="1" numFmtId="4">
    <oc r="AB90">
      <v>1256.742</v>
    </oc>
    <nc r="AB90">
      <v>1453.6780000000001</v>
    </nc>
    <ndxf>
      <fill>
        <patternFill>
          <bgColor theme="0"/>
        </patternFill>
      </fill>
    </ndxf>
  </rcc>
  <rcc rId="8447" sId="11" numFmtId="4">
    <oc r="L76">
      <v>476.78699999999998</v>
    </oc>
    <nc r="L76">
      <v>430.63799999999998</v>
    </nc>
  </rcc>
  <rcc rId="8448" sId="11" numFmtId="4">
    <oc r="N76">
      <v>701.9</v>
    </oc>
    <nc r="N76">
      <v>595.66499999999996</v>
    </nc>
  </rcc>
  <rcc rId="8449" sId="11" numFmtId="4">
    <oc r="P76">
      <v>544.77099999999996</v>
    </oc>
    <nc r="P76">
      <v>500.596</v>
    </nc>
  </rcc>
  <rcc rId="8450" sId="11" numFmtId="4">
    <oc r="R76">
      <v>476.78699999999998</v>
    </oc>
    <nc r="R76">
      <v>356.61500000000001</v>
    </nc>
  </rcc>
  <rcc rId="8451" sId="11" numFmtId="4">
    <oc r="T76">
      <v>701.9</v>
    </oc>
    <nc r="T76">
      <v>489.43</v>
    </nc>
  </rcc>
  <rcc rId="8452" sId="11" numFmtId="4">
    <oc r="V76">
      <v>544.77099999999996</v>
    </oc>
    <nc r="V76">
      <v>396.72500000000002</v>
    </nc>
  </rcc>
  <rcc rId="8453" sId="11" numFmtId="4">
    <oc r="X76">
      <v>476.78699999999998</v>
    </oc>
    <nc r="X76">
      <v>356.61500000000001</v>
    </nc>
  </rcc>
  <rcc rId="8454" sId="11" numFmtId="4">
    <oc r="Z76">
      <v>701.90200000000004</v>
    </oc>
    <nc r="Z76">
      <v>579.88400000000001</v>
    </nc>
  </rcc>
  <rcc rId="8455" sId="11" numFmtId="4">
    <oc r="AB76">
      <v>544.77099999999996</v>
    </oc>
    <nc r="AB76">
      <v>347.83600000000001</v>
    </nc>
  </rcc>
  <rcc rId="8456" sId="11" numFmtId="4">
    <oc r="AD76">
      <v>392.22199999999998</v>
    </oc>
    <nc r="AD76">
      <v>248.19200000000001</v>
    </nc>
  </rcc>
  <rcc rId="8457" sId="11">
    <oc r="AF73" t="inlineStr">
      <is>
        <t>Расхождение фактических расходов  от плановых по  п.4.1.1. составляет 824,99 ты.руб.  сложилось по причине неисполнения по заработной платы и начисленниям по оплате труда, в связи с тем, что выплаты денежного поощрения по результам работы за год была выплачены за фактически отработанное время и в связи с наличием листов временной нетрудоспособности. Кроме того,  по причине досрочной уплаты запланированных на 2024 год страховых взносов в декабре 2023 года.</t>
      </is>
    </oc>
    <nc r="AF73" t="inlineStr">
      <is>
        <t>Расхождение фактических расходов  от плановых по  п.4.1.1. составляет 704,03 ты.руб.  сложилось по причине неисполнения по заработной платы и начисленниям по оплате труда, в связи с тем, что выплаты денежного поощрения по результам работы за год была выплачены за фактически отработанное время и в связи с наличием листов временной нетрудоспособности. Кроме того,  по причине досрочной уплаты запланированных на 2024 год страховых взносов в декабре 2023 года.</t>
      </is>
    </nc>
  </rcc>
  <rcc rId="8458" sId="11" numFmtId="4">
    <oc r="AF102">
      <v>4165.1499999999996</v>
    </oc>
    <nc r="AF102"/>
  </rcc>
  <rcc rId="8459" sId="11">
    <oc r="AF65" t="inlineStr">
      <is>
        <t>Расхождение по пункту 4.1. составляет всего -2037,61 тыс.руб.</t>
      </is>
    </oc>
    <nc r="AF65"/>
  </rcc>
  <rcc rId="8460" sId="11">
    <oc r="AF58" t="inlineStr">
      <is>
        <t xml:space="preserve">Расхождение плановых от фактических показателей по пункту 3.1.2.в размере  827,77 тыс.руб. образовалось по  следующим причинам:  - работы сотрудников в режиме неполного рабочего времени (режим неполного рабочего времени, внешнее совместительство) , в  связи с тем, что оплата расходов произведена на основании выставленных счетов-фактур за работы и услуги.                                                                                                                                                                                                                                                                                                                                                                                                                                                                                                                                                                                                                                    </t>
      </is>
    </oc>
    <nc r="AF58" t="inlineStr">
      <is>
        <t xml:space="preserve">Расхождение плановых от фактических показателей по пункту 3.1.2.в размере  866,29 тыс.руб. образовалось по  следующим причинам:  - работы сотрудников в режиме неполного рабочего времени (режим неполного рабочего времени, внешнее совместительство) , в  связи с тем, что оплата расходов произведена на основании выставленных счетов-фактур за работы и услуги.                                                                                                                                                                                                                                                                                                                                                                                                                                                                                                                                                                                                                                    </t>
      </is>
    </nc>
  </rcc>
  <rfmt sheetId="11" sqref="C45:E46">
    <dxf>
      <fill>
        <patternFill>
          <bgColor rgb="FFFF0000"/>
        </patternFill>
      </fill>
    </dxf>
  </rfmt>
  <rcc rId="8461" sId="11">
    <oc r="E49">
      <f>I49+K49+M49+O49+Q49</f>
    </oc>
    <nc r="E49">
      <f>I49+K49+M49+O49+Q49+S49</f>
    </nc>
  </rcc>
  <rcc rId="8462" sId="11">
    <oc r="AF46" t="inlineStr">
      <is>
        <t>Расхождение фактических показателей от запланированных составляет по данному пункту -927,93 тыс.руб.</t>
      </is>
    </oc>
    <nc r="AF46" t="inlineStr">
      <is>
        <t>Расхождение фактических показателей от запланированных составляет по данному пункту -1012,65 тыс.руб.</t>
      </is>
    </nc>
  </rcc>
  <rcc rId="8463" sId="11" odxf="1" dxf="1">
    <oc r="B45">
      <f>B46</f>
    </oc>
    <nc r="B45">
      <f>B46</f>
    </nc>
    <odxf>
      <font>
        <b/>
        <sz val="14"/>
        <name val="Times New Roman"/>
        <scheme val="none"/>
      </font>
    </odxf>
    <ndxf>
      <font>
        <b val="0"/>
        <sz val="14"/>
        <name val="Times New Roman"/>
        <scheme val="none"/>
      </font>
    </ndxf>
  </rcc>
  <rcc rId="8464" sId="11" odxf="1" dxf="1">
    <oc r="C45">
      <f>C46</f>
    </oc>
    <nc r="C45">
      <f>C46</f>
    </nc>
    <odxf>
      <font>
        <b/>
        <sz val="14"/>
        <name val="Times New Roman"/>
        <scheme val="none"/>
      </font>
      <fill>
        <patternFill>
          <bgColor rgb="FFFF0000"/>
        </patternFill>
      </fill>
    </odxf>
    <ndxf>
      <font>
        <b val="0"/>
        <sz val="14"/>
        <name val="Times New Roman"/>
        <scheme val="none"/>
      </font>
      <fill>
        <patternFill>
          <bgColor theme="7" tint="0.79998168889431442"/>
        </patternFill>
      </fill>
    </ndxf>
  </rcc>
  <rcc rId="8465" sId="11" odxf="1" dxf="1">
    <oc r="D45">
      <f>D46</f>
    </oc>
    <nc r="D45">
      <f>D46</f>
    </nc>
    <odxf>
      <font>
        <b/>
        <sz val="14"/>
        <name val="Times New Roman"/>
        <scheme val="none"/>
      </font>
      <fill>
        <patternFill>
          <bgColor rgb="FFFF0000"/>
        </patternFill>
      </fill>
    </odxf>
    <ndxf>
      <font>
        <b val="0"/>
        <sz val="14"/>
        <name val="Times New Roman"/>
        <scheme val="none"/>
      </font>
      <fill>
        <patternFill>
          <bgColor theme="7" tint="0.79998168889431442"/>
        </patternFill>
      </fill>
    </ndxf>
  </rcc>
  <rcc rId="8466" sId="11" odxf="1" dxf="1">
    <oc r="E45">
      <f>E46</f>
    </oc>
    <nc r="E45">
      <f>E46</f>
    </nc>
    <odxf>
      <font>
        <b/>
        <sz val="14"/>
        <name val="Times New Roman"/>
        <scheme val="none"/>
      </font>
      <fill>
        <patternFill>
          <bgColor rgb="FFFF0000"/>
        </patternFill>
      </fill>
    </odxf>
    <ndxf>
      <font>
        <b val="0"/>
        <sz val="14"/>
        <name val="Times New Roman"/>
        <scheme val="none"/>
      </font>
      <fill>
        <patternFill>
          <bgColor theme="7" tint="0.79998168889431442"/>
        </patternFill>
      </fill>
    </ndxf>
  </rcc>
  <rcc rId="8467" sId="11" odxf="1" dxf="1">
    <oc r="B46">
      <f>H46+J46+L46+N46+P46+R46+T46+V46+X46+Z46+AB46+AD46</f>
    </oc>
    <nc r="B46">
      <f>H46+J46+L46+N46+P46+R46+T46+V46+X46+Z46+AB46+AD46</f>
    </nc>
    <odxf>
      <font>
        <b/>
        <sz val="14"/>
        <name val="Times New Roman"/>
        <scheme val="none"/>
      </font>
    </odxf>
    <ndxf>
      <font>
        <b val="0"/>
        <sz val="14"/>
        <name val="Times New Roman"/>
        <scheme val="none"/>
      </font>
    </ndxf>
  </rcc>
  <rcc rId="8468" sId="11" odxf="1" dxf="1">
    <oc r="C46">
      <f>H46+J46+L46+N46+P46</f>
    </oc>
    <nc r="C46">
      <f>H46+J46+L46+N46+P46+R46</f>
    </nc>
    <ndxf>
      <font>
        <b val="0"/>
        <sz val="14"/>
        <name val="Times New Roman"/>
        <scheme val="none"/>
      </font>
      <fill>
        <patternFill>
          <bgColor theme="7" tint="0.79998168889431442"/>
        </patternFill>
      </fill>
    </ndxf>
  </rcc>
  <rcc rId="8469" sId="11" odxf="1" dxf="1">
    <oc r="D46">
      <f>E46</f>
    </oc>
    <nc r="D46">
      <f>E46</f>
    </nc>
    <odxf>
      <font>
        <b/>
        <sz val="14"/>
        <name val="Times New Roman"/>
        <scheme val="none"/>
      </font>
      <fill>
        <patternFill>
          <bgColor rgb="FFFF0000"/>
        </patternFill>
      </fill>
    </odxf>
    <ndxf>
      <font>
        <b val="0"/>
        <sz val="14"/>
        <name val="Times New Roman"/>
        <scheme val="none"/>
      </font>
      <fill>
        <patternFill>
          <bgColor theme="7" tint="0.79998168889431442"/>
        </patternFill>
      </fill>
    </ndxf>
  </rcc>
  <rcc rId="8470" sId="11" odxf="1" dxf="1">
    <oc r="E46">
      <f>E55+E61</f>
    </oc>
    <nc r="E46">
      <f>E55+E61</f>
    </nc>
    <odxf>
      <font>
        <b/>
        <sz val="14"/>
        <name val="Times New Roman"/>
        <scheme val="none"/>
      </font>
      <fill>
        <patternFill>
          <bgColor rgb="FFFF0000"/>
        </patternFill>
      </fill>
    </odxf>
    <ndxf>
      <font>
        <b val="0"/>
        <sz val="14"/>
        <name val="Times New Roman"/>
        <scheme val="none"/>
      </font>
      <fill>
        <patternFill>
          <bgColor theme="7" tint="0.79998168889431442"/>
        </patternFill>
      </fill>
    </ndxf>
  </rcc>
  <rcc rId="8471" sId="11">
    <oc r="B47">
      <f>H47+J47+L47+N47+P47+R47+T47+V47+X47+Z47+AB47+AD47</f>
    </oc>
    <nc r="B47">
      <f>H47+J47+L47+N47+P47+R47+T47+V47+X47+Z47+AB47+AD47</f>
    </nc>
  </rcc>
  <rcc rId="8472" sId="11">
    <oc r="C47">
      <f>H47+J47</f>
    </oc>
    <nc r="C47">
      <f>H47+J47</f>
    </nc>
  </rcc>
  <rcc rId="8473" sId="11">
    <oc r="D47">
      <f>E47</f>
    </oc>
    <nc r="D47">
      <f>E47</f>
    </nc>
  </rcc>
  <rfmt sheetId="11" sqref="B45:E46" start="0" length="2147483647">
    <dxf>
      <font>
        <b/>
      </font>
    </dxf>
  </rfmt>
</revisions>
</file>

<file path=xl/revisions/revisionLog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474" sId="11">
    <oc r="AF23" t="inlineStr">
      <is>
        <r>
          <t xml:space="preserve">          В целях финансового обеспечения затрат на выполнение функций ресурсного центра поддержки НКО в 2024 году из бюджета города Когалыма направлена субсидия  АНО «Ресурсный центр поддержки НКО города Когалыма» . В штате ресурсного центра 5 человек, из них : 2- основных сотрудника (директор и менеджер), 3 - внешних сотрудника – бухгалтер и два специалиста по развитию СО НКО. У трех членов команды опыт в сфере поддержки некоммерческих организаций более трех лет.
Ресурсный центр функционирует на базе "Дома Дружбы" (по адресу пр. Нефтяников 2а), который оснащен всей необходимой мебелью и офисной техникой для полноценной работы и оказания услуг. Предоставляются кабинеты, оборудована коворгинг-зона  для проведения мероприятий.
График работы и вся информация размещена на информационном стенде в здании РЦ и на сайте учреждения https://vk.link/rcnkokgl
            В ходе деятельности  ресурсного центра осуществляются: консультации для НКО по вопросам реализации проектов и участия в мероприятиях (всего по различным направлениям консультаций) запланировано -50 консультаций . Фактически показатели выполнены.Методическое сопровождение участия социально ориентированных некоммерческих организаций, их руководителей, организаторов в конкурсах.Поданы заявки на конкурс президентских грантов КГОО ТБНКО «НУР» и АНО «Ермак». Ожидаются результаты.  Были поданы заявки от АНО «РЦ НКО Когалыма», МОО «Совет Ветеранов» и КГОО ТБНКО «НУР». АНО «Ресурсный центр поддержки НКО» одержал победу в конкурсе для ресурсный центров Югры . Общая сумма проекта более 7 млн рублей. Ведется активное консультирование на конкурс Гранта Губерна-тора Югры.
- 18.01.2024 специалисты РЦ приня+AF23ли участие в вебинаре «Правовой команды» на тему «Изменение состава учредителей НКО: новое в процедуре регистрации в 2024 году» Ссылка на публикацию: https://vk.com/wall-203821726_1282;
- 27.01.2024 специалисты РЦ, совместно с ТГКОО «НУР» организовали и приняли участие в лектории «Информация в век информации: национальный аспект», который провел Ответственный секретарь комиссии по вопросам информационного сопровождения государственной национальной политики Совета при Президенте Российской Федерации по межнациональным отношениям А,Н. Худолеев: Ссылка на пресс-релиз: https://vk.com/wall-203821726_1294
-22.02.2024 Специалисты РЦ организовали и провели открытие Этно-мастерской для молодежи «ЮХ» в Доме Дружбы: Ссылка на пресс-релиз https://vk.com/wall-203821726_1340
-27.02.2024 на базе ресурсного центра прошел День открытых дверей в рамках всемирного дня НКО. Ссылка на пресс-релиз:https://vk.com/wall-203821726_1360
             </t>
        </r>
        <r>
          <rPr>
            <u/>
            <sz val="8"/>
            <rFont val="Times New Roman"/>
            <family val="1"/>
            <charset val="204"/>
          </rPr>
          <t>Реализация образовательного проекта "Школа  актива НКО":   - 30.0</t>
        </r>
        <r>
          <rPr>
            <sz val="8"/>
            <rFont val="Times New Roman"/>
            <family val="1"/>
            <charset val="204"/>
          </rPr>
          <t xml:space="preserve">1.2024  в рамках «Проектной мастерской» Фонда «Центр гражданских и социальных инициатив Югры» с участием спикеров Фонда Дмитириевой М.В. и Шипиловой В. : https://vk.com/wall-203821726_1296
             АНО Ресцрсный центр поддержки НКО осуществляется медиа-продвижение социально ориентированных некоммерческих организаций, деятельности их руководителей и/или членов (участников), гражданских инициатив, социальных практик; создание инфоповодов; информирование социально ориентированных некоммерческих организаций (публикаций, сюжетов, интервью и др. Все ссылки на посты в социальных сетях ресурсного центра (https://vk.link/rcnkokgl /https://vk.com/public203821726) и на официальном сайте: https://рцнкокогалыма.рф/  
Всего в отчетном периоде была размещено публикаций на различных площадках: январь-25, февраль -27 , март-30, апрель- 40, май - 49. 
   За отчетный период  проведены консультации для НКО по вопросам реализации проектов и участия в мероприятиях (март:  15 по телефону, 14 – электронная почта  и мессенджеры). 
       Проведены мероприятия в рамках проекта "Школа актива НКО ":  30.01.2024 с привлечением специалистов  Фонда «Центр гражданских и социальных инициатив», 
07.03.2024 в формате офлайн по ФПГ, с привлечением эксперта А.А.Спасибина и 04.04.2024  по заявочной кампании конкурса Гранта Губернатора Югры, 13.05.2024 Специалисты РЦ провели Школу актива НКО по заявочным кампаниям на конкурсы Гранта Губернатора Югры и ПАО «Лукойл»:
- 02.03.2024 на базе ресурсного центра прошел мастер-класс в рамках проекта Гранта Губернатора Югры «Этно-мастерская для молодежи «Юх».                                                                                             - 06.03.2024 Специалисты РЦ ознакомились с памяткой Правовой команды на тему « Что нужно знать о последствиях признания контрагентов НКО иноагентами» .
- 15.03.2024 Специалисты РЦ приняли участие в консультации Правовой команды на тему: «Ввод и вывод учредителей НКО» : Ссылка на публикацию: https://vk.com/wall-203821726_1338                                                                                    -в  рамках рнализации социально значимого проекта «Правовой аудит в НКО Когалыма» 28.03.2024 Специалисты РЦ провели итоговое мероприятие «Единый день самопроверки НКО».Меропритятие прошло при участии  привлеченных спикеров А.А. Спасибина и AF23М.Н.Миронова.                                                                                                                     
         Поведен обучающий семинар на стартовавшие грантовые конкурсы 2024г – Президентский фонд культурных инициатив и Фонд Президентских грантов. Поданы заявки на ПФКИ КГОО ТБНКО «НУР» и АНО «Ермак». Результаты ожидаются. НА ФПГ были поданы заявки от АНО «РЦ НКО Когалыма», МОО «Совет Ветеранов» и КГОО ТБНКО «НУР». АНО «Ресурсный центр поддержки НКО» одержала победу в конкурсе для ресурсный центров Югры . Общая сумма проекта более 7 млн рублей.
-06.04.2024 Специалисты РЦ провели занятие в Этно-мастерской «ЮХ» . Ссылка на пресс-релиз: https://vk.com/wall-203821726_1455
-08.04.2024 Специалисты РЦ организовали встречу НКО города с Генеральным директором Фонда гражданских и социальных инициатив Югры Д.М. Сафиолиным : Ссылка на публикацию: https://vk.com/wall-203821726_1457, https://vk.com/wall-203821726_1461
-09.04.2024 Специалисты РЦ прослушали вебинар Центра гражданских и социальных инициатив Югры «отчетность  НКО в контролирующие органы» 
- 23-25.04.2024 состоялось участие  во «Всероссийском форуме национального единства» в составе делегации г.Когалыма.                                                                                                                                                                                                               04.05.2024 Специалисты РЦ провели занятие в этно-мастерской «ЮХ», были изготовлены  памятные сувениры к Дню Победы. Ребята приняли участие не только в мастер-классе, но и поучаствовали в патриотической беседе. 
05-08.05.2024 Менеджер РЦ приняла участие во Всероссийском форуме «Пик Возможностей» в Нижнем Новгороде в составе делегации ХМАО-Югры. 
 16.05.2024 Специалисты РЦ ознакомились с материалом от Правовой команды «Чек-лист: 66 контрольных вопросов соблюдения НКО требований законодательства в сфере персональных данных»  
</t>
        </r>
      </is>
    </oc>
    <nc r="AF23" t="inlineStr">
      <is>
        <r>
          <t xml:space="preserve">          В целях финансового обеспечения затрат на выполнение функций ресурсного центра поддержки НКО в 2024 году из бюджета города Когалыма направлена субсидия  АНО «Ресурсный центр поддержки НКО города Когалыма» . В штате ресурсного центра 5 человек, из них : 2- основных сотрудника (директор и менеджер), 3 - внешних сотрудника – бухгалтер и два специалиста по развитию СО НКО. У трех членов команды опыт в сфере поддержки некоммерческих организаций более трех лет.
Ресурсный центр функционирует на базе "Дома Дружбы" (по адресу пр. Нефтяников 2а), который оснащен всей необходимой мебелью и офисной техникой для полноценной работы и оказания услуг. Предоставляются кабинеты, оборудована коворгинг-зона  для проведения мероприятий.
График работы и вся информация размещена на информационном стенде в здании РЦ и на сайте учреждения https://vk.link/rcnkokgl
            В ходе деятельности  ресурсного центра осуществляются: консультации для НКО по вопросам реализации проектов и участия в мероприятиях (всего по различным направлениям консультаций) запланировано -50 консультаций . Фактически показатели выполнены.Методическое сопровождение участия социально ориентированных некоммерческих организаций, их руководителей, организаторов в конкурсах.Поданы заявки на конкурс президентских грантов КГОО ТБНКО «НУР» и АНО «Ермак». Ожидаются результаты.  Были поданы заявки от АНО «РЦ НКО Когалыма», МОО «Совет Ветеранов» и КГОО ТБНКО «НУР». АНО «Ресурсный центр поддержки НКО» одержал победу в конкурсе для ресурсный центров Югры . Общая сумма проекта более 7 млн рублей. Ведется активное консультирование на конкурс Гранта Губерна-тора Югры.
- 18.01.2024 специалисты РЦ приня+AF23ли участие в вебинаре «Правовой команды» на тему «Изменение состава учредителей НКО: новое в процедуре регистрации в 2024 году» Ссылка на публикацию: https://vk.com/wall-203821726_1282;
- 27.01.2024 специалисты РЦ, совместно с ТГКОО «НУР» организовали и приняли участие в лектории «Информация в век информации: национальный аспект», который провел Ответственный секретарь комиссии по вопросам информационного сопровождения государственной национальной политики Совета при Президенте Российской Федерации по межнациональным отношениям А,Н. Худолеев: Ссылка на пресс-релиз: https://vk.com/wall-203821726_1294
-22.02.2024 Специалисты РЦ организовали и провели открытие Этно-мастерской для молодежи «ЮХ» в Доме Дружбы: Ссылка на пресс-релиз https://vk.com/wall-203821726_1340
-27.02.2024 на базе ресурсного центра прошел День открытых дверей в рамках всемирного дня НКО. Ссылка на пресс-релиз:https://vk.com/wall-203821726_1360
             </t>
        </r>
        <r>
          <rPr>
            <u/>
            <sz val="8"/>
            <rFont val="Times New Roman"/>
            <family val="1"/>
            <charset val="204"/>
          </rPr>
          <t>Реализация образовательного проекта "Школа  актива НКО":   - 30.0</t>
        </r>
        <r>
          <rPr>
            <sz val="8"/>
            <rFont val="Times New Roman"/>
            <family val="1"/>
            <charset val="204"/>
          </rPr>
          <t xml:space="preserve">1.2024  в рамках «Проектной мастерской» Фонда «Центр гражданских и социальных инициатив Югры» с участием спикеров Фонда Дмитириевой М.В. и Шипиловой В. : https://vk.com/wall-203821726_1296
             АНО Ресцрсный центр поддержки НКО осуществляется медиа-продвижение социально ориентированных некоммерческих организаций, деятельности их руководителей и/или членов (участников), гражданских инициатив, социальных практик; создание инфоповодов; информирование социально ориентированных некоммерческих организаций (публикаций, сюжетов, интервью и др. Все ссылки на посты в социальных сетях ресурсного центра (https://vk.link/rcnkokgl /https://vk.com/public203821726) и на официальном сайте: https://рцнкокогалыма.рф/  
Всего в отчетном периоде была размещено публикаций на различных площадках: январь-25, февраль -27 , март-30, апрель- 40, май - 49. 
   За отчетный период  проведены консультации для НКО по вопросам реализации проектов и участия в мероприятиях (март:  15 по телефону, 14 – электронная почта  и мессенджеры). 
       Проведены мероприятия в рамках проекта "Школа актива НКО ":  30.01.2024 с привлечением специалистов  Фонда «Центр гражданских и социальных инициатив», 
07.03.2024 в формате офлайн по ФПГ, с привлечением эксперта А.А.Спасибина и 04.04.2024  по заявочной кампании конкурса Гранта Губернатора Югры, 13.05.2024 Специалисты РЦ провели Школу актива НКО по заявочным кампаниям на конкурсы Гранта Губернатора Югры и ПАО «Лукойл»:
- 02.03.2024 на базе ресурсного центра прошел мастер-класс в рамках проекта Гранта Губернатора Югры «Этно-мастерская для молодежи «Юх».                                                                                             - 06.03.2024 Специалисты РЦ ознакомились с памяткой Правовой команды на тему « Что нужно знать о последствиях признания контрагентов НКО иноагентами» .
- 15.03.2024 Специалисты РЦ приняли участие в консультации Правовой команды на тему: «Ввод и вывод учредителей НКО» : Ссылка на публикацию: https://vk.com/wall-203821726_1338                                                                                    -в  рамках рнализации социально значимого проекта «Правовой аудит в НКО Когалыма» 28.03.2024 Специалисты РЦ провели итоговое мероприятие «Единый день самопроверки НКО».Меропритятие прошло при участии  привлеченных спикеров А.А. Спасибина и AF23М.Н.Миронова.                                                                                                                     
         Поведен обучающий семинар на стартовавшие грантовые конкурсы 2024г – Президентский фонд культурных инициатив и Фонд Президентских грантов. Поданы заявки на ПФКИ КГОО ТБНКО «НУР» и АНО «Ермак». Результаты ожидаются. НА ФПГ были поданы заявки от АНО «РЦ НКО Когалыма», МОО «Совет Ветеранов» и КГОО ТБНКО «НУР». АНО «Ресурсный центр поддержки НКО» одержала победу в конкурсе для ресурсный центров Югры . Общая сумма проекта более 7 млн рублей.
-06.04.2024 Специалисты РЦ провели занятие в Этно-мастерской «ЮХ» . Ссылка на пресс-релиз: https://vk.com/wall-203821726_1455
-08.04.2024 Специалисты РЦ организовали встречу НКО города с Генеральным директором Фонда гражданских и социальных инициатив Югры Д.М. Сафиолиным : Ссылка на публикацию: https://vk.com/wall-203821726_1457, https://vk.com/wall-203821726_1461
-09.04.2024 Специалисты РЦ прослушали вебинар Центра гражданских и социальных инициатив Югры «отчетность  НКО в контролирующие органы» 
- 23-25.04.2024 состоялось участие  во «Всероссийском форуме национального единства» в составе делегации г.Когалыма.                                                                                                                                                                                                               04.05.2024 Специалисты РЦ провели занятие в этно-мастерской «ЮХ», были изготовлены  памятные сувениры к Дню Победы. Ребята приняли участие не только в мастер-классе, но и поучаствовали в патриотической беседе. 
05-08.05.2024 Менеджер РЦ приняла участие во Всероссийском форуме «Пик Возможностей» в Нижнем Новгороде в составе делегации ХМАО-Югры. 
 16.05.2024 Специалисты РЦ ознакомились с материалом от Правовой команды «Чек-лист: 66 контрольных вопросов соблюдения НКО требований законодательства в сфере персональных данных»  
-02.06.2024 Специалисты РЦ приняли участие в Международном дне соседний, организованным ТОС Мечта. Провели выездной мастер-класс этно-мастерской «ЮХ» Ссылка на пресс-релиз: https://vk.com/wall-203821726_1601                                                                                                                                                                                                        -22-28.06.2024 Специалист РЦ Беседин С.Н. приял участие в Форуме уральской молодежи «Утро»: </t>
        </r>
      </is>
    </nc>
  </rcc>
  <rcv guid="{4F41B9CC-959D-442C-80B0-1F0DB2C76D27}" action="delete"/>
  <rdn rId="0" localSheetId="2" customView="1" name="Z_4F41B9CC_959D_442C_80B0_1F0DB2C76D27_.wvu.Rows" hidden="1" oldHidden="1">
    <formula>'1.СЗН'!$69:$73</formula>
    <oldFormula>'1.СЗН'!$69:$73</oldFormula>
  </rdn>
  <rdn rId="0" localSheetId="2" customView="1" name="Z_4F41B9CC_959D_442C_80B0_1F0DB2C76D27_.wvu.FilterData" hidden="1" oldHidden="1">
    <formula>'1.СЗН'!$A$1:$AF$63</formula>
    <oldFormula>'1.СЗН'!$A$1:$AF$63</oldFormula>
  </rdn>
  <rdn rId="0" localSheetId="3" customView="1" name="Z_4F41B9CC_959D_442C_80B0_1F0DB2C76D27_.wvu.FilterData" hidden="1" oldHidden="1">
    <formula>'2.АПК'!$A$1:$AF$36</formula>
    <oldFormula>'2.АПК'!$A$1:$AF$36</oldFormula>
  </rdn>
  <rdn rId="0" localSheetId="4" customView="1" name="Z_4F41B9CC_959D_442C_80B0_1F0DB2C76D27_.wvu.FilterData" hidden="1" oldHidden="1">
    <formula>'3.БЖД'!$A$1:$AF$17</formula>
    <oldFormula>'3.БЖД'!$A$1:$AF$17</oldFormula>
  </rdn>
  <rdn rId="0" localSheetId="5" customView="1" name="Z_4F41B9CC_959D_442C_80B0_1F0DB2C76D27_.wvu.FilterData" hidden="1" oldHidden="1">
    <formula>'4.УМИ'!$A$1:$AF$11</formula>
    <oldFormula>'4.УМИ'!$A$1:$AF$11</oldFormula>
  </rdn>
  <rdn rId="0" localSheetId="6" customView="1" name="Z_4F41B9CC_959D_442C_80B0_1F0DB2C76D27_.wvu.FilterData" hidden="1" oldHidden="1">
    <formula>'5.Проф. прав.'!$A$1:$AF$12</formula>
    <oldFormula>'5.Проф. прав.'!$A$1:$AF$12</oldFormula>
  </rdn>
  <rdn rId="0" localSheetId="7" customView="1" name="Z_4F41B9CC_959D_442C_80B0_1F0DB2C76D27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4F41B9CC_959D_442C_80B0_1F0DB2C76D27_.wvu.FilterData" hidden="1" oldHidden="1">
    <formula>'6.Экстримизм'!$A$1:$AF$11</formula>
    <oldFormula>'6.Экстримизм'!$A$1:$AF$11</oldFormula>
  </rdn>
  <rdn rId="0" localSheetId="14" customView="1" name="Z_4F41B9CC_959D_442C_80B0_1F0DB2C76D27_.wvu.FilterData" hidden="1" oldHidden="1">
    <formula>'11.МП РО'!$A$4:$A$380</formula>
    <oldFormula>'11.МП РО'!$A$4:$A$380</oldFormula>
  </rdn>
  <rdn rId="0" localSheetId="17" customView="1" name="Z_4F41B9CC_959D_442C_80B0_1F0DB2C76D27_.wvu.Rows" hidden="1" oldHidden="1">
    <formula>'13.МП РЖС'!$122:$127</formula>
    <oldFormula>'13.МП РЖС'!$122:$127</oldFormula>
  </rdn>
  <rdn rId="0" localSheetId="17" customView="1" name="Z_4F41B9CC_959D_442C_80B0_1F0DB2C76D27_.wvu.Cols" hidden="1" oldHidden="1">
    <formula>'13.МП РЖС'!$AG:$AG</formula>
    <oldFormula>'13.МП РЖС'!$AG:$AG</oldFormula>
  </rdn>
  <rcv guid="{4F41B9CC-959D-442C-80B0-1F0DB2C76D27}" action="add"/>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391AB76E-B386-49C1-800F-016A48AA1A46}" action="delete"/>
  <rdn rId="0" localSheetId="2" customView="1" name="Z_391AB76E_B386_49C1_800F_016A48AA1A46_.wvu.Rows" hidden="1" oldHidden="1">
    <formula>'1.СЗН'!$69:$73</formula>
    <oldFormula>'1.СЗН'!$69:$73</oldFormula>
  </rdn>
  <rdn rId="0" localSheetId="2" customView="1" name="Z_391AB76E_B386_49C1_800F_016A48AA1A46_.wvu.FilterData" hidden="1" oldHidden="1">
    <formula>'1.СЗН'!$A$1:$AF$63</formula>
    <oldFormula>'1.СЗН'!$A$1:$AF$63</oldFormula>
  </rdn>
  <rdn rId="0" localSheetId="3" customView="1" name="Z_391AB76E_B386_49C1_800F_016A48AA1A46_.wvu.FilterData" hidden="1" oldHidden="1">
    <formula>'2.АПК'!$A$1:$AF$36</formula>
    <oldFormula>'2.АПК'!$A$1:$AF$36</oldFormula>
  </rdn>
  <rdn rId="0" localSheetId="4" customView="1" name="Z_391AB76E_B386_49C1_800F_016A48AA1A46_.wvu.FilterData" hidden="1" oldHidden="1">
    <formula>'3.БЖД'!$A$1:$AF$17</formula>
    <oldFormula>'3.БЖД'!$A$1:$AF$17</oldFormula>
  </rdn>
  <rdn rId="0" localSheetId="5" customView="1" name="Z_391AB76E_B386_49C1_800F_016A48AA1A46_.wvu.FilterData" hidden="1" oldHidden="1">
    <formula>'4.УМИ'!$A$1:$AF$11</formula>
    <oldFormula>'4.УМИ'!$A$1:$AF$11</oldFormula>
  </rdn>
  <rdn rId="0" localSheetId="6" customView="1" name="Z_391AB76E_B386_49C1_800F_016A48AA1A46_.wvu.FilterData" hidden="1" oldHidden="1">
    <formula>'5.Проф. прав.'!$A$1:$AF$12</formula>
    <oldFormula>'5.Проф. прав.'!$A$1:$AF$12</oldFormula>
  </rdn>
  <rdn rId="0" localSheetId="7" customView="1" name="Z_391AB76E_B386_49C1_800F_016A48AA1A46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391AB76E_B386_49C1_800F_016A48AA1A46_.wvu.FilterData" hidden="1" oldHidden="1">
    <formula>'6.Экстримизм'!$A$1:$AF$11</formula>
    <oldFormula>'6.Экстримизм'!$A$1:$AF$11</oldFormula>
  </rdn>
  <rdn rId="0" localSheetId="14" customView="1" name="Z_391AB76E_B386_49C1_800F_016A48AA1A46_.wvu.FilterData" hidden="1" oldHidden="1">
    <formula>'11.МП РО'!$A$4:$A$380</formula>
    <oldFormula>'11.МП РО'!$A$4:$A$380</oldFormula>
  </rdn>
  <rdn rId="0" localSheetId="17" customView="1" name="Z_391AB76E_B386_49C1_800F_016A48AA1A46_.wvu.Rows" hidden="1" oldHidden="1">
    <formula>'13.МП РЖС'!$122:$127</formula>
    <oldFormula>'13.МП РЖС'!$122:$127</oldFormula>
  </rdn>
  <rdn rId="0" localSheetId="17" customView="1" name="Z_391AB76E_B386_49C1_800F_016A48AA1A46_.wvu.Cols" hidden="1" oldHidden="1">
    <formula>'13.МП РЖС'!$AG:$AG</formula>
    <oldFormula>'13.МП РЖС'!$AG:$AG</oldFormula>
  </rdn>
  <rcv guid="{391AB76E-B386-49C1-800F-016A48AA1A46}" action="add"/>
</revisions>
</file>

<file path=xl/revisions/revisionLog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4" sqref="AF179">
    <dxf>
      <fill>
        <patternFill patternType="solid">
          <bgColor rgb="FFFF0000"/>
        </patternFill>
      </fill>
    </dxf>
  </rfmt>
  <rcc rId="8486" sId="14">
    <nc r="AF179" t="inlineStr">
      <is>
        <t>ПРИЧИНЫ ОТКЛОНЕНИЙ НЕОБХОДИМО ПРОПИСАТЬ</t>
      </is>
    </nc>
  </rcc>
</revisions>
</file>

<file path=xl/revisions/revisionLog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487" sId="14" odxf="1" dxf="1">
    <oc r="AF179" t="inlineStr">
      <is>
        <t>ПРИЧИНЫ ОТКЛОНЕНИЙ НЕОБХОДИМО ПРОПИСАТЬ</t>
      </is>
    </oc>
    <nc r="AF179" t="inlineStr">
      <is>
        <t>ПРИЧИНЫ ОТКЛОНЕНИЙ НЕОБХОДИМО ПРОПИСАТЬ
20,31 тыс. рублей (ФБ)
31,70 тыс. рублей (ОБ)
0,54 тыс. рублей (МБ)</t>
      </is>
    </nc>
    <odxf>
      <alignment vertical="bottom" wrapText="0" readingOrder="0"/>
    </odxf>
    <ndxf>
      <alignment vertical="top" wrapText="1" readingOrder="0"/>
    </ndxf>
  </rcc>
</revisions>
</file>

<file path=xl/revisions/revisionLog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488" sId="9" odxf="1" dxf="1">
    <oc r="B11">
      <f>B12</f>
    </oc>
    <nc r="B11">
      <f>B12</f>
    </nc>
    <odxf>
      <numFmt numFmtId="4" formatCode="#,##0.00"/>
      <fill>
        <patternFill>
          <bgColor theme="7" tint="0.79998168889431442"/>
        </patternFill>
      </fill>
    </odxf>
    <ndxf>
      <numFmt numFmtId="2" formatCode="0.00"/>
      <fill>
        <patternFill>
          <bgColor theme="0"/>
        </patternFill>
      </fill>
    </ndxf>
  </rcc>
  <rcc rId="8489" sId="9" odxf="1" dxf="1">
    <oc r="C11">
      <f>C12</f>
    </oc>
    <nc r="C11">
      <f>C12</f>
    </nc>
    <odxf>
      <numFmt numFmtId="4" formatCode="#,##0.00"/>
      <fill>
        <patternFill>
          <bgColor theme="7" tint="0.79998168889431442"/>
        </patternFill>
      </fill>
    </odxf>
    <ndxf>
      <numFmt numFmtId="2" formatCode="0.00"/>
      <fill>
        <patternFill>
          <bgColor theme="0"/>
        </patternFill>
      </fill>
    </ndxf>
  </rcc>
  <rcc rId="8490" sId="9" odxf="1" dxf="1">
    <oc r="D11">
      <f>D12</f>
    </oc>
    <nc r="D11">
      <f>D12</f>
    </nc>
    <odxf>
      <numFmt numFmtId="4" formatCode="#,##0.00"/>
      <fill>
        <patternFill>
          <bgColor theme="7" tint="0.79998168889431442"/>
        </patternFill>
      </fill>
    </odxf>
    <ndxf>
      <numFmt numFmtId="2" formatCode="0.00"/>
      <fill>
        <patternFill>
          <bgColor theme="0"/>
        </patternFill>
      </fill>
    </ndxf>
  </rcc>
  <rcc rId="8491" sId="9" odxf="1" dxf="1">
    <oc r="E11">
      <f>E12</f>
    </oc>
    <nc r="E11">
      <f>E12</f>
    </nc>
    <odxf>
      <numFmt numFmtId="4" formatCode="#,##0.00"/>
      <fill>
        <patternFill>
          <bgColor theme="7" tint="0.79998168889431442"/>
        </patternFill>
      </fill>
    </odxf>
    <ndxf>
      <numFmt numFmtId="2" formatCode="0.00"/>
      <fill>
        <patternFill>
          <bgColor theme="0"/>
        </patternFill>
      </fill>
    </ndxf>
  </rcc>
  <rcc rId="8492" sId="9" odxf="1" dxf="1">
    <oc r="F11">
      <f>F12</f>
    </oc>
    <nc r="F11">
      <f>F12</f>
    </nc>
    <odxf>
      <numFmt numFmtId="4" formatCode="#,##0.00"/>
      <fill>
        <patternFill>
          <bgColor theme="7" tint="0.79998168889431442"/>
        </patternFill>
      </fill>
    </odxf>
    <ndxf>
      <numFmt numFmtId="2" formatCode="0.00"/>
      <fill>
        <patternFill>
          <bgColor theme="9" tint="0.79998168889431442"/>
        </patternFill>
      </fill>
    </ndxf>
  </rcc>
  <rcc rId="8493" sId="9" odxf="1" dxf="1">
    <oc r="G11">
      <f>G12</f>
    </oc>
    <nc r="G11">
      <f>G12</f>
    </nc>
    <odxf>
      <numFmt numFmtId="4" formatCode="#,##0.00"/>
      <fill>
        <patternFill>
          <bgColor theme="7" tint="0.79998168889431442"/>
        </patternFill>
      </fill>
    </odxf>
    <ndxf>
      <numFmt numFmtId="2" formatCode="0.00"/>
      <fill>
        <patternFill>
          <bgColor theme="9" tint="0.79998168889431442"/>
        </patternFill>
      </fill>
    </ndxf>
  </rcc>
  <rcc rId="8494" sId="9" odxf="1" dxf="1">
    <oc r="H11">
      <f>H12</f>
    </oc>
    <nc r="H11">
      <f>H12</f>
    </nc>
    <odxf>
      <numFmt numFmtId="4" formatCode="#,##0.00"/>
      <fill>
        <patternFill>
          <bgColor theme="7" tint="0.79998168889431442"/>
        </patternFill>
      </fill>
    </odxf>
    <ndxf>
      <numFmt numFmtId="2" formatCode="0.00"/>
      <fill>
        <patternFill>
          <bgColor theme="0"/>
        </patternFill>
      </fill>
    </ndxf>
  </rcc>
  <rcc rId="8495" sId="9" odxf="1" dxf="1">
    <oc r="I11">
      <f>I12</f>
    </oc>
    <nc r="I11">
      <f>I12</f>
    </nc>
    <odxf>
      <numFmt numFmtId="4" formatCode="#,##0.00"/>
      <fill>
        <patternFill>
          <bgColor theme="7" tint="0.79998168889431442"/>
        </patternFill>
      </fill>
    </odxf>
    <ndxf>
      <numFmt numFmtId="2" formatCode="0.00"/>
      <fill>
        <patternFill>
          <bgColor theme="0"/>
        </patternFill>
      </fill>
    </ndxf>
  </rcc>
  <rcc rId="8496" sId="9" odxf="1" dxf="1">
    <oc r="J11">
      <f>J12</f>
    </oc>
    <nc r="J11">
      <f>J12</f>
    </nc>
    <odxf>
      <numFmt numFmtId="4" formatCode="#,##0.00"/>
      <fill>
        <patternFill>
          <bgColor theme="7" tint="0.79998168889431442"/>
        </patternFill>
      </fill>
    </odxf>
    <ndxf>
      <numFmt numFmtId="2" formatCode="0.00"/>
      <fill>
        <patternFill>
          <bgColor theme="0"/>
        </patternFill>
      </fill>
    </ndxf>
  </rcc>
  <rcc rId="8497" sId="9" odxf="1" dxf="1">
    <oc r="K11">
      <f>K12</f>
    </oc>
    <nc r="K11">
      <f>K12</f>
    </nc>
    <odxf>
      <numFmt numFmtId="4" formatCode="#,##0.00"/>
      <fill>
        <patternFill>
          <bgColor theme="7" tint="0.79998168889431442"/>
        </patternFill>
      </fill>
      <border outline="0">
        <right/>
      </border>
      <protection hidden="1"/>
    </odxf>
    <ndxf>
      <numFmt numFmtId="2" formatCode="0.00"/>
      <fill>
        <patternFill>
          <bgColor theme="0"/>
        </patternFill>
      </fill>
      <border outline="0">
        <right style="thin">
          <color indexed="64"/>
        </right>
      </border>
      <protection hidden="0"/>
    </ndxf>
  </rcc>
  <rcc rId="8498" sId="9" odxf="1" dxf="1">
    <oc r="L11">
      <f>L12</f>
    </oc>
    <nc r="L11">
      <f>L12</f>
    </nc>
    <odxf>
      <numFmt numFmtId="4" formatCode="#,##0.00"/>
      <fill>
        <patternFill>
          <bgColor theme="7" tint="0.79998168889431442"/>
        </patternFill>
      </fill>
    </odxf>
    <ndxf>
      <numFmt numFmtId="2" formatCode="0.00"/>
      <fill>
        <patternFill>
          <bgColor theme="0"/>
        </patternFill>
      </fill>
    </ndxf>
  </rcc>
  <rcc rId="8499" sId="9" odxf="1" dxf="1">
    <nc r="M11">
      <f>M12</f>
    </nc>
    <odxf>
      <numFmt numFmtId="4" formatCode="#,##0.00"/>
      <fill>
        <patternFill>
          <bgColor theme="7" tint="0.79998168889431442"/>
        </patternFill>
      </fill>
      <border outline="0">
        <right/>
      </border>
      <protection hidden="1"/>
    </odxf>
    <ndxf>
      <numFmt numFmtId="2" formatCode="0.00"/>
      <fill>
        <patternFill>
          <bgColor theme="0"/>
        </patternFill>
      </fill>
      <border outline="0">
        <right style="thin">
          <color indexed="64"/>
        </right>
      </border>
      <protection hidden="0"/>
    </ndxf>
  </rcc>
  <rcc rId="8500" sId="9" odxf="1" dxf="1">
    <oc r="N11">
      <f>N12</f>
    </oc>
    <nc r="N11">
      <f>N12</f>
    </nc>
    <odxf>
      <numFmt numFmtId="4" formatCode="#,##0.00"/>
      <fill>
        <patternFill>
          <bgColor theme="7" tint="0.79998168889431442"/>
        </patternFill>
      </fill>
    </odxf>
    <ndxf>
      <numFmt numFmtId="2" formatCode="0.00"/>
      <fill>
        <patternFill>
          <bgColor theme="0"/>
        </patternFill>
      </fill>
    </ndxf>
  </rcc>
  <rcc rId="8501" sId="9" odxf="1" dxf="1">
    <nc r="O11">
      <f>O12</f>
    </nc>
    <odxf>
      <numFmt numFmtId="4" formatCode="#,##0.00"/>
      <fill>
        <patternFill>
          <bgColor theme="7" tint="0.79998168889431442"/>
        </patternFill>
      </fill>
      <border outline="0">
        <right/>
      </border>
      <protection hidden="1"/>
    </odxf>
    <ndxf>
      <numFmt numFmtId="2" formatCode="0.00"/>
      <fill>
        <patternFill>
          <bgColor theme="0"/>
        </patternFill>
      </fill>
      <border outline="0">
        <right style="thin">
          <color indexed="64"/>
        </right>
      </border>
      <protection hidden="0"/>
    </ndxf>
  </rcc>
  <rcc rId="8502" sId="9" odxf="1" dxf="1">
    <oc r="P11">
      <f>P12</f>
    </oc>
    <nc r="P11">
      <f>P12</f>
    </nc>
    <odxf>
      <numFmt numFmtId="4" formatCode="#,##0.00"/>
      <fill>
        <patternFill>
          <bgColor theme="7" tint="0.79998168889431442"/>
        </patternFill>
      </fill>
    </odxf>
    <ndxf>
      <numFmt numFmtId="2" formatCode="0.00"/>
      <fill>
        <patternFill>
          <bgColor theme="0"/>
        </patternFill>
      </fill>
    </ndxf>
  </rcc>
  <rcc rId="8503" sId="9" odxf="1" dxf="1">
    <nc r="Q11">
      <f>Q12</f>
    </nc>
    <odxf>
      <numFmt numFmtId="4" formatCode="#,##0.00"/>
      <fill>
        <patternFill>
          <bgColor theme="7" tint="0.79998168889431442"/>
        </patternFill>
      </fill>
      <border outline="0">
        <right/>
      </border>
      <protection hidden="1"/>
    </odxf>
    <ndxf>
      <numFmt numFmtId="2" formatCode="0.00"/>
      <fill>
        <patternFill>
          <bgColor theme="0"/>
        </patternFill>
      </fill>
      <border outline="0">
        <right style="thin">
          <color indexed="64"/>
        </right>
      </border>
      <protection hidden="0"/>
    </ndxf>
  </rcc>
  <rcc rId="8504" sId="9" odxf="1" dxf="1">
    <oc r="R11">
      <f>R12</f>
    </oc>
    <nc r="R11">
      <f>R12</f>
    </nc>
    <odxf>
      <numFmt numFmtId="4" formatCode="#,##0.00"/>
      <fill>
        <patternFill>
          <bgColor theme="7" tint="0.79998168889431442"/>
        </patternFill>
      </fill>
    </odxf>
    <ndxf>
      <numFmt numFmtId="2" formatCode="0.00"/>
      <fill>
        <patternFill>
          <bgColor theme="0"/>
        </patternFill>
      </fill>
    </ndxf>
  </rcc>
  <rcc rId="8505" sId="9" odxf="1" dxf="1">
    <nc r="S11">
      <f>S12</f>
    </nc>
    <odxf>
      <numFmt numFmtId="4" formatCode="#,##0.00"/>
      <fill>
        <patternFill>
          <bgColor theme="7" tint="0.79998168889431442"/>
        </patternFill>
      </fill>
      <border outline="0">
        <right/>
      </border>
      <protection hidden="1"/>
    </odxf>
    <ndxf>
      <numFmt numFmtId="2" formatCode="0.00"/>
      <fill>
        <patternFill>
          <bgColor theme="0"/>
        </patternFill>
      </fill>
      <border outline="0">
        <right style="thin">
          <color indexed="64"/>
        </right>
      </border>
      <protection hidden="0"/>
    </ndxf>
  </rcc>
  <rcc rId="8506" sId="9" odxf="1" dxf="1">
    <oc r="T11">
      <f>T12</f>
    </oc>
    <nc r="T11">
      <f>T12</f>
    </nc>
    <odxf>
      <numFmt numFmtId="4" formatCode="#,##0.00"/>
      <fill>
        <patternFill>
          <bgColor theme="7" tint="0.79998168889431442"/>
        </patternFill>
      </fill>
    </odxf>
    <ndxf>
      <numFmt numFmtId="2" formatCode="0.00"/>
      <fill>
        <patternFill>
          <bgColor theme="0"/>
        </patternFill>
      </fill>
    </ndxf>
  </rcc>
  <rfmt sheetId="9" sqref="U11" start="0" length="0">
    <dxf>
      <numFmt numFmtId="2" formatCode="0.00"/>
      <fill>
        <patternFill>
          <bgColor theme="0"/>
        </patternFill>
      </fill>
    </dxf>
  </rfmt>
  <rcc rId="8507" sId="9" odxf="1" dxf="1">
    <oc r="V11">
      <f>V12</f>
    </oc>
    <nc r="V11">
      <f>V12</f>
    </nc>
    <odxf>
      <numFmt numFmtId="4" formatCode="#,##0.00"/>
      <fill>
        <patternFill>
          <bgColor theme="7" tint="0.79998168889431442"/>
        </patternFill>
      </fill>
    </odxf>
    <ndxf>
      <numFmt numFmtId="2" formatCode="0.00"/>
      <fill>
        <patternFill>
          <bgColor theme="0"/>
        </patternFill>
      </fill>
    </ndxf>
  </rcc>
  <rfmt sheetId="9" sqref="W11" start="0" length="0">
    <dxf>
      <numFmt numFmtId="2" formatCode="0.00"/>
      <fill>
        <patternFill>
          <bgColor theme="0"/>
        </patternFill>
      </fill>
    </dxf>
  </rfmt>
  <rcc rId="8508" sId="9" odxf="1" dxf="1">
    <oc r="X11">
      <f>X12</f>
    </oc>
    <nc r="X11">
      <f>X12</f>
    </nc>
    <odxf>
      <numFmt numFmtId="4" formatCode="#,##0.00"/>
      <fill>
        <patternFill>
          <bgColor theme="7" tint="0.79998168889431442"/>
        </patternFill>
      </fill>
    </odxf>
    <ndxf>
      <numFmt numFmtId="2" formatCode="0.00"/>
      <fill>
        <patternFill>
          <bgColor theme="0"/>
        </patternFill>
      </fill>
    </ndxf>
  </rcc>
  <rfmt sheetId="9" sqref="Y11" start="0" length="0">
    <dxf>
      <numFmt numFmtId="2" formatCode="0.00"/>
      <fill>
        <patternFill>
          <bgColor theme="0"/>
        </patternFill>
      </fill>
    </dxf>
  </rfmt>
  <rcc rId="8509" sId="9" odxf="1" dxf="1">
    <oc r="Z11">
      <f>Z12</f>
    </oc>
    <nc r="Z11">
      <f>Z12</f>
    </nc>
    <odxf>
      <numFmt numFmtId="4" formatCode="#,##0.00"/>
      <fill>
        <patternFill>
          <bgColor theme="7" tint="0.79998168889431442"/>
        </patternFill>
      </fill>
    </odxf>
    <ndxf>
      <numFmt numFmtId="2" formatCode="0.00"/>
      <fill>
        <patternFill>
          <bgColor theme="0"/>
        </patternFill>
      </fill>
    </ndxf>
  </rcc>
  <rfmt sheetId="9" sqref="AA11" start="0" length="0">
    <dxf>
      <numFmt numFmtId="2" formatCode="0.00"/>
      <fill>
        <patternFill>
          <bgColor theme="0"/>
        </patternFill>
      </fill>
    </dxf>
  </rfmt>
  <rcc rId="8510" sId="9" odxf="1" dxf="1">
    <oc r="AB11">
      <f>AB12</f>
    </oc>
    <nc r="AB11">
      <f>AB12</f>
    </nc>
    <odxf>
      <numFmt numFmtId="4" formatCode="#,##0.00"/>
      <fill>
        <patternFill>
          <bgColor theme="7" tint="0.79998168889431442"/>
        </patternFill>
      </fill>
    </odxf>
    <ndxf>
      <numFmt numFmtId="2" formatCode="0.00"/>
      <fill>
        <patternFill>
          <bgColor theme="0"/>
        </patternFill>
      </fill>
    </ndxf>
  </rcc>
  <rfmt sheetId="9" sqref="AC11" start="0" length="0">
    <dxf>
      <numFmt numFmtId="2" formatCode="0.00"/>
      <fill>
        <patternFill>
          <bgColor theme="0"/>
        </patternFill>
      </fill>
    </dxf>
  </rfmt>
  <rcc rId="8511" sId="9" odxf="1" dxf="1">
    <oc r="AD11">
      <f>AD12</f>
    </oc>
    <nc r="AD11">
      <f>AD12</f>
    </nc>
    <odxf>
      <numFmt numFmtId="4" formatCode="#,##0.00"/>
      <fill>
        <patternFill>
          <bgColor theme="7" tint="0.79998168889431442"/>
        </patternFill>
      </fill>
    </odxf>
    <ndxf>
      <numFmt numFmtId="2" formatCode="0.00"/>
      <fill>
        <patternFill>
          <bgColor theme="0"/>
        </patternFill>
      </fill>
    </ndxf>
  </rcc>
  <rfmt sheetId="9" sqref="AE11" start="0" length="0">
    <dxf>
      <numFmt numFmtId="2" formatCode="0.00"/>
      <fill>
        <patternFill>
          <bgColor theme="0"/>
        </patternFill>
      </fill>
    </dxf>
  </rfmt>
  <rcc rId="8512" sId="9" odxf="1" dxf="1">
    <oc r="B12">
      <f>B13+B14+B15+B16</f>
    </oc>
    <nc r="B12">
      <f>B13+B14+B15+B16</f>
    </nc>
    <odxf>
      <numFmt numFmtId="4" formatCode="#,##0.00"/>
      <fill>
        <patternFill>
          <bgColor theme="7" tint="0.79998168889431442"/>
        </patternFill>
      </fill>
    </odxf>
    <ndxf>
      <numFmt numFmtId="2" formatCode="0.00"/>
      <fill>
        <patternFill>
          <bgColor theme="0"/>
        </patternFill>
      </fill>
    </ndxf>
  </rcc>
  <rcc rId="8513" sId="9" odxf="1" dxf="1">
    <oc r="C12">
      <f>C13+C14+C15+C16</f>
    </oc>
    <nc r="C12">
      <f>C13+C14+C15+C16</f>
    </nc>
    <odxf>
      <numFmt numFmtId="4" formatCode="#,##0.00"/>
      <fill>
        <patternFill>
          <bgColor theme="7" tint="0.79998168889431442"/>
        </patternFill>
      </fill>
    </odxf>
    <ndxf>
      <numFmt numFmtId="2" formatCode="0.00"/>
      <fill>
        <patternFill>
          <bgColor theme="0"/>
        </patternFill>
      </fill>
    </ndxf>
  </rcc>
  <rcc rId="8514" sId="9" odxf="1" dxf="1">
    <oc r="D12">
      <f>D13+D14+D15+D16</f>
    </oc>
    <nc r="D12">
      <f>D13+D14+D15+D16</f>
    </nc>
    <odxf>
      <numFmt numFmtId="4" formatCode="#,##0.00"/>
      <fill>
        <patternFill>
          <bgColor theme="7" tint="0.79998168889431442"/>
        </patternFill>
      </fill>
    </odxf>
    <ndxf>
      <numFmt numFmtId="2" formatCode="0.00"/>
      <fill>
        <patternFill>
          <bgColor theme="0"/>
        </patternFill>
      </fill>
    </ndxf>
  </rcc>
  <rcc rId="8515" sId="9" odxf="1" dxf="1">
    <oc r="E12">
      <f>E13+E14+E15+E16</f>
    </oc>
    <nc r="E12">
      <f>E13+E14+E15+E16</f>
    </nc>
    <odxf>
      <numFmt numFmtId="4" formatCode="#,##0.00"/>
      <fill>
        <patternFill>
          <bgColor theme="7" tint="0.79998168889431442"/>
        </patternFill>
      </fill>
    </odxf>
    <ndxf>
      <numFmt numFmtId="2" formatCode="0.00"/>
      <fill>
        <patternFill>
          <bgColor theme="0"/>
        </patternFill>
      </fill>
    </ndxf>
  </rcc>
  <rcc rId="8516" sId="9" odxf="1" dxf="1">
    <oc r="F12">
      <f>F13+F14+F15+F16</f>
    </oc>
    <nc r="F12">
      <f>F13+F14+F15+F16</f>
    </nc>
    <odxf>
      <numFmt numFmtId="4" formatCode="#,##0.00"/>
      <fill>
        <patternFill>
          <bgColor theme="7" tint="0.79998168889431442"/>
        </patternFill>
      </fill>
    </odxf>
    <ndxf>
      <numFmt numFmtId="2" formatCode="0.00"/>
      <fill>
        <patternFill>
          <bgColor theme="9" tint="0.79998168889431442"/>
        </patternFill>
      </fill>
    </ndxf>
  </rcc>
  <rcc rId="8517" sId="9" odxf="1" dxf="1">
    <oc r="G12">
      <f>G13+G14+G15+G16</f>
    </oc>
    <nc r="G12">
      <f>G13+G14+G15+G16</f>
    </nc>
    <odxf>
      <numFmt numFmtId="4" formatCode="#,##0.00"/>
      <fill>
        <patternFill>
          <bgColor theme="7" tint="0.79998168889431442"/>
        </patternFill>
      </fill>
    </odxf>
    <ndxf>
      <numFmt numFmtId="2" formatCode="0.00"/>
      <fill>
        <patternFill>
          <bgColor theme="9" tint="0.79998168889431442"/>
        </patternFill>
      </fill>
    </ndxf>
  </rcc>
  <rcc rId="8518" sId="9" odxf="1" dxf="1">
    <oc r="H12">
      <f>H13+H14+H15+H16</f>
    </oc>
    <nc r="H12">
      <f>H13+H14+H15+H16</f>
    </nc>
    <odxf>
      <numFmt numFmtId="4" formatCode="#,##0.00"/>
      <fill>
        <patternFill>
          <bgColor theme="7" tint="0.79998168889431442"/>
        </patternFill>
      </fill>
    </odxf>
    <ndxf>
      <numFmt numFmtId="2" formatCode="0.00"/>
      <fill>
        <patternFill>
          <bgColor theme="0"/>
        </patternFill>
      </fill>
    </ndxf>
  </rcc>
  <rcc rId="8519" sId="9" odxf="1" dxf="1">
    <oc r="I12">
      <f>I13+I14+I15+I16</f>
    </oc>
    <nc r="I12">
      <f>I13+I14+I15+I16</f>
    </nc>
    <odxf>
      <numFmt numFmtId="4" formatCode="#,##0.00"/>
      <fill>
        <patternFill>
          <bgColor theme="7" tint="0.79998168889431442"/>
        </patternFill>
      </fill>
    </odxf>
    <ndxf>
      <numFmt numFmtId="2" formatCode="0.00"/>
      <fill>
        <patternFill>
          <bgColor theme="0"/>
        </patternFill>
      </fill>
    </ndxf>
  </rcc>
  <rcc rId="8520" sId="9" odxf="1" dxf="1">
    <oc r="J12">
      <f>J13+J14+J15+J16</f>
    </oc>
    <nc r="J12">
      <f>J13+J14+J15+J16</f>
    </nc>
    <odxf>
      <numFmt numFmtId="4" formatCode="#,##0.00"/>
      <fill>
        <patternFill>
          <bgColor theme="7" tint="0.79998168889431442"/>
        </patternFill>
      </fill>
    </odxf>
    <ndxf>
      <numFmt numFmtId="2" formatCode="0.00"/>
      <fill>
        <patternFill>
          <bgColor theme="0"/>
        </patternFill>
      </fill>
    </ndxf>
  </rcc>
  <rcc rId="8521" sId="9" odxf="1" dxf="1">
    <oc r="K12">
      <f>K13+K14+K15+K16</f>
    </oc>
    <nc r="K12">
      <f>K13+K14+K15+K16</f>
    </nc>
    <odxf>
      <numFmt numFmtId="4" formatCode="#,##0.00"/>
      <fill>
        <patternFill>
          <bgColor theme="7" tint="0.79998168889431442"/>
        </patternFill>
      </fill>
    </odxf>
    <ndxf>
      <numFmt numFmtId="2" formatCode="0.00"/>
      <fill>
        <patternFill>
          <bgColor theme="0"/>
        </patternFill>
      </fill>
    </ndxf>
  </rcc>
  <rcc rId="8522" sId="9" odxf="1" dxf="1">
    <oc r="L12">
      <f>L13+L14+L15+L16</f>
    </oc>
    <nc r="L12">
      <f>L13+L14+L15+L16</f>
    </nc>
    <odxf>
      <numFmt numFmtId="4" formatCode="#,##0.00"/>
      <fill>
        <patternFill>
          <bgColor theme="7" tint="0.79998168889431442"/>
        </patternFill>
      </fill>
    </odxf>
    <ndxf>
      <numFmt numFmtId="2" formatCode="0.00"/>
      <fill>
        <patternFill>
          <bgColor theme="0"/>
        </patternFill>
      </fill>
    </ndxf>
  </rcc>
  <rcc rId="8523" sId="9" odxf="1" dxf="1">
    <nc r="M12">
      <f>M13+M14+M15+M16</f>
    </nc>
    <odxf>
      <numFmt numFmtId="4" formatCode="#,##0.00"/>
      <fill>
        <patternFill>
          <bgColor theme="7" tint="0.79998168889431442"/>
        </patternFill>
      </fill>
    </odxf>
    <ndxf>
      <numFmt numFmtId="2" formatCode="0.00"/>
      <fill>
        <patternFill>
          <bgColor theme="0"/>
        </patternFill>
      </fill>
    </ndxf>
  </rcc>
  <rcc rId="8524" sId="9" odxf="1" dxf="1">
    <oc r="N12">
      <f>N13+N14+N15+N16</f>
    </oc>
    <nc r="N12">
      <f>N13+N14+N15+N16</f>
    </nc>
    <odxf>
      <numFmt numFmtId="4" formatCode="#,##0.00"/>
      <fill>
        <patternFill>
          <bgColor theme="7" tint="0.79998168889431442"/>
        </patternFill>
      </fill>
    </odxf>
    <ndxf>
      <numFmt numFmtId="2" formatCode="0.00"/>
      <fill>
        <patternFill>
          <bgColor theme="0"/>
        </patternFill>
      </fill>
    </ndxf>
  </rcc>
  <rcc rId="8525" sId="9" odxf="1" dxf="1">
    <nc r="O12">
      <f>O13+O14+O15+O16</f>
    </nc>
    <odxf>
      <numFmt numFmtId="4" formatCode="#,##0.00"/>
      <fill>
        <patternFill>
          <bgColor theme="7" tint="0.79998168889431442"/>
        </patternFill>
      </fill>
    </odxf>
    <ndxf>
      <numFmt numFmtId="2" formatCode="0.00"/>
      <fill>
        <patternFill>
          <bgColor theme="0"/>
        </patternFill>
      </fill>
    </ndxf>
  </rcc>
  <rcc rId="8526" sId="9" odxf="1" dxf="1">
    <oc r="P12">
      <f>P13+P14+P15+P16</f>
    </oc>
    <nc r="P12">
      <f>P13+P14+P15+P16</f>
    </nc>
    <odxf>
      <numFmt numFmtId="4" formatCode="#,##0.00"/>
      <fill>
        <patternFill>
          <bgColor theme="7" tint="0.79998168889431442"/>
        </patternFill>
      </fill>
    </odxf>
    <ndxf>
      <numFmt numFmtId="2" formatCode="0.00"/>
      <fill>
        <patternFill>
          <bgColor theme="0"/>
        </patternFill>
      </fill>
    </ndxf>
  </rcc>
  <rcc rId="8527" sId="9" odxf="1" dxf="1">
    <nc r="Q12">
      <f>Q13+Q14+Q15+Q16</f>
    </nc>
    <odxf>
      <numFmt numFmtId="4" formatCode="#,##0.00"/>
      <fill>
        <patternFill>
          <bgColor theme="7" tint="0.79998168889431442"/>
        </patternFill>
      </fill>
    </odxf>
    <ndxf>
      <numFmt numFmtId="2" formatCode="0.00"/>
      <fill>
        <patternFill>
          <bgColor theme="0"/>
        </patternFill>
      </fill>
    </ndxf>
  </rcc>
  <rcc rId="8528" sId="9" odxf="1" dxf="1">
    <oc r="R12">
      <f>R13+R14+R15+R16</f>
    </oc>
    <nc r="R12">
      <f>R13+R14+R15+R16</f>
    </nc>
    <odxf>
      <numFmt numFmtId="4" formatCode="#,##0.00"/>
      <fill>
        <patternFill>
          <bgColor theme="7" tint="0.79998168889431442"/>
        </patternFill>
      </fill>
    </odxf>
    <ndxf>
      <numFmt numFmtId="2" formatCode="0.00"/>
      <fill>
        <patternFill>
          <bgColor theme="0"/>
        </patternFill>
      </fill>
    </ndxf>
  </rcc>
  <rcc rId="8529" sId="9" odxf="1" dxf="1">
    <nc r="S12">
      <f>S13+S14+S15+S16</f>
    </nc>
    <odxf>
      <numFmt numFmtId="4" formatCode="#,##0.00"/>
      <fill>
        <patternFill>
          <bgColor theme="7" tint="0.79998168889431442"/>
        </patternFill>
      </fill>
    </odxf>
    <ndxf>
      <numFmt numFmtId="2" formatCode="0.00"/>
      <fill>
        <patternFill>
          <bgColor theme="0"/>
        </patternFill>
      </fill>
    </ndxf>
  </rcc>
  <rcc rId="8530" sId="9" odxf="1" dxf="1">
    <oc r="T12">
      <f>T13+T14+T15+T16</f>
    </oc>
    <nc r="T12">
      <f>T13+T14+T15+T16</f>
    </nc>
    <odxf>
      <numFmt numFmtId="4" formatCode="#,##0.00"/>
      <fill>
        <patternFill>
          <bgColor theme="7" tint="0.79998168889431442"/>
        </patternFill>
      </fill>
    </odxf>
    <ndxf>
      <numFmt numFmtId="2" formatCode="0.00"/>
      <fill>
        <patternFill>
          <bgColor theme="0"/>
        </patternFill>
      </fill>
    </ndxf>
  </rcc>
  <rfmt sheetId="9" sqref="U12" start="0" length="0">
    <dxf>
      <numFmt numFmtId="2" formatCode="0.00"/>
      <fill>
        <patternFill>
          <bgColor theme="0"/>
        </patternFill>
      </fill>
    </dxf>
  </rfmt>
  <rcc rId="8531" sId="9" odxf="1" dxf="1">
    <oc r="V12">
      <f>V13+V14+V15+V16</f>
    </oc>
    <nc r="V12">
      <f>V13+V14+V15+V16</f>
    </nc>
    <odxf>
      <numFmt numFmtId="4" formatCode="#,##0.00"/>
      <fill>
        <patternFill>
          <bgColor theme="7" tint="0.79998168889431442"/>
        </patternFill>
      </fill>
    </odxf>
    <ndxf>
      <numFmt numFmtId="2" formatCode="0.00"/>
      <fill>
        <patternFill>
          <bgColor theme="0"/>
        </patternFill>
      </fill>
    </ndxf>
  </rcc>
  <rfmt sheetId="9" sqref="W12" start="0" length="0">
    <dxf>
      <numFmt numFmtId="2" formatCode="0.00"/>
      <fill>
        <patternFill>
          <bgColor theme="0"/>
        </patternFill>
      </fill>
    </dxf>
  </rfmt>
  <rcc rId="8532" sId="9" odxf="1" dxf="1">
    <oc r="X12">
      <f>X13+X14+X15+X16</f>
    </oc>
    <nc r="X12">
      <f>X13+X14+X15+X16</f>
    </nc>
    <odxf>
      <numFmt numFmtId="4" formatCode="#,##0.00"/>
      <fill>
        <patternFill>
          <bgColor theme="7" tint="0.79998168889431442"/>
        </patternFill>
      </fill>
    </odxf>
    <ndxf>
      <numFmt numFmtId="2" formatCode="0.00"/>
      <fill>
        <patternFill>
          <bgColor theme="0"/>
        </patternFill>
      </fill>
    </ndxf>
  </rcc>
  <rfmt sheetId="9" sqref="Y12" start="0" length="0">
    <dxf>
      <numFmt numFmtId="2" formatCode="0.00"/>
      <fill>
        <patternFill>
          <bgColor theme="0"/>
        </patternFill>
      </fill>
    </dxf>
  </rfmt>
  <rcc rId="8533" sId="9" odxf="1" dxf="1">
    <oc r="Z12">
      <f>Z13+Z14+Z15+Z16</f>
    </oc>
    <nc r="Z12">
      <f>Z13+Z14+Z15+Z16</f>
    </nc>
    <odxf>
      <numFmt numFmtId="4" formatCode="#,##0.00"/>
      <fill>
        <patternFill>
          <bgColor theme="7" tint="0.79998168889431442"/>
        </patternFill>
      </fill>
    </odxf>
    <ndxf>
      <numFmt numFmtId="2" formatCode="0.00"/>
      <fill>
        <patternFill>
          <bgColor theme="0"/>
        </patternFill>
      </fill>
    </ndxf>
  </rcc>
  <rfmt sheetId="9" sqref="AA12" start="0" length="0">
    <dxf>
      <numFmt numFmtId="2" formatCode="0.00"/>
      <fill>
        <patternFill>
          <bgColor theme="0"/>
        </patternFill>
      </fill>
    </dxf>
  </rfmt>
  <rcc rId="8534" sId="9" odxf="1" dxf="1">
    <oc r="AB12">
      <f>AB13+AB14+AB15+AB16</f>
    </oc>
    <nc r="AB12">
      <f>AB13+AB14+AB15+AB16</f>
    </nc>
    <odxf>
      <numFmt numFmtId="4" formatCode="#,##0.00"/>
      <fill>
        <patternFill>
          <bgColor theme="7" tint="0.79998168889431442"/>
        </patternFill>
      </fill>
    </odxf>
    <ndxf>
      <numFmt numFmtId="2" formatCode="0.00"/>
      <fill>
        <patternFill>
          <bgColor theme="0"/>
        </patternFill>
      </fill>
    </ndxf>
  </rcc>
  <rfmt sheetId="9" sqref="AC12" start="0" length="0">
    <dxf>
      <numFmt numFmtId="2" formatCode="0.00"/>
      <fill>
        <patternFill>
          <bgColor theme="0"/>
        </patternFill>
      </fill>
    </dxf>
  </rfmt>
  <rcc rId="8535" sId="9" odxf="1" dxf="1">
    <oc r="AD12">
      <f>AD13+AD14+AD15+AD16</f>
    </oc>
    <nc r="AD12">
      <f>AD13+AD14+AD15+AD16</f>
    </nc>
    <odxf>
      <numFmt numFmtId="4" formatCode="#,##0.00"/>
      <fill>
        <patternFill>
          <bgColor theme="7" tint="0.79998168889431442"/>
        </patternFill>
      </fill>
    </odxf>
    <ndxf>
      <numFmt numFmtId="2" formatCode="0.00"/>
      <fill>
        <patternFill>
          <bgColor theme="0"/>
        </patternFill>
      </fill>
    </ndxf>
  </rcc>
  <rfmt sheetId="9" sqref="AE12" start="0" length="0">
    <dxf>
      <numFmt numFmtId="2" formatCode="0.00"/>
      <fill>
        <patternFill>
          <bgColor theme="0"/>
        </patternFill>
      </fill>
    </dxf>
  </rfmt>
  <rcc rId="8536" sId="9" odxf="1" dxf="1">
    <oc r="B13">
      <f>H13+J13+L13+N13+P13+R13+T13+V13+X13+Z13+AB13+AD13</f>
    </oc>
    <nc r="B13">
      <f>H13+J13+L13+N13+P13+R13+T13+V13+X13+Z13+AB13+AD13</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537" sId="9" odxf="1" dxf="1">
    <oc r="C13">
      <f>H13+J13</f>
    </oc>
    <nc r="C13">
      <f>H13</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538" sId="9" odxf="1" dxf="1">
    <oc r="D13">
      <f>I13</f>
    </oc>
    <nc r="D13">
      <f>I13</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E13" start="0" length="0">
    <dxf>
      <font>
        <b/>
        <sz val="14"/>
        <name val="Times New Roman"/>
        <scheme val="none"/>
      </font>
      <numFmt numFmtId="2" formatCode="0.00"/>
      <fill>
        <patternFill>
          <bgColor theme="0"/>
        </patternFill>
      </fill>
    </dxf>
  </rfmt>
  <rfmt sheetId="9" sqref="F13" start="0" length="0">
    <dxf>
      <font>
        <b/>
        <sz val="14"/>
        <name val="Times New Roman"/>
        <scheme val="none"/>
      </font>
      <numFmt numFmtId="2" formatCode="0.00"/>
      <fill>
        <patternFill>
          <bgColor theme="9" tint="0.79998168889431442"/>
        </patternFill>
      </fill>
    </dxf>
  </rfmt>
  <rfmt sheetId="9" sqref="G13" start="0" length="0">
    <dxf>
      <font>
        <b/>
        <sz val="14"/>
        <name val="Times New Roman"/>
        <scheme val="none"/>
      </font>
      <numFmt numFmtId="2" formatCode="0.00"/>
      <fill>
        <patternFill>
          <bgColor theme="9" tint="0.79998168889431442"/>
        </patternFill>
      </fill>
    </dxf>
  </rfmt>
  <rfmt sheetId="9" sqref="H13" start="0" length="0">
    <dxf>
      <font>
        <b/>
        <sz val="14"/>
        <name val="Times New Roman"/>
        <scheme val="none"/>
      </font>
      <numFmt numFmtId="2" formatCode="0.00"/>
      <fill>
        <patternFill>
          <bgColor theme="0"/>
        </patternFill>
      </fill>
    </dxf>
  </rfmt>
  <rfmt sheetId="9" sqref="I13" start="0" length="0">
    <dxf>
      <font>
        <b/>
        <sz val="14"/>
        <name val="Times New Roman"/>
        <scheme val="none"/>
      </font>
      <numFmt numFmtId="2" formatCode="0.00"/>
      <fill>
        <patternFill>
          <bgColor theme="0"/>
        </patternFill>
      </fill>
    </dxf>
  </rfmt>
  <rfmt sheetId="9" sqref="J13" start="0" length="0">
    <dxf>
      <font>
        <b/>
        <sz val="14"/>
        <name val="Times New Roman"/>
        <scheme val="none"/>
      </font>
      <numFmt numFmtId="2" formatCode="0.00"/>
      <fill>
        <patternFill>
          <bgColor theme="0"/>
        </patternFill>
      </fill>
    </dxf>
  </rfmt>
  <rfmt sheetId="9" sqref="K13" start="0" length="0">
    <dxf>
      <font>
        <b/>
        <sz val="14"/>
        <name val="Times New Roman"/>
        <scheme val="none"/>
      </font>
      <numFmt numFmtId="2" formatCode="0.00"/>
      <fill>
        <patternFill>
          <bgColor theme="0"/>
        </patternFill>
      </fill>
    </dxf>
  </rfmt>
  <rcc rId="8539" sId="9" odxf="1" dxf="1" numFmtId="4">
    <nc r="L13">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540" sId="9" odxf="1" dxf="1" numFmtId="4">
    <nc r="M13">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541" sId="9" odxf="1" dxf="1" numFmtId="4">
    <nc r="N13">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542" sId="9" odxf="1" dxf="1" numFmtId="4">
    <nc r="O13">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543" sId="9" odxf="1" dxf="1" numFmtId="4">
    <nc r="P13">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544" sId="9" odxf="1" dxf="1" numFmtId="4">
    <nc r="Q13">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545" sId="9" odxf="1" dxf="1" numFmtId="4">
    <nc r="R13">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546" sId="9" odxf="1" dxf="1" numFmtId="4">
    <nc r="S13">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547" sId="9" odxf="1" dxf="1" numFmtId="4">
    <nc r="T13">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U13" start="0" length="0">
    <dxf>
      <font>
        <b/>
        <sz val="14"/>
        <name val="Times New Roman"/>
        <scheme val="none"/>
      </font>
      <numFmt numFmtId="2" formatCode="0.00"/>
      <fill>
        <patternFill>
          <bgColor theme="0"/>
        </patternFill>
      </fill>
    </dxf>
  </rfmt>
  <rcc rId="8548" sId="9" odxf="1" dxf="1" numFmtId="4">
    <nc r="V13">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W13" start="0" length="0">
    <dxf>
      <font>
        <b/>
        <sz val="14"/>
        <name val="Times New Roman"/>
        <scheme val="none"/>
      </font>
      <numFmt numFmtId="2" formatCode="0.00"/>
      <fill>
        <patternFill>
          <bgColor theme="0"/>
        </patternFill>
      </fill>
    </dxf>
  </rfmt>
  <rcc rId="8549" sId="9" odxf="1" dxf="1" numFmtId="4">
    <nc r="X13">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Y13" start="0" length="0">
    <dxf>
      <font>
        <b/>
        <sz val="14"/>
        <name val="Times New Roman"/>
        <scheme val="none"/>
      </font>
      <numFmt numFmtId="2" formatCode="0.00"/>
      <fill>
        <patternFill>
          <bgColor theme="0"/>
        </patternFill>
      </fill>
    </dxf>
  </rfmt>
  <rcc rId="8550" sId="9" odxf="1" dxf="1" numFmtId="4">
    <nc r="Z13">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A13" start="0" length="0">
    <dxf>
      <font>
        <b/>
        <sz val="14"/>
        <name val="Times New Roman"/>
        <scheme val="none"/>
      </font>
      <numFmt numFmtId="2" formatCode="0.00"/>
      <fill>
        <patternFill>
          <bgColor theme="0"/>
        </patternFill>
      </fill>
    </dxf>
  </rfmt>
  <rcc rId="8551" sId="9" odxf="1" dxf="1" numFmtId="4">
    <nc r="AB13">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C13" start="0" length="0">
    <dxf>
      <font>
        <b/>
        <sz val="14"/>
        <name val="Times New Roman"/>
        <scheme val="none"/>
      </font>
      <numFmt numFmtId="2" formatCode="0.00"/>
      <fill>
        <patternFill>
          <bgColor theme="0"/>
        </patternFill>
      </fill>
    </dxf>
  </rfmt>
  <rcc rId="8552" sId="9" odxf="1" dxf="1" numFmtId="4">
    <nc r="AD13">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E13" start="0" length="0">
    <dxf>
      <font>
        <b/>
        <sz val="14"/>
        <name val="Times New Roman"/>
        <scheme val="none"/>
      </font>
      <numFmt numFmtId="2" formatCode="0.00"/>
      <fill>
        <patternFill>
          <bgColor theme="0"/>
        </patternFill>
      </fill>
    </dxf>
  </rfmt>
  <rcc rId="8553" sId="9" odxf="1" dxf="1">
    <oc r="B14">
      <f>H14+J14+L14+N14+P14+R14+T14+V14+X14+Z14+AB14+AD14</f>
    </oc>
    <nc r="B14">
      <f>H14+J14+L14+N14+P14+R14+T14+V14+X14+Z14+AB14+AD14</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554" sId="9" odxf="1" dxf="1">
    <oc r="C14">
      <f>H14+J14</f>
    </oc>
    <nc r="C14">
      <f>H14</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555" sId="9" odxf="1" dxf="1">
    <oc r="D14">
      <f>I14</f>
    </oc>
    <nc r="D14">
      <f>I14</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E14" start="0" length="0">
    <dxf>
      <font>
        <b/>
        <sz val="14"/>
        <name val="Times New Roman"/>
        <scheme val="none"/>
      </font>
      <numFmt numFmtId="2" formatCode="0.00"/>
      <fill>
        <patternFill>
          <bgColor theme="0"/>
        </patternFill>
      </fill>
    </dxf>
  </rfmt>
  <rfmt sheetId="9" sqref="F14" start="0" length="0">
    <dxf>
      <font>
        <b/>
        <sz val="14"/>
        <name val="Times New Roman"/>
        <scheme val="none"/>
      </font>
      <numFmt numFmtId="2" formatCode="0.00"/>
      <fill>
        <patternFill>
          <bgColor theme="9" tint="0.79998168889431442"/>
        </patternFill>
      </fill>
    </dxf>
  </rfmt>
  <rfmt sheetId="9" sqref="G14" start="0" length="0">
    <dxf>
      <font>
        <b/>
        <sz val="14"/>
        <name val="Times New Roman"/>
        <scheme val="none"/>
      </font>
      <numFmt numFmtId="2" formatCode="0.00"/>
      <fill>
        <patternFill>
          <bgColor theme="9" tint="0.79998168889431442"/>
        </patternFill>
      </fill>
    </dxf>
  </rfmt>
  <rfmt sheetId="9" sqref="H14" start="0" length="0">
    <dxf>
      <font>
        <b/>
        <sz val="14"/>
        <name val="Times New Roman"/>
        <scheme val="none"/>
      </font>
      <numFmt numFmtId="2" formatCode="0.00"/>
      <fill>
        <patternFill>
          <bgColor theme="0"/>
        </patternFill>
      </fill>
    </dxf>
  </rfmt>
  <rfmt sheetId="9" sqref="I14" start="0" length="0">
    <dxf>
      <font>
        <b/>
        <sz val="14"/>
        <name val="Times New Roman"/>
        <scheme val="none"/>
      </font>
      <numFmt numFmtId="2" formatCode="0.00"/>
      <fill>
        <patternFill>
          <bgColor theme="0"/>
        </patternFill>
      </fill>
    </dxf>
  </rfmt>
  <rfmt sheetId="9" sqref="J14" start="0" length="0">
    <dxf>
      <font>
        <b/>
        <sz val="14"/>
        <name val="Times New Roman"/>
        <scheme val="none"/>
      </font>
      <numFmt numFmtId="2" formatCode="0.00"/>
      <fill>
        <patternFill>
          <bgColor theme="0"/>
        </patternFill>
      </fill>
    </dxf>
  </rfmt>
  <rfmt sheetId="9" sqref="K14" start="0" length="0">
    <dxf>
      <font>
        <b/>
        <sz val="14"/>
        <name val="Times New Roman"/>
        <scheme val="none"/>
      </font>
      <numFmt numFmtId="2" formatCode="0.00"/>
      <fill>
        <patternFill>
          <bgColor theme="0"/>
        </patternFill>
      </fill>
    </dxf>
  </rfmt>
  <rcc rId="8556" sId="9" odxf="1" dxf="1" numFmtId="4">
    <nc r="L14">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557" sId="9" odxf="1" dxf="1" numFmtId="4">
    <nc r="M14">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558" sId="9" odxf="1" dxf="1" numFmtId="4">
    <nc r="N14">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559" sId="9" odxf="1" dxf="1" numFmtId="4">
    <nc r="O14">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560" sId="9" odxf="1" dxf="1" numFmtId="4">
    <nc r="P14">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561" sId="9" odxf="1" dxf="1" numFmtId="4">
    <nc r="Q14">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562" sId="9" odxf="1" dxf="1" numFmtId="4">
    <nc r="R14">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563" sId="9" odxf="1" dxf="1" numFmtId="4">
    <nc r="S14">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564" sId="9" odxf="1" dxf="1" numFmtId="4">
    <nc r="T14">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U14" start="0" length="0">
    <dxf>
      <font>
        <b/>
        <sz val="14"/>
        <name val="Times New Roman"/>
        <scheme val="none"/>
      </font>
      <numFmt numFmtId="2" formatCode="0.00"/>
      <fill>
        <patternFill>
          <bgColor theme="0"/>
        </patternFill>
      </fill>
    </dxf>
  </rfmt>
  <rcc rId="8565" sId="9" odxf="1" dxf="1" numFmtId="4">
    <nc r="V14">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W14" start="0" length="0">
    <dxf>
      <font>
        <b/>
        <sz val="14"/>
        <name val="Times New Roman"/>
        <scheme val="none"/>
      </font>
      <numFmt numFmtId="2" formatCode="0.00"/>
      <fill>
        <patternFill>
          <bgColor theme="0"/>
        </patternFill>
      </fill>
    </dxf>
  </rfmt>
  <rcc rId="8566" sId="9" odxf="1" dxf="1" numFmtId="4">
    <nc r="X14">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Y14" start="0" length="0">
    <dxf>
      <font>
        <b/>
        <sz val="14"/>
        <name val="Times New Roman"/>
        <scheme val="none"/>
      </font>
      <numFmt numFmtId="2" formatCode="0.00"/>
      <fill>
        <patternFill>
          <bgColor theme="0"/>
        </patternFill>
      </fill>
    </dxf>
  </rfmt>
  <rcc rId="8567" sId="9" odxf="1" dxf="1" numFmtId="4">
    <nc r="Z14">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A14" start="0" length="0">
    <dxf>
      <font>
        <b/>
        <sz val="14"/>
        <name val="Times New Roman"/>
        <scheme val="none"/>
      </font>
      <numFmt numFmtId="2" formatCode="0.00"/>
      <fill>
        <patternFill>
          <bgColor theme="0"/>
        </patternFill>
      </fill>
    </dxf>
  </rfmt>
  <rcc rId="8568" sId="9" odxf="1" dxf="1" numFmtId="4">
    <nc r="AB14">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C14" start="0" length="0">
    <dxf>
      <font>
        <b/>
        <sz val="14"/>
        <name val="Times New Roman"/>
        <scheme val="none"/>
      </font>
      <numFmt numFmtId="2" formatCode="0.00"/>
      <fill>
        <patternFill>
          <bgColor theme="0"/>
        </patternFill>
      </fill>
    </dxf>
  </rfmt>
  <rcc rId="8569" sId="9" odxf="1" dxf="1" numFmtId="4">
    <nc r="AD14">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E14" start="0" length="0">
    <dxf>
      <font>
        <b/>
        <sz val="14"/>
        <name val="Times New Roman"/>
        <scheme val="none"/>
      </font>
      <numFmt numFmtId="2" formatCode="0.00"/>
      <fill>
        <patternFill>
          <bgColor theme="0"/>
        </patternFill>
      </fill>
    </dxf>
  </rfmt>
  <rcc rId="8570" sId="9" odxf="1" dxf="1">
    <oc r="B15">
      <f>H15+J15+L15+N15+P15+R15+T15+V15+X15+Z15+AB15+AD15</f>
    </oc>
    <nc r="B15">
      <f>H15+J15+L15+N15+P15+R15+T15+V15+X15+Z15+AB15+AD15</f>
    </nc>
    <odxf>
      <font>
        <b val="0"/>
        <sz val="14"/>
        <name val="Times New Roman"/>
        <scheme val="none"/>
      </font>
      <numFmt numFmtId="4" formatCode="#,##0.00"/>
      <fill>
        <patternFill>
          <bgColor theme="7" tint="0.79998168889431442"/>
        </patternFill>
      </fill>
    </odxf>
    <ndxf>
      <font>
        <b/>
        <sz val="14"/>
        <color rgb="FFFF0000"/>
        <name val="Times New Roman"/>
        <scheme val="none"/>
      </font>
      <numFmt numFmtId="2" formatCode="0.00"/>
      <fill>
        <patternFill>
          <bgColor theme="0"/>
        </patternFill>
      </fill>
    </ndxf>
  </rcc>
  <rcc rId="8571" sId="9" odxf="1" dxf="1">
    <oc r="C15">
      <f>H15+J15</f>
    </oc>
    <nc r="C15">
      <f>H15+J15+L15+N15+P15+R15</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572" sId="9" odxf="1" dxf="1">
    <oc r="D15">
      <f>I15</f>
    </oc>
    <nc r="D15">
      <f>E15</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573" sId="9" odxf="1" dxf="1">
    <oc r="E15">
      <f>I15</f>
    </oc>
    <nc r="E15">
      <f>I15+K15+M15+O15+Q15+S15</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F15" start="0" length="0">
    <dxf>
      <font>
        <b/>
        <sz val="14"/>
        <name val="Times New Roman"/>
        <scheme val="none"/>
      </font>
      <numFmt numFmtId="2" formatCode="0.00"/>
      <fill>
        <patternFill>
          <bgColor theme="9" tint="0.79998168889431442"/>
        </patternFill>
      </fill>
    </dxf>
  </rfmt>
  <rfmt sheetId="9" sqref="G15" start="0" length="0">
    <dxf>
      <font>
        <b/>
        <sz val="14"/>
        <name val="Times New Roman"/>
        <scheme val="none"/>
      </font>
      <numFmt numFmtId="2" formatCode="0.00"/>
      <fill>
        <patternFill>
          <bgColor theme="9" tint="0.79998168889431442"/>
        </patternFill>
      </fill>
    </dxf>
  </rfmt>
  <rfmt sheetId="9" sqref="H15" start="0" length="0">
    <dxf>
      <font>
        <b/>
        <sz val="14"/>
        <name val="Times New Roman"/>
        <scheme val="none"/>
      </font>
      <numFmt numFmtId="2" formatCode="0.00"/>
      <fill>
        <patternFill>
          <bgColor theme="0"/>
        </patternFill>
      </fill>
    </dxf>
  </rfmt>
  <rfmt sheetId="9" sqref="I15" start="0" length="0">
    <dxf>
      <font>
        <b/>
        <sz val="14"/>
        <name val="Times New Roman"/>
        <scheme val="none"/>
      </font>
      <numFmt numFmtId="2" formatCode="0.00"/>
      <fill>
        <patternFill>
          <bgColor theme="0"/>
        </patternFill>
      </fill>
    </dxf>
  </rfmt>
  <rfmt sheetId="9" sqref="J15" start="0" length="0">
    <dxf>
      <font>
        <b/>
        <sz val="14"/>
        <name val="Times New Roman"/>
        <scheme val="none"/>
      </font>
      <numFmt numFmtId="2" formatCode="0.00"/>
      <fill>
        <patternFill>
          <bgColor theme="0"/>
        </patternFill>
      </fill>
    </dxf>
  </rfmt>
  <rfmt sheetId="9" sqref="K15" start="0" length="0">
    <dxf>
      <font>
        <b/>
        <sz val="14"/>
        <name val="Times New Roman"/>
        <scheme val="none"/>
      </font>
      <numFmt numFmtId="2" formatCode="0.00"/>
      <fill>
        <patternFill>
          <bgColor theme="0"/>
        </patternFill>
      </fill>
    </dxf>
  </rfmt>
  <rfmt sheetId="9" sqref="L15" start="0" length="0">
    <dxf>
      <font>
        <b/>
        <sz val="14"/>
        <name val="Times New Roman"/>
        <scheme val="none"/>
      </font>
      <numFmt numFmtId="2" formatCode="0.00"/>
      <fill>
        <patternFill>
          <bgColor theme="0"/>
        </patternFill>
      </fill>
    </dxf>
  </rfmt>
  <rcc rId="8574" sId="9" odxf="1" dxf="1" numFmtId="4">
    <nc r="M15">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575" sId="9" odxf="1" dxf="1" numFmtId="4">
    <nc r="N15">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576" sId="9" odxf="1" dxf="1" numFmtId="4">
    <nc r="O15">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577" sId="9" odxf="1" dxf="1" numFmtId="4">
    <nc r="P15">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578" sId="9" odxf="1" dxf="1" numFmtId="4">
    <nc r="Q15">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579" sId="9" odxf="1" dxf="1" numFmtId="4">
    <nc r="R15">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580" sId="9" odxf="1" dxf="1" numFmtId="4">
    <nc r="S15">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581" sId="9" odxf="1" dxf="1" numFmtId="4">
    <nc r="T15">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U15" start="0" length="0">
    <dxf>
      <font>
        <b/>
        <sz val="14"/>
        <name val="Times New Roman"/>
        <scheme val="none"/>
      </font>
      <numFmt numFmtId="2" formatCode="0.00"/>
      <fill>
        <patternFill>
          <bgColor theme="0"/>
        </patternFill>
      </fill>
    </dxf>
  </rfmt>
  <rcc rId="8582" sId="9" odxf="1" dxf="1" numFmtId="4">
    <nc r="V15">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W15" start="0" length="0">
    <dxf>
      <font>
        <b/>
        <sz val="14"/>
        <name val="Times New Roman"/>
        <scheme val="none"/>
      </font>
      <numFmt numFmtId="2" formatCode="0.00"/>
      <fill>
        <patternFill>
          <bgColor theme="0"/>
        </patternFill>
      </fill>
    </dxf>
  </rfmt>
  <rcc rId="8583" sId="9" odxf="1" dxf="1" numFmtId="4">
    <nc r="X15">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Y15" start="0" length="0">
    <dxf>
      <font>
        <b/>
        <sz val="14"/>
        <name val="Times New Roman"/>
        <scheme val="none"/>
      </font>
      <numFmt numFmtId="2" formatCode="0.00"/>
      <fill>
        <patternFill>
          <bgColor theme="0"/>
        </patternFill>
      </fill>
    </dxf>
  </rfmt>
  <rcc rId="8584" sId="9" odxf="1" dxf="1" numFmtId="4">
    <nc r="Z15">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A15" start="0" length="0">
    <dxf>
      <font>
        <b/>
        <sz val="14"/>
        <name val="Times New Roman"/>
        <scheme val="none"/>
      </font>
      <numFmt numFmtId="2" formatCode="0.00"/>
      <fill>
        <patternFill>
          <bgColor theme="0"/>
        </patternFill>
      </fill>
    </dxf>
  </rfmt>
  <rfmt sheetId="9" sqref="AB15" start="0" length="0">
    <dxf>
      <font>
        <b/>
        <sz val="14"/>
        <name val="Times New Roman"/>
        <scheme val="none"/>
      </font>
      <numFmt numFmtId="2" formatCode="0.00"/>
      <fill>
        <patternFill>
          <bgColor theme="0"/>
        </patternFill>
      </fill>
    </dxf>
  </rfmt>
  <rfmt sheetId="9" sqref="AC15" start="0" length="0">
    <dxf>
      <font>
        <b/>
        <sz val="14"/>
        <name val="Times New Roman"/>
        <scheme val="none"/>
      </font>
      <numFmt numFmtId="2" formatCode="0.00"/>
      <fill>
        <patternFill>
          <bgColor theme="0"/>
        </patternFill>
      </fill>
    </dxf>
  </rfmt>
  <rcc rId="8585" sId="9" odxf="1" dxf="1" numFmtId="4">
    <nc r="AD15">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E15" start="0" length="0">
    <dxf>
      <font>
        <b/>
        <sz val="14"/>
        <name val="Times New Roman"/>
        <scheme val="none"/>
      </font>
      <numFmt numFmtId="2" formatCode="0.00"/>
      <fill>
        <patternFill>
          <bgColor theme="0"/>
        </patternFill>
      </fill>
    </dxf>
  </rfmt>
  <rcc rId="8586" sId="9" odxf="1" dxf="1">
    <oc r="B16">
      <f>H16+J16+L16+N16+P16+R16+T16+V16+X16+Z16+AB16+AD16</f>
    </oc>
    <nc r="B16">
      <f>H16+J16+L16+N16+P16+R16+T16+V16+X16+Z16+AB16+AD16</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587" sId="9" odxf="1" dxf="1">
    <oc r="C16">
      <f>H16+J16</f>
    </oc>
    <nc r="C16">
      <f>H16</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588" sId="9" odxf="1" dxf="1">
    <oc r="D16">
      <f>I16</f>
    </oc>
    <nc r="D16">
      <f>I16</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E16" start="0" length="0">
    <dxf>
      <font>
        <b/>
        <sz val="14"/>
        <name val="Times New Roman"/>
        <scheme val="none"/>
      </font>
      <numFmt numFmtId="2" formatCode="0.00"/>
      <fill>
        <patternFill>
          <bgColor theme="0"/>
        </patternFill>
      </fill>
    </dxf>
  </rfmt>
  <rfmt sheetId="9" sqref="F16" start="0" length="0">
    <dxf>
      <font>
        <b/>
        <sz val="14"/>
        <name val="Times New Roman"/>
        <scheme val="none"/>
      </font>
      <numFmt numFmtId="2" formatCode="0.00"/>
      <fill>
        <patternFill>
          <bgColor theme="9" tint="0.79998168889431442"/>
        </patternFill>
      </fill>
    </dxf>
  </rfmt>
  <rfmt sheetId="9" sqref="G16" start="0" length="0">
    <dxf>
      <font>
        <b/>
        <sz val="14"/>
        <name val="Times New Roman"/>
        <scheme val="none"/>
      </font>
      <numFmt numFmtId="2" formatCode="0.00"/>
      <fill>
        <patternFill>
          <bgColor theme="9" tint="0.79998168889431442"/>
        </patternFill>
      </fill>
    </dxf>
  </rfmt>
  <rfmt sheetId="9" sqref="H16" start="0" length="0">
    <dxf>
      <font>
        <b/>
        <sz val="14"/>
        <name val="Times New Roman"/>
        <scheme val="none"/>
      </font>
      <numFmt numFmtId="2" formatCode="0.00"/>
      <fill>
        <patternFill>
          <bgColor theme="0"/>
        </patternFill>
      </fill>
    </dxf>
  </rfmt>
  <rfmt sheetId="9" sqref="I16" start="0" length="0">
    <dxf>
      <font>
        <b/>
        <sz val="14"/>
        <name val="Times New Roman"/>
        <scheme val="none"/>
      </font>
      <numFmt numFmtId="2" formatCode="0.00"/>
      <fill>
        <patternFill>
          <bgColor theme="0"/>
        </patternFill>
      </fill>
    </dxf>
  </rfmt>
  <rfmt sheetId="9" sqref="J16" start="0" length="0">
    <dxf>
      <font>
        <b/>
        <sz val="14"/>
        <name val="Times New Roman"/>
        <scheme val="none"/>
      </font>
      <numFmt numFmtId="2" formatCode="0.00"/>
      <fill>
        <patternFill>
          <bgColor theme="0"/>
        </patternFill>
      </fill>
    </dxf>
  </rfmt>
  <rfmt sheetId="9" sqref="K16" start="0" length="0">
    <dxf>
      <font>
        <b/>
        <sz val="14"/>
        <name val="Times New Roman"/>
        <scheme val="none"/>
      </font>
      <numFmt numFmtId="2" formatCode="0.00"/>
      <fill>
        <patternFill>
          <bgColor theme="0"/>
        </patternFill>
      </fill>
    </dxf>
  </rfmt>
  <rcc rId="8589" sId="9" odxf="1" dxf="1" numFmtId="4">
    <nc r="L16">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590" sId="9" odxf="1" dxf="1" numFmtId="4">
    <nc r="M16">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591" sId="9" odxf="1" dxf="1" numFmtId="4">
    <nc r="N16">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592" sId="9" odxf="1" dxf="1" numFmtId="4">
    <nc r="O16">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593" sId="9" odxf="1" dxf="1" numFmtId="4">
    <nc r="P16">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594" sId="9" odxf="1" dxf="1" numFmtId="4">
    <nc r="Q16">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595" sId="9" odxf="1" dxf="1" numFmtId="4">
    <nc r="R16">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596" sId="9" odxf="1" dxf="1" numFmtId="4">
    <nc r="S16">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597" sId="9" odxf="1" dxf="1" numFmtId="4">
    <nc r="T16">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U16" start="0" length="0">
    <dxf>
      <font>
        <b/>
        <sz val="14"/>
        <name val="Times New Roman"/>
        <scheme val="none"/>
      </font>
      <numFmt numFmtId="2" formatCode="0.00"/>
      <fill>
        <patternFill>
          <bgColor theme="0"/>
        </patternFill>
      </fill>
    </dxf>
  </rfmt>
  <rcc rId="8598" sId="9" odxf="1" dxf="1" numFmtId="4">
    <nc r="V16">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W16" start="0" length="0">
    <dxf>
      <font>
        <b/>
        <sz val="14"/>
        <name val="Times New Roman"/>
        <scheme val="none"/>
      </font>
      <numFmt numFmtId="2" formatCode="0.00"/>
      <fill>
        <patternFill>
          <bgColor theme="0"/>
        </patternFill>
      </fill>
    </dxf>
  </rfmt>
  <rcc rId="8599" sId="9" odxf="1" dxf="1" numFmtId="4">
    <nc r="X16">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Y16" start="0" length="0">
    <dxf>
      <font>
        <b/>
        <sz val="14"/>
        <name val="Times New Roman"/>
        <scheme val="none"/>
      </font>
      <numFmt numFmtId="2" formatCode="0.00"/>
      <fill>
        <patternFill>
          <bgColor theme="0"/>
        </patternFill>
      </fill>
    </dxf>
  </rfmt>
  <rcc rId="8600" sId="9" odxf="1" dxf="1" numFmtId="4">
    <nc r="Z16">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A16" start="0" length="0">
    <dxf>
      <font>
        <b/>
        <sz val="14"/>
        <name val="Times New Roman"/>
        <scheme val="none"/>
      </font>
      <numFmt numFmtId="2" formatCode="0.00"/>
      <fill>
        <patternFill>
          <bgColor theme="0"/>
        </patternFill>
      </fill>
    </dxf>
  </rfmt>
  <rcc rId="8601" sId="9" odxf="1" dxf="1" numFmtId="4">
    <nc r="AB16">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C16" start="0" length="0">
    <dxf>
      <font>
        <b/>
        <sz val="14"/>
        <name val="Times New Roman"/>
        <scheme val="none"/>
      </font>
      <numFmt numFmtId="2" formatCode="0.00"/>
      <fill>
        <patternFill>
          <bgColor theme="0"/>
        </patternFill>
      </fill>
    </dxf>
  </rfmt>
  <rcc rId="8602" sId="9" odxf="1" dxf="1" numFmtId="4">
    <nc r="AD16">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E16" start="0" length="0">
    <dxf>
      <font>
        <b/>
        <sz val="14"/>
        <name val="Times New Roman"/>
        <scheme val="none"/>
      </font>
      <numFmt numFmtId="2" formatCode="0.00"/>
      <fill>
        <patternFill>
          <bgColor theme="0"/>
        </patternFill>
      </fill>
    </dxf>
  </rfmt>
  <rfmt sheetId="9" sqref="B15" start="0" length="2147483647">
    <dxf>
      <font>
        <color auto="1"/>
      </font>
    </dxf>
  </rfmt>
  <rcc rId="8603" sId="9" odxf="1" dxf="1">
    <oc r="B19">
      <f>B20</f>
    </oc>
    <nc r="B19">
      <f>B20</f>
    </nc>
    <odxf>
      <numFmt numFmtId="4" formatCode="#,##0.00"/>
      <fill>
        <patternFill>
          <bgColor theme="7" tint="0.79998168889431442"/>
        </patternFill>
      </fill>
    </odxf>
    <ndxf>
      <numFmt numFmtId="2" formatCode="0.00"/>
      <fill>
        <patternFill>
          <bgColor theme="0"/>
        </patternFill>
      </fill>
    </ndxf>
  </rcc>
  <rcc rId="8604" sId="9" odxf="1" dxf="1">
    <oc r="C19">
      <f>C20</f>
    </oc>
    <nc r="C19">
      <f>C20</f>
    </nc>
    <odxf>
      <numFmt numFmtId="4" formatCode="#,##0.00"/>
      <fill>
        <patternFill>
          <bgColor theme="7" tint="0.79998168889431442"/>
        </patternFill>
      </fill>
    </odxf>
    <ndxf>
      <numFmt numFmtId="2" formatCode="0.00"/>
      <fill>
        <patternFill>
          <bgColor theme="0"/>
        </patternFill>
      </fill>
    </ndxf>
  </rcc>
  <rcc rId="8605" sId="9" odxf="1" dxf="1">
    <oc r="D19">
      <f>D20</f>
    </oc>
    <nc r="D19">
      <f>D20</f>
    </nc>
    <odxf>
      <numFmt numFmtId="4" formatCode="#,##0.00"/>
      <fill>
        <patternFill>
          <bgColor theme="7" tint="0.79998168889431442"/>
        </patternFill>
      </fill>
    </odxf>
    <ndxf>
      <numFmt numFmtId="2" formatCode="0.00"/>
      <fill>
        <patternFill>
          <bgColor theme="0"/>
        </patternFill>
      </fill>
    </ndxf>
  </rcc>
  <rcc rId="8606" sId="9" odxf="1" dxf="1">
    <oc r="E19">
      <f>E20</f>
    </oc>
    <nc r="E19">
      <f>E20</f>
    </nc>
    <odxf>
      <numFmt numFmtId="4" formatCode="#,##0.00"/>
      <fill>
        <patternFill>
          <bgColor theme="7" tint="0.79998168889431442"/>
        </patternFill>
      </fill>
    </odxf>
    <ndxf>
      <numFmt numFmtId="2" formatCode="0.00"/>
      <fill>
        <patternFill>
          <bgColor theme="0"/>
        </patternFill>
      </fill>
    </ndxf>
  </rcc>
  <rcc rId="8607" sId="9" odxf="1" dxf="1">
    <oc r="F19">
      <f>F20</f>
    </oc>
    <nc r="F19">
      <f>F20</f>
    </nc>
    <odxf>
      <numFmt numFmtId="4" formatCode="#,##0.00"/>
      <fill>
        <patternFill>
          <bgColor theme="7" tint="0.79998168889431442"/>
        </patternFill>
      </fill>
    </odxf>
    <ndxf>
      <numFmt numFmtId="2" formatCode="0.00"/>
      <fill>
        <patternFill>
          <bgColor theme="9" tint="0.79998168889431442"/>
        </patternFill>
      </fill>
    </ndxf>
  </rcc>
  <rcc rId="8608" sId="9" odxf="1" dxf="1">
    <oc r="G19">
      <f>G20</f>
    </oc>
    <nc r="G19">
      <f>G20</f>
    </nc>
    <odxf>
      <numFmt numFmtId="4" formatCode="#,##0.00"/>
      <fill>
        <patternFill>
          <bgColor theme="7" tint="0.79998168889431442"/>
        </patternFill>
      </fill>
    </odxf>
    <ndxf>
      <numFmt numFmtId="2" formatCode="0.00"/>
      <fill>
        <patternFill>
          <bgColor theme="9" tint="0.79998168889431442"/>
        </patternFill>
      </fill>
    </ndxf>
  </rcc>
  <rcc rId="8609" sId="9" odxf="1" dxf="1">
    <oc r="H19">
      <f>H20</f>
    </oc>
    <nc r="H19">
      <f>H20</f>
    </nc>
    <odxf>
      <numFmt numFmtId="4" formatCode="#,##0.00"/>
      <fill>
        <patternFill>
          <bgColor theme="7" tint="0.79998168889431442"/>
        </patternFill>
      </fill>
    </odxf>
    <ndxf>
      <numFmt numFmtId="2" formatCode="0.00"/>
      <fill>
        <patternFill>
          <bgColor theme="0"/>
        </patternFill>
      </fill>
    </ndxf>
  </rcc>
  <rcc rId="8610" sId="9" odxf="1" dxf="1">
    <oc r="I19">
      <f>I20</f>
    </oc>
    <nc r="I19">
      <f>I20</f>
    </nc>
    <odxf>
      <numFmt numFmtId="4" formatCode="#,##0.00"/>
      <fill>
        <patternFill>
          <bgColor theme="7" tint="0.79998168889431442"/>
        </patternFill>
      </fill>
    </odxf>
    <ndxf>
      <numFmt numFmtId="2" formatCode="0.00"/>
      <fill>
        <patternFill>
          <bgColor theme="0"/>
        </patternFill>
      </fill>
    </ndxf>
  </rcc>
  <rcc rId="8611" sId="9" odxf="1" dxf="1">
    <oc r="J19">
      <f>J20</f>
    </oc>
    <nc r="J19">
      <f>J20</f>
    </nc>
    <odxf>
      <numFmt numFmtId="4" formatCode="#,##0.00"/>
      <fill>
        <patternFill>
          <bgColor theme="7" tint="0.79998168889431442"/>
        </patternFill>
      </fill>
    </odxf>
    <ndxf>
      <numFmt numFmtId="2" formatCode="0.00"/>
      <fill>
        <patternFill>
          <bgColor theme="0"/>
        </patternFill>
      </fill>
    </ndxf>
  </rcc>
  <rcc rId="8612" sId="9" odxf="1" dxf="1">
    <oc r="K19">
      <f>K20</f>
    </oc>
    <nc r="K19">
      <f>K20</f>
    </nc>
    <odxf>
      <numFmt numFmtId="4" formatCode="#,##0.00"/>
      <fill>
        <patternFill>
          <bgColor theme="7" tint="0.79998168889431442"/>
        </patternFill>
      </fill>
      <border outline="0">
        <right/>
      </border>
      <protection hidden="1"/>
    </odxf>
    <ndxf>
      <numFmt numFmtId="2" formatCode="0.00"/>
      <fill>
        <patternFill>
          <bgColor theme="0"/>
        </patternFill>
      </fill>
      <border outline="0">
        <right style="thin">
          <color indexed="64"/>
        </right>
      </border>
      <protection hidden="0"/>
    </ndxf>
  </rcc>
  <rcc rId="8613" sId="9" odxf="1" dxf="1">
    <oc r="L19">
      <f>L20</f>
    </oc>
    <nc r="L19">
      <f>L20</f>
    </nc>
    <odxf>
      <numFmt numFmtId="4" formatCode="#,##0.00"/>
      <fill>
        <patternFill>
          <bgColor theme="7" tint="0.79998168889431442"/>
        </patternFill>
      </fill>
    </odxf>
    <ndxf>
      <numFmt numFmtId="2" formatCode="0.00"/>
      <fill>
        <patternFill>
          <bgColor theme="0"/>
        </patternFill>
      </fill>
    </ndxf>
  </rcc>
  <rcc rId="8614" sId="9" odxf="1" dxf="1">
    <nc r="M19">
      <f>M20</f>
    </nc>
    <odxf>
      <numFmt numFmtId="4" formatCode="#,##0.00"/>
      <fill>
        <patternFill>
          <bgColor theme="7" tint="0.79998168889431442"/>
        </patternFill>
      </fill>
      <border outline="0">
        <right/>
      </border>
      <protection hidden="1"/>
    </odxf>
    <ndxf>
      <numFmt numFmtId="2" formatCode="0.00"/>
      <fill>
        <patternFill>
          <bgColor theme="0"/>
        </patternFill>
      </fill>
      <border outline="0">
        <right style="thin">
          <color indexed="64"/>
        </right>
      </border>
      <protection hidden="0"/>
    </ndxf>
  </rcc>
  <rcc rId="8615" sId="9" odxf="1" dxf="1">
    <oc r="N19">
      <f>N20</f>
    </oc>
    <nc r="N19">
      <f>N20</f>
    </nc>
    <odxf>
      <numFmt numFmtId="4" formatCode="#,##0.00"/>
      <fill>
        <patternFill>
          <bgColor theme="7" tint="0.79998168889431442"/>
        </patternFill>
      </fill>
    </odxf>
    <ndxf>
      <numFmt numFmtId="2" formatCode="0.00"/>
      <fill>
        <patternFill>
          <bgColor theme="0"/>
        </patternFill>
      </fill>
    </ndxf>
  </rcc>
  <rcc rId="8616" sId="9" odxf="1" dxf="1">
    <nc r="O19">
      <f>O20</f>
    </nc>
    <odxf>
      <numFmt numFmtId="4" formatCode="#,##0.00"/>
      <fill>
        <patternFill>
          <bgColor theme="7" tint="0.79998168889431442"/>
        </patternFill>
      </fill>
      <border outline="0">
        <right/>
      </border>
      <protection hidden="1"/>
    </odxf>
    <ndxf>
      <numFmt numFmtId="2" formatCode="0.00"/>
      <fill>
        <patternFill>
          <bgColor theme="0"/>
        </patternFill>
      </fill>
      <border outline="0">
        <right style="thin">
          <color indexed="64"/>
        </right>
      </border>
      <protection hidden="0"/>
    </ndxf>
  </rcc>
  <rcc rId="8617" sId="9" odxf="1" dxf="1">
    <oc r="P19">
      <f>P20</f>
    </oc>
    <nc r="P19">
      <f>P20</f>
    </nc>
    <odxf>
      <numFmt numFmtId="4" formatCode="#,##0.00"/>
      <fill>
        <patternFill>
          <bgColor theme="7" tint="0.79998168889431442"/>
        </patternFill>
      </fill>
    </odxf>
    <ndxf>
      <numFmt numFmtId="2" formatCode="0.00"/>
      <fill>
        <patternFill>
          <bgColor theme="0"/>
        </patternFill>
      </fill>
    </ndxf>
  </rcc>
  <rcc rId="8618" sId="9" odxf="1" dxf="1">
    <nc r="Q19">
      <f>Q20</f>
    </nc>
    <odxf>
      <numFmt numFmtId="4" formatCode="#,##0.00"/>
      <fill>
        <patternFill>
          <bgColor theme="7" tint="0.79998168889431442"/>
        </patternFill>
      </fill>
      <border outline="0">
        <right/>
      </border>
      <protection hidden="1"/>
    </odxf>
    <ndxf>
      <numFmt numFmtId="2" formatCode="0.00"/>
      <fill>
        <patternFill>
          <bgColor theme="0"/>
        </patternFill>
      </fill>
      <border outline="0">
        <right style="thin">
          <color indexed="64"/>
        </right>
      </border>
      <protection hidden="0"/>
    </ndxf>
  </rcc>
  <rcc rId="8619" sId="9" odxf="1" dxf="1">
    <oc r="R19">
      <f>R20</f>
    </oc>
    <nc r="R19">
      <f>R20</f>
    </nc>
    <odxf>
      <numFmt numFmtId="4" formatCode="#,##0.00"/>
      <fill>
        <patternFill>
          <bgColor theme="7" tint="0.79998168889431442"/>
        </patternFill>
      </fill>
    </odxf>
    <ndxf>
      <numFmt numFmtId="2" formatCode="0.00"/>
      <fill>
        <patternFill>
          <bgColor theme="0"/>
        </patternFill>
      </fill>
    </ndxf>
  </rcc>
  <rcc rId="8620" sId="9" odxf="1" dxf="1">
    <nc r="S19">
      <f>S20</f>
    </nc>
    <odxf>
      <numFmt numFmtId="4" formatCode="#,##0.00"/>
      <fill>
        <patternFill>
          <bgColor theme="7" tint="0.79998168889431442"/>
        </patternFill>
      </fill>
      <border outline="0">
        <right/>
      </border>
      <protection hidden="1"/>
    </odxf>
    <ndxf>
      <numFmt numFmtId="2" formatCode="0.00"/>
      <fill>
        <patternFill>
          <bgColor theme="0"/>
        </patternFill>
      </fill>
      <border outline="0">
        <right style="thin">
          <color indexed="64"/>
        </right>
      </border>
      <protection hidden="0"/>
    </ndxf>
  </rcc>
  <rcc rId="8621" sId="9" odxf="1" dxf="1">
    <oc r="T19">
      <f>T20</f>
    </oc>
    <nc r="T19">
      <f>T20</f>
    </nc>
    <odxf>
      <numFmt numFmtId="4" formatCode="#,##0.00"/>
      <fill>
        <patternFill>
          <bgColor theme="7" tint="0.79998168889431442"/>
        </patternFill>
      </fill>
    </odxf>
    <ndxf>
      <numFmt numFmtId="2" formatCode="0.00"/>
      <fill>
        <patternFill>
          <bgColor theme="0"/>
        </patternFill>
      </fill>
    </ndxf>
  </rcc>
  <rfmt sheetId="9" sqref="U19" start="0" length="0">
    <dxf>
      <numFmt numFmtId="2" formatCode="0.00"/>
      <fill>
        <patternFill>
          <bgColor theme="0"/>
        </patternFill>
      </fill>
    </dxf>
  </rfmt>
  <rcc rId="8622" sId="9" odxf="1" dxf="1">
    <oc r="V19">
      <f>V20</f>
    </oc>
    <nc r="V19">
      <f>V20</f>
    </nc>
    <odxf>
      <numFmt numFmtId="4" formatCode="#,##0.00"/>
      <fill>
        <patternFill>
          <bgColor theme="7" tint="0.79998168889431442"/>
        </patternFill>
      </fill>
    </odxf>
    <ndxf>
      <numFmt numFmtId="2" formatCode="0.00"/>
      <fill>
        <patternFill>
          <bgColor theme="0"/>
        </patternFill>
      </fill>
    </ndxf>
  </rcc>
  <rfmt sheetId="9" sqref="W19" start="0" length="0">
    <dxf>
      <numFmt numFmtId="2" formatCode="0.00"/>
      <fill>
        <patternFill>
          <bgColor theme="0"/>
        </patternFill>
      </fill>
    </dxf>
  </rfmt>
  <rcc rId="8623" sId="9" odxf="1" dxf="1">
    <oc r="X19">
      <f>X20</f>
    </oc>
    <nc r="X19">
      <f>X20</f>
    </nc>
    <odxf>
      <numFmt numFmtId="4" formatCode="#,##0.00"/>
      <fill>
        <patternFill>
          <bgColor theme="7" tint="0.79998168889431442"/>
        </patternFill>
      </fill>
    </odxf>
    <ndxf>
      <numFmt numFmtId="2" formatCode="0.00"/>
      <fill>
        <patternFill>
          <bgColor theme="0"/>
        </patternFill>
      </fill>
    </ndxf>
  </rcc>
  <rfmt sheetId="9" sqref="Y19" start="0" length="0">
    <dxf>
      <numFmt numFmtId="2" formatCode="0.00"/>
      <fill>
        <patternFill>
          <bgColor theme="0"/>
        </patternFill>
      </fill>
    </dxf>
  </rfmt>
  <rcc rId="8624" sId="9" odxf="1" dxf="1">
    <oc r="Z19">
      <f>Z20</f>
    </oc>
    <nc r="Z19">
      <f>Z20</f>
    </nc>
    <odxf>
      <numFmt numFmtId="4" formatCode="#,##0.00"/>
      <fill>
        <patternFill>
          <bgColor theme="7" tint="0.79998168889431442"/>
        </patternFill>
      </fill>
    </odxf>
    <ndxf>
      <numFmt numFmtId="2" formatCode="0.00"/>
      <fill>
        <patternFill>
          <bgColor theme="0"/>
        </patternFill>
      </fill>
    </ndxf>
  </rcc>
  <rfmt sheetId="9" sqref="AA19" start="0" length="0">
    <dxf>
      <numFmt numFmtId="2" formatCode="0.00"/>
      <fill>
        <patternFill>
          <bgColor theme="0"/>
        </patternFill>
      </fill>
    </dxf>
  </rfmt>
  <rcc rId="8625" sId="9" odxf="1" dxf="1">
    <oc r="AB19">
      <f>AB20</f>
    </oc>
    <nc r="AB19">
      <f>AB20</f>
    </nc>
    <odxf>
      <numFmt numFmtId="4" formatCode="#,##0.00"/>
      <fill>
        <patternFill>
          <bgColor theme="7" tint="0.79998168889431442"/>
        </patternFill>
      </fill>
    </odxf>
    <ndxf>
      <numFmt numFmtId="2" formatCode="0.00"/>
      <fill>
        <patternFill>
          <bgColor theme="0"/>
        </patternFill>
      </fill>
    </ndxf>
  </rcc>
  <rfmt sheetId="9" sqref="AC19" start="0" length="0">
    <dxf>
      <numFmt numFmtId="2" formatCode="0.00"/>
      <fill>
        <patternFill>
          <bgColor theme="0"/>
        </patternFill>
      </fill>
    </dxf>
  </rfmt>
  <rcc rId="8626" sId="9" odxf="1" dxf="1">
    <oc r="AD19">
      <f>AD20</f>
    </oc>
    <nc r="AD19">
      <f>AD20</f>
    </nc>
    <odxf>
      <numFmt numFmtId="4" formatCode="#,##0.00"/>
      <fill>
        <patternFill>
          <bgColor theme="7" tint="0.79998168889431442"/>
        </patternFill>
      </fill>
    </odxf>
    <ndxf>
      <numFmt numFmtId="2" formatCode="0.00"/>
      <fill>
        <patternFill>
          <bgColor theme="0"/>
        </patternFill>
      </fill>
    </ndxf>
  </rcc>
  <rfmt sheetId="9" sqref="AE19" start="0" length="0">
    <dxf>
      <numFmt numFmtId="2" formatCode="0.00"/>
      <fill>
        <patternFill>
          <bgColor theme="0"/>
        </patternFill>
      </fill>
    </dxf>
  </rfmt>
  <rcc rId="8627" sId="9" odxf="1" dxf="1">
    <oc r="B20">
      <f>B21+B22+B23+B24</f>
    </oc>
    <nc r="B20">
      <f>B21+B22+B23+B24</f>
    </nc>
    <odxf>
      <numFmt numFmtId="4" formatCode="#,##0.00"/>
      <fill>
        <patternFill>
          <bgColor theme="7" tint="0.79998168889431442"/>
        </patternFill>
      </fill>
    </odxf>
    <ndxf>
      <numFmt numFmtId="2" formatCode="0.00"/>
      <fill>
        <patternFill>
          <bgColor theme="0"/>
        </patternFill>
      </fill>
    </ndxf>
  </rcc>
  <rcc rId="8628" sId="9" odxf="1" dxf="1">
    <oc r="C20">
      <f>C21+C22+C23+C24</f>
    </oc>
    <nc r="C20">
      <f>C21+C22+C23+C24</f>
    </nc>
    <odxf>
      <numFmt numFmtId="4" formatCode="#,##0.00"/>
      <fill>
        <patternFill>
          <bgColor theme="7" tint="0.79998168889431442"/>
        </patternFill>
      </fill>
    </odxf>
    <ndxf>
      <numFmt numFmtId="2" formatCode="0.00"/>
      <fill>
        <patternFill>
          <bgColor theme="0"/>
        </patternFill>
      </fill>
    </ndxf>
  </rcc>
  <rcc rId="8629" sId="9" odxf="1" dxf="1">
    <oc r="D20">
      <f>D21+D22+D23+D24</f>
    </oc>
    <nc r="D20">
      <f>D21+D22+D23+D24</f>
    </nc>
    <odxf>
      <numFmt numFmtId="4" formatCode="#,##0.00"/>
      <fill>
        <patternFill>
          <bgColor theme="7" tint="0.79998168889431442"/>
        </patternFill>
      </fill>
    </odxf>
    <ndxf>
      <numFmt numFmtId="2" formatCode="0.00"/>
      <fill>
        <patternFill>
          <bgColor theme="0"/>
        </patternFill>
      </fill>
    </ndxf>
  </rcc>
  <rcc rId="8630" sId="9" odxf="1" dxf="1">
    <oc r="E20">
      <f>E21+E22+E23+E24</f>
    </oc>
    <nc r="E20">
      <f>E21+E22+E23+E24</f>
    </nc>
    <odxf>
      <numFmt numFmtId="4" formatCode="#,##0.00"/>
      <fill>
        <patternFill>
          <bgColor theme="7" tint="0.79998168889431442"/>
        </patternFill>
      </fill>
    </odxf>
    <ndxf>
      <numFmt numFmtId="2" formatCode="0.00"/>
      <fill>
        <patternFill>
          <bgColor theme="0"/>
        </patternFill>
      </fill>
    </ndxf>
  </rcc>
  <rcc rId="8631" sId="9" odxf="1" dxf="1">
    <oc r="F20">
      <f>F21+F22+F23+F24</f>
    </oc>
    <nc r="F20">
      <f>F21+F22+F23+F24</f>
    </nc>
    <odxf>
      <numFmt numFmtId="4" formatCode="#,##0.00"/>
      <fill>
        <patternFill>
          <bgColor theme="7" tint="0.79998168889431442"/>
        </patternFill>
      </fill>
    </odxf>
    <ndxf>
      <numFmt numFmtId="2" formatCode="0.00"/>
      <fill>
        <patternFill>
          <bgColor theme="9" tint="0.79998168889431442"/>
        </patternFill>
      </fill>
    </ndxf>
  </rcc>
  <rcc rId="8632" sId="9" odxf="1" dxf="1">
    <oc r="G20">
      <f>G21+G22+G23+G24</f>
    </oc>
    <nc r="G20">
      <f>G21+G22+G23+G24</f>
    </nc>
    <odxf>
      <numFmt numFmtId="4" formatCode="#,##0.00"/>
      <fill>
        <patternFill>
          <bgColor theme="7" tint="0.79998168889431442"/>
        </patternFill>
      </fill>
    </odxf>
    <ndxf>
      <numFmt numFmtId="2" formatCode="0.00"/>
      <fill>
        <patternFill>
          <bgColor theme="9" tint="0.79998168889431442"/>
        </patternFill>
      </fill>
    </ndxf>
  </rcc>
  <rcc rId="8633" sId="9" odxf="1" dxf="1">
    <oc r="H20">
      <f>H21+H22+H23+H24</f>
    </oc>
    <nc r="H20">
      <f>H21+H22+H23+H24</f>
    </nc>
    <odxf>
      <numFmt numFmtId="4" formatCode="#,##0.00"/>
      <fill>
        <patternFill>
          <bgColor theme="7" tint="0.79998168889431442"/>
        </patternFill>
      </fill>
    </odxf>
    <ndxf>
      <numFmt numFmtId="2" formatCode="0.00"/>
      <fill>
        <patternFill>
          <bgColor theme="0"/>
        </patternFill>
      </fill>
    </ndxf>
  </rcc>
  <rcc rId="8634" sId="9" odxf="1" dxf="1">
    <oc r="I20">
      <f>I21+I22+I23+I24</f>
    </oc>
    <nc r="I20">
      <f>I21+I22+I23+I24</f>
    </nc>
    <odxf>
      <numFmt numFmtId="4" formatCode="#,##0.00"/>
      <fill>
        <patternFill>
          <bgColor theme="7" tint="0.79998168889431442"/>
        </patternFill>
      </fill>
    </odxf>
    <ndxf>
      <numFmt numFmtId="2" formatCode="0.00"/>
      <fill>
        <patternFill>
          <bgColor theme="0"/>
        </patternFill>
      </fill>
    </ndxf>
  </rcc>
  <rcc rId="8635" sId="9" odxf="1" dxf="1">
    <oc r="J20">
      <f>J21+J22+J23+J24</f>
    </oc>
    <nc r="J20">
      <f>J21+J22+J23+J24</f>
    </nc>
    <odxf>
      <numFmt numFmtId="4" formatCode="#,##0.00"/>
      <fill>
        <patternFill>
          <bgColor theme="7" tint="0.79998168889431442"/>
        </patternFill>
      </fill>
    </odxf>
    <ndxf>
      <numFmt numFmtId="2" formatCode="0.00"/>
      <fill>
        <patternFill>
          <bgColor theme="0"/>
        </patternFill>
      </fill>
    </ndxf>
  </rcc>
  <rcc rId="8636" sId="9" odxf="1" dxf="1">
    <oc r="K20">
      <f>K21+K22+K23+K24</f>
    </oc>
    <nc r="K20">
      <f>K21+K22+K23+K24</f>
    </nc>
    <odxf>
      <numFmt numFmtId="4" formatCode="#,##0.00"/>
      <fill>
        <patternFill>
          <bgColor theme="7" tint="0.79998168889431442"/>
        </patternFill>
      </fill>
    </odxf>
    <ndxf>
      <numFmt numFmtId="2" formatCode="0.00"/>
      <fill>
        <patternFill>
          <bgColor theme="0"/>
        </patternFill>
      </fill>
    </ndxf>
  </rcc>
  <rcc rId="8637" sId="9" odxf="1" dxf="1">
    <oc r="L20">
      <f>L21+L22+L23+L24</f>
    </oc>
    <nc r="L20">
      <f>L21+L22+L23+L24</f>
    </nc>
    <odxf>
      <numFmt numFmtId="4" formatCode="#,##0.00"/>
      <fill>
        <patternFill>
          <bgColor theme="7" tint="0.79998168889431442"/>
        </patternFill>
      </fill>
    </odxf>
    <ndxf>
      <numFmt numFmtId="2" formatCode="0.00"/>
      <fill>
        <patternFill>
          <bgColor theme="0"/>
        </patternFill>
      </fill>
    </ndxf>
  </rcc>
  <rcc rId="8638" sId="9" odxf="1" dxf="1">
    <nc r="M20">
      <f>M21+M22+M23+M24</f>
    </nc>
    <odxf>
      <numFmt numFmtId="4" formatCode="#,##0.00"/>
      <fill>
        <patternFill>
          <bgColor theme="7" tint="0.79998168889431442"/>
        </patternFill>
      </fill>
    </odxf>
    <ndxf>
      <numFmt numFmtId="2" formatCode="0.00"/>
      <fill>
        <patternFill>
          <bgColor theme="0"/>
        </patternFill>
      </fill>
    </ndxf>
  </rcc>
  <rcc rId="8639" sId="9" odxf="1" dxf="1">
    <oc r="N20">
      <f>N21+N22+N23+N24</f>
    </oc>
    <nc r="N20">
      <f>N21+N22+N23+N24</f>
    </nc>
    <odxf>
      <numFmt numFmtId="4" formatCode="#,##0.00"/>
      <fill>
        <patternFill>
          <bgColor theme="7" tint="0.79998168889431442"/>
        </patternFill>
      </fill>
    </odxf>
    <ndxf>
      <numFmt numFmtId="2" formatCode="0.00"/>
      <fill>
        <patternFill>
          <bgColor theme="0"/>
        </patternFill>
      </fill>
    </ndxf>
  </rcc>
  <rcc rId="8640" sId="9" odxf="1" dxf="1">
    <nc r="O20">
      <f>O21+O22+O23+O24</f>
    </nc>
    <odxf>
      <numFmt numFmtId="4" formatCode="#,##0.00"/>
      <fill>
        <patternFill>
          <bgColor theme="7" tint="0.79998168889431442"/>
        </patternFill>
      </fill>
    </odxf>
    <ndxf>
      <numFmt numFmtId="2" formatCode="0.00"/>
      <fill>
        <patternFill>
          <bgColor theme="0"/>
        </patternFill>
      </fill>
    </ndxf>
  </rcc>
  <rcc rId="8641" sId="9" odxf="1" dxf="1">
    <oc r="P20">
      <f>P21+P22+P23+P24</f>
    </oc>
    <nc r="P20">
      <f>P21+P22+P23+P24</f>
    </nc>
    <odxf>
      <numFmt numFmtId="4" formatCode="#,##0.00"/>
      <fill>
        <patternFill>
          <bgColor theme="7" tint="0.79998168889431442"/>
        </patternFill>
      </fill>
    </odxf>
    <ndxf>
      <numFmt numFmtId="2" formatCode="0.00"/>
      <fill>
        <patternFill>
          <bgColor theme="0"/>
        </patternFill>
      </fill>
    </ndxf>
  </rcc>
  <rcc rId="8642" sId="9" odxf="1" dxf="1">
    <nc r="Q20">
      <f>Q21+Q22+Q23+Q24</f>
    </nc>
    <odxf>
      <numFmt numFmtId="4" formatCode="#,##0.00"/>
      <fill>
        <patternFill>
          <bgColor theme="7" tint="0.79998168889431442"/>
        </patternFill>
      </fill>
    </odxf>
    <ndxf>
      <numFmt numFmtId="2" formatCode="0.00"/>
      <fill>
        <patternFill>
          <bgColor theme="0"/>
        </patternFill>
      </fill>
    </ndxf>
  </rcc>
  <rcc rId="8643" sId="9" odxf="1" dxf="1">
    <oc r="R20">
      <f>R21+R22+R23+R24</f>
    </oc>
    <nc r="R20">
      <f>R21+R22+R23+R24</f>
    </nc>
    <odxf>
      <numFmt numFmtId="4" formatCode="#,##0.00"/>
      <fill>
        <patternFill>
          <bgColor theme="7" tint="0.79998168889431442"/>
        </patternFill>
      </fill>
    </odxf>
    <ndxf>
      <numFmt numFmtId="2" formatCode="0.00"/>
      <fill>
        <patternFill>
          <bgColor theme="0"/>
        </patternFill>
      </fill>
    </ndxf>
  </rcc>
  <rcc rId="8644" sId="9" odxf="1" dxf="1">
    <nc r="S20">
      <f>S21+S22+S23+S24</f>
    </nc>
    <odxf>
      <numFmt numFmtId="4" formatCode="#,##0.00"/>
      <fill>
        <patternFill>
          <bgColor theme="7" tint="0.79998168889431442"/>
        </patternFill>
      </fill>
    </odxf>
    <ndxf>
      <numFmt numFmtId="2" formatCode="0.00"/>
      <fill>
        <patternFill>
          <bgColor theme="0"/>
        </patternFill>
      </fill>
    </ndxf>
  </rcc>
  <rcc rId="8645" sId="9" odxf="1" dxf="1">
    <oc r="T20">
      <f>T21+T22+T23+T24</f>
    </oc>
    <nc r="T20">
      <f>T21+T22+T23+T24</f>
    </nc>
    <odxf>
      <numFmt numFmtId="4" formatCode="#,##0.00"/>
      <fill>
        <patternFill>
          <bgColor theme="7" tint="0.79998168889431442"/>
        </patternFill>
      </fill>
    </odxf>
    <ndxf>
      <numFmt numFmtId="2" formatCode="0.00"/>
      <fill>
        <patternFill>
          <bgColor theme="0"/>
        </patternFill>
      </fill>
    </ndxf>
  </rcc>
  <rfmt sheetId="9" sqref="U20" start="0" length="0">
    <dxf>
      <numFmt numFmtId="2" formatCode="0.00"/>
      <fill>
        <patternFill>
          <bgColor theme="0"/>
        </patternFill>
      </fill>
    </dxf>
  </rfmt>
  <rcc rId="8646" sId="9" odxf="1" dxf="1">
    <oc r="V20">
      <f>V21+V22+V23+V24</f>
    </oc>
    <nc r="V20">
      <f>V21+V22+V23+V24</f>
    </nc>
    <odxf>
      <numFmt numFmtId="4" formatCode="#,##0.00"/>
      <fill>
        <patternFill>
          <bgColor theme="7" tint="0.79998168889431442"/>
        </patternFill>
      </fill>
    </odxf>
    <ndxf>
      <numFmt numFmtId="2" formatCode="0.00"/>
      <fill>
        <patternFill>
          <bgColor theme="0"/>
        </patternFill>
      </fill>
    </ndxf>
  </rcc>
  <rfmt sheetId="9" sqref="W20" start="0" length="0">
    <dxf>
      <numFmt numFmtId="2" formatCode="0.00"/>
      <fill>
        <patternFill>
          <bgColor theme="0"/>
        </patternFill>
      </fill>
    </dxf>
  </rfmt>
  <rcc rId="8647" sId="9" odxf="1" dxf="1">
    <oc r="X20">
      <f>X21+X22+X23+X24</f>
    </oc>
    <nc r="X20">
      <f>X21+X22+X23+X24</f>
    </nc>
    <odxf>
      <numFmt numFmtId="4" formatCode="#,##0.00"/>
      <fill>
        <patternFill>
          <bgColor theme="7" tint="0.79998168889431442"/>
        </patternFill>
      </fill>
    </odxf>
    <ndxf>
      <numFmt numFmtId="2" formatCode="0.00"/>
      <fill>
        <patternFill>
          <bgColor theme="0"/>
        </patternFill>
      </fill>
    </ndxf>
  </rcc>
  <rfmt sheetId="9" sqref="Y20" start="0" length="0">
    <dxf>
      <numFmt numFmtId="2" formatCode="0.00"/>
      <fill>
        <patternFill>
          <bgColor theme="0"/>
        </patternFill>
      </fill>
    </dxf>
  </rfmt>
  <rcc rId="8648" sId="9" odxf="1" dxf="1">
    <oc r="Z20">
      <f>Z21+Z22+Z23+Z24</f>
    </oc>
    <nc r="Z20">
      <f>Z21+Z22+Z23+Z24</f>
    </nc>
    <odxf>
      <numFmt numFmtId="4" formatCode="#,##0.00"/>
      <fill>
        <patternFill>
          <bgColor theme="7" tint="0.79998168889431442"/>
        </patternFill>
      </fill>
    </odxf>
    <ndxf>
      <numFmt numFmtId="2" formatCode="0.00"/>
      <fill>
        <patternFill>
          <bgColor theme="0"/>
        </patternFill>
      </fill>
    </ndxf>
  </rcc>
  <rfmt sheetId="9" sqref="AA20" start="0" length="0">
    <dxf>
      <numFmt numFmtId="2" formatCode="0.00"/>
      <fill>
        <patternFill>
          <bgColor theme="0"/>
        </patternFill>
      </fill>
    </dxf>
  </rfmt>
  <rcc rId="8649" sId="9" odxf="1" dxf="1">
    <oc r="AB20">
      <f>AB21+AB22+AB23+AB24</f>
    </oc>
    <nc r="AB20">
      <f>AB21+AB22+AB23+AB24</f>
    </nc>
    <odxf>
      <numFmt numFmtId="4" formatCode="#,##0.00"/>
      <fill>
        <patternFill>
          <bgColor theme="7" tint="0.79998168889431442"/>
        </patternFill>
      </fill>
    </odxf>
    <ndxf>
      <numFmt numFmtId="2" formatCode="0.00"/>
      <fill>
        <patternFill>
          <bgColor theme="0"/>
        </patternFill>
      </fill>
    </ndxf>
  </rcc>
  <rfmt sheetId="9" sqref="AC20" start="0" length="0">
    <dxf>
      <numFmt numFmtId="2" formatCode="0.00"/>
      <fill>
        <patternFill>
          <bgColor theme="0"/>
        </patternFill>
      </fill>
    </dxf>
  </rfmt>
  <rcc rId="8650" sId="9" odxf="1" dxf="1">
    <oc r="AD20">
      <f>AD21+AD22+AD23+AD24</f>
    </oc>
    <nc r="AD20">
      <f>AD21+AD22+AD23+AD24</f>
    </nc>
    <odxf>
      <numFmt numFmtId="4" formatCode="#,##0.00"/>
      <fill>
        <patternFill>
          <bgColor theme="7" tint="0.79998168889431442"/>
        </patternFill>
      </fill>
    </odxf>
    <ndxf>
      <numFmt numFmtId="2" formatCode="0.00"/>
      <fill>
        <patternFill>
          <bgColor theme="0"/>
        </patternFill>
      </fill>
    </ndxf>
  </rcc>
  <rfmt sheetId="9" sqref="AE20" start="0" length="0">
    <dxf>
      <numFmt numFmtId="2" formatCode="0.00"/>
      <fill>
        <patternFill>
          <bgColor theme="0"/>
        </patternFill>
      </fill>
    </dxf>
  </rfmt>
  <rcc rId="8651" sId="9" odxf="1" dxf="1">
    <oc r="B21">
      <f>H21+J21+L21+N21+P21+R21+T21+V21+X21+Z21+AB21+AD21</f>
    </oc>
    <nc r="B21">
      <f>H21+J21+L21+N21+P21+R21+T21+V21+X21+Z21+AB21+AD21</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652" sId="9" odxf="1" dxf="1" numFmtId="4">
    <oc r="C21">
      <f>H21+J21</f>
    </oc>
    <nc r="C21">
      <v>0</v>
    </nc>
    <odxf>
      <font>
        <b val="0"/>
        <sz val="14"/>
        <name val="Times New Roman"/>
        <scheme val="none"/>
      </font>
      <numFmt numFmtId="4" formatCode="#,##0.00"/>
      <fill>
        <patternFill>
          <bgColor theme="7" tint="0.79998168889431442"/>
        </patternFill>
      </fill>
      <border outline="0">
        <left style="thin">
          <color indexed="64"/>
        </left>
        <right/>
      </border>
    </odxf>
    <ndxf>
      <font>
        <b/>
        <sz val="14"/>
        <name val="Times New Roman"/>
        <scheme val="none"/>
      </font>
      <numFmt numFmtId="2" formatCode="0.00"/>
      <fill>
        <patternFill>
          <bgColor theme="0"/>
        </patternFill>
      </fill>
      <border outline="0">
        <left/>
        <right style="thin">
          <color indexed="64"/>
        </right>
      </border>
    </ndxf>
  </rcc>
  <rcc rId="8653" sId="9" odxf="1" dxf="1">
    <oc r="D21">
      <f>I21</f>
    </oc>
    <nc r="D21">
      <f>I21</f>
    </nc>
    <odxf>
      <font>
        <b val="0"/>
        <sz val="14"/>
        <name val="Times New Roman"/>
        <scheme val="none"/>
      </font>
      <numFmt numFmtId="4" formatCode="#,##0.00"/>
      <fill>
        <patternFill>
          <bgColor theme="7" tint="0.79998168889431442"/>
        </patternFill>
      </fill>
      <border outline="0">
        <left style="thin">
          <color indexed="64"/>
        </left>
      </border>
    </odxf>
    <ndxf>
      <font>
        <b/>
        <sz val="14"/>
        <name val="Times New Roman"/>
        <scheme val="none"/>
      </font>
      <numFmt numFmtId="2" formatCode="0.00"/>
      <fill>
        <patternFill>
          <bgColor theme="0"/>
        </patternFill>
      </fill>
      <border outline="0">
        <left/>
      </border>
    </ndxf>
  </rcc>
  <rfmt sheetId="9" sqref="E21" start="0" length="0">
    <dxf>
      <font>
        <b/>
        <sz val="14"/>
        <name val="Times New Roman"/>
        <scheme val="none"/>
      </font>
      <numFmt numFmtId="2" formatCode="0.00"/>
      <fill>
        <patternFill>
          <bgColor theme="0"/>
        </patternFill>
      </fill>
    </dxf>
  </rfmt>
  <rfmt sheetId="9" sqref="F21" start="0" length="0">
    <dxf>
      <font>
        <b/>
        <sz val="14"/>
        <name val="Times New Roman"/>
        <scheme val="none"/>
      </font>
      <numFmt numFmtId="2" formatCode="0.00"/>
      <fill>
        <patternFill>
          <bgColor theme="9" tint="0.79998168889431442"/>
        </patternFill>
      </fill>
    </dxf>
  </rfmt>
  <rfmt sheetId="9" sqref="G21" start="0" length="0">
    <dxf>
      <font>
        <b/>
        <sz val="14"/>
        <name val="Times New Roman"/>
        <scheme val="none"/>
      </font>
      <numFmt numFmtId="2" formatCode="0.00"/>
      <fill>
        <patternFill>
          <bgColor theme="9" tint="0.79998168889431442"/>
        </patternFill>
      </fill>
    </dxf>
  </rfmt>
  <rfmt sheetId="9" sqref="H21" start="0" length="0">
    <dxf>
      <font>
        <b/>
        <sz val="14"/>
        <name val="Times New Roman"/>
        <scheme val="none"/>
      </font>
      <numFmt numFmtId="2" formatCode="0.00"/>
      <fill>
        <patternFill>
          <bgColor theme="0"/>
        </patternFill>
      </fill>
    </dxf>
  </rfmt>
  <rfmt sheetId="9" sqref="I21" start="0" length="0">
    <dxf>
      <font>
        <b/>
        <sz val="14"/>
        <name val="Times New Roman"/>
        <scheme val="none"/>
      </font>
      <numFmt numFmtId="2" formatCode="0.00"/>
      <fill>
        <patternFill>
          <bgColor theme="0"/>
        </patternFill>
      </fill>
    </dxf>
  </rfmt>
  <rfmt sheetId="9" sqref="J21" start="0" length="0">
    <dxf>
      <font>
        <b/>
        <sz val="14"/>
        <name val="Times New Roman"/>
        <scheme val="none"/>
      </font>
      <numFmt numFmtId="2" formatCode="0.00"/>
      <fill>
        <patternFill>
          <bgColor theme="0"/>
        </patternFill>
      </fill>
    </dxf>
  </rfmt>
  <rfmt sheetId="9" sqref="K21" start="0" length="0">
    <dxf>
      <font>
        <b/>
        <sz val="14"/>
        <name val="Times New Roman"/>
        <scheme val="none"/>
      </font>
      <numFmt numFmtId="2" formatCode="0.00"/>
      <fill>
        <patternFill>
          <bgColor theme="0"/>
        </patternFill>
      </fill>
    </dxf>
  </rfmt>
  <rcc rId="8654" sId="9" odxf="1" dxf="1" numFmtId="4">
    <nc r="L21">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655" sId="9" odxf="1" dxf="1" numFmtId="4">
    <nc r="M21">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656" sId="9" odxf="1" dxf="1" numFmtId="4">
    <nc r="N21">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657" sId="9" odxf="1" dxf="1" numFmtId="4">
    <nc r="O21">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658" sId="9" odxf="1" dxf="1" numFmtId="4">
    <nc r="P21">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659" sId="9" odxf="1" dxf="1" numFmtId="4">
    <nc r="Q21">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660" sId="9" odxf="1" dxf="1" numFmtId="4">
    <nc r="R21">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661" sId="9" odxf="1" dxf="1" numFmtId="4">
    <nc r="S21">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662" sId="9" odxf="1" dxf="1" numFmtId="4">
    <nc r="T21">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U21" start="0" length="0">
    <dxf>
      <font>
        <b/>
        <sz val="14"/>
        <name val="Times New Roman"/>
        <scheme val="none"/>
      </font>
      <numFmt numFmtId="2" formatCode="0.00"/>
      <fill>
        <patternFill>
          <bgColor theme="0"/>
        </patternFill>
      </fill>
    </dxf>
  </rfmt>
  <rcc rId="8663" sId="9" odxf="1" dxf="1" numFmtId="4">
    <nc r="V21">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W21" start="0" length="0">
    <dxf>
      <font>
        <b/>
        <sz val="14"/>
        <name val="Times New Roman"/>
        <scheme val="none"/>
      </font>
      <numFmt numFmtId="2" formatCode="0.00"/>
      <fill>
        <patternFill>
          <bgColor theme="0"/>
        </patternFill>
      </fill>
    </dxf>
  </rfmt>
  <rcc rId="8664" sId="9" odxf="1" dxf="1" numFmtId="4">
    <nc r="X21">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Y21" start="0" length="0">
    <dxf>
      <font>
        <b/>
        <sz val="14"/>
        <name val="Times New Roman"/>
        <scheme val="none"/>
      </font>
      <numFmt numFmtId="2" formatCode="0.00"/>
      <fill>
        <patternFill>
          <bgColor theme="0"/>
        </patternFill>
      </fill>
    </dxf>
  </rfmt>
  <rcc rId="8665" sId="9" odxf="1" dxf="1" numFmtId="4">
    <nc r="Z21">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A21" start="0" length="0">
    <dxf>
      <font>
        <b/>
        <sz val="14"/>
        <name val="Times New Roman"/>
        <scheme val="none"/>
      </font>
      <numFmt numFmtId="2" formatCode="0.00"/>
      <fill>
        <patternFill>
          <bgColor theme="0"/>
        </patternFill>
      </fill>
    </dxf>
  </rfmt>
  <rcc rId="8666" sId="9" odxf="1" dxf="1" numFmtId="4">
    <nc r="AB21">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C21" start="0" length="0">
    <dxf>
      <font>
        <b/>
        <sz val="14"/>
        <name val="Times New Roman"/>
        <scheme val="none"/>
      </font>
      <numFmt numFmtId="2" formatCode="0.00"/>
      <fill>
        <patternFill>
          <bgColor theme="0"/>
        </patternFill>
      </fill>
    </dxf>
  </rfmt>
  <rcc rId="8667" sId="9" odxf="1" dxf="1" numFmtId="4">
    <nc r="AD21">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E21" start="0" length="0">
    <dxf>
      <font>
        <b/>
        <sz val="14"/>
        <name val="Times New Roman"/>
        <scheme val="none"/>
      </font>
      <numFmt numFmtId="2" formatCode="0.00"/>
      <fill>
        <patternFill>
          <bgColor theme="0"/>
        </patternFill>
      </fill>
    </dxf>
  </rfmt>
  <rcc rId="8668" sId="9" odxf="1" dxf="1">
    <oc r="B22">
      <f>H22+J22+L22+N22+P22+R22+T22+V22+X22+Z22+AB22+AD22</f>
    </oc>
    <nc r="B22">
      <f>H22+J22+L22+N22+P22+R22+T22+V22+X22+Z22+AB22+AD22</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669" sId="9" odxf="1" dxf="1" numFmtId="4">
    <oc r="C22">
      <f>H22+J22</f>
    </oc>
    <nc r="C22">
      <v>0</v>
    </nc>
    <odxf>
      <font>
        <b val="0"/>
        <sz val="14"/>
        <name val="Times New Roman"/>
        <scheme val="none"/>
      </font>
      <numFmt numFmtId="4" formatCode="#,##0.00"/>
      <fill>
        <patternFill>
          <bgColor theme="7" tint="0.79998168889431442"/>
        </patternFill>
      </fill>
      <border outline="0">
        <left style="thin">
          <color indexed="64"/>
        </left>
        <right/>
      </border>
    </odxf>
    <ndxf>
      <font>
        <b/>
        <sz val="14"/>
        <name val="Times New Roman"/>
        <scheme val="none"/>
      </font>
      <numFmt numFmtId="2" formatCode="0.00"/>
      <fill>
        <patternFill>
          <bgColor theme="0"/>
        </patternFill>
      </fill>
      <border outline="0">
        <left/>
        <right style="thin">
          <color indexed="64"/>
        </right>
      </border>
    </ndxf>
  </rcc>
  <rcc rId="8670" sId="9" odxf="1" dxf="1">
    <oc r="D22">
      <f>I22</f>
    </oc>
    <nc r="D22">
      <f>I22</f>
    </nc>
    <odxf>
      <font>
        <b val="0"/>
        <sz val="14"/>
        <name val="Times New Roman"/>
        <scheme val="none"/>
      </font>
      <numFmt numFmtId="4" formatCode="#,##0.00"/>
      <fill>
        <patternFill>
          <bgColor theme="7" tint="0.79998168889431442"/>
        </patternFill>
      </fill>
      <border outline="0">
        <left style="thin">
          <color indexed="64"/>
        </left>
      </border>
    </odxf>
    <ndxf>
      <font>
        <b/>
        <sz val="14"/>
        <name val="Times New Roman"/>
        <scheme val="none"/>
      </font>
      <numFmt numFmtId="2" formatCode="0.00"/>
      <fill>
        <patternFill>
          <bgColor theme="0"/>
        </patternFill>
      </fill>
      <border outline="0">
        <left/>
      </border>
    </ndxf>
  </rcc>
  <rfmt sheetId="9" sqref="E22" start="0" length="0">
    <dxf>
      <font>
        <b/>
        <sz val="14"/>
        <name val="Times New Roman"/>
        <scheme val="none"/>
      </font>
      <numFmt numFmtId="2" formatCode="0.00"/>
      <fill>
        <patternFill>
          <bgColor theme="0"/>
        </patternFill>
      </fill>
    </dxf>
  </rfmt>
  <rfmt sheetId="9" sqref="F22" start="0" length="0">
    <dxf>
      <font>
        <b/>
        <sz val="14"/>
        <name val="Times New Roman"/>
        <scheme val="none"/>
      </font>
      <numFmt numFmtId="2" formatCode="0.00"/>
      <fill>
        <patternFill>
          <bgColor theme="9" tint="0.79998168889431442"/>
        </patternFill>
      </fill>
    </dxf>
  </rfmt>
  <rfmt sheetId="9" sqref="G22" start="0" length="0">
    <dxf>
      <font>
        <b/>
        <sz val="14"/>
        <name val="Times New Roman"/>
        <scheme val="none"/>
      </font>
      <numFmt numFmtId="2" formatCode="0.00"/>
      <fill>
        <patternFill>
          <bgColor theme="9" tint="0.79998168889431442"/>
        </patternFill>
      </fill>
    </dxf>
  </rfmt>
  <rfmt sheetId="9" sqref="H22" start="0" length="0">
    <dxf>
      <font>
        <b/>
        <sz val="14"/>
        <name val="Times New Roman"/>
        <scheme val="none"/>
      </font>
      <numFmt numFmtId="2" formatCode="0.00"/>
      <fill>
        <patternFill>
          <bgColor theme="0"/>
        </patternFill>
      </fill>
    </dxf>
  </rfmt>
  <rfmt sheetId="9" sqref="I22" start="0" length="0">
    <dxf>
      <font>
        <b/>
        <sz val="14"/>
        <name val="Times New Roman"/>
        <scheme val="none"/>
      </font>
      <numFmt numFmtId="2" formatCode="0.00"/>
      <fill>
        <patternFill>
          <bgColor theme="0"/>
        </patternFill>
      </fill>
    </dxf>
  </rfmt>
  <rfmt sheetId="9" sqref="J22" start="0" length="0">
    <dxf>
      <font>
        <b/>
        <sz val="14"/>
        <name val="Times New Roman"/>
        <scheme val="none"/>
      </font>
      <numFmt numFmtId="2" formatCode="0.00"/>
      <fill>
        <patternFill>
          <bgColor theme="0"/>
        </patternFill>
      </fill>
    </dxf>
  </rfmt>
  <rfmt sheetId="9" sqref="K22" start="0" length="0">
    <dxf>
      <font>
        <b/>
        <sz val="14"/>
        <name val="Times New Roman"/>
        <scheme val="none"/>
      </font>
      <numFmt numFmtId="2" formatCode="0.00"/>
      <fill>
        <patternFill>
          <bgColor theme="0"/>
        </patternFill>
      </fill>
    </dxf>
  </rfmt>
  <rcc rId="8671" sId="9" odxf="1" dxf="1" numFmtId="4">
    <nc r="L22">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672" sId="9" odxf="1" dxf="1" numFmtId="4">
    <nc r="M22">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673" sId="9" odxf="1" dxf="1" numFmtId="4">
    <nc r="N22">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674" sId="9" odxf="1" dxf="1" numFmtId="4">
    <nc r="O22">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675" sId="9" odxf="1" dxf="1" numFmtId="4">
    <nc r="P22">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676" sId="9" odxf="1" dxf="1" numFmtId="4">
    <nc r="Q22">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677" sId="9" odxf="1" dxf="1" numFmtId="4">
    <nc r="R22">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678" sId="9" odxf="1" dxf="1" numFmtId="4">
    <nc r="S22">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679" sId="9" odxf="1" dxf="1" numFmtId="4">
    <nc r="T22">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U22" start="0" length="0">
    <dxf>
      <font>
        <b/>
        <sz val="14"/>
        <name val="Times New Roman"/>
        <scheme val="none"/>
      </font>
      <numFmt numFmtId="2" formatCode="0.00"/>
      <fill>
        <patternFill>
          <bgColor theme="0"/>
        </patternFill>
      </fill>
    </dxf>
  </rfmt>
  <rcc rId="8680" sId="9" odxf="1" dxf="1" numFmtId="4">
    <nc r="V22">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W22" start="0" length="0">
    <dxf>
      <font>
        <b/>
        <sz val="14"/>
        <name val="Times New Roman"/>
        <scheme val="none"/>
      </font>
      <numFmt numFmtId="2" formatCode="0.00"/>
      <fill>
        <patternFill>
          <bgColor theme="0"/>
        </patternFill>
      </fill>
    </dxf>
  </rfmt>
  <rcc rId="8681" sId="9" odxf="1" dxf="1" numFmtId="4">
    <nc r="X22">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Y22" start="0" length="0">
    <dxf>
      <font>
        <b/>
        <sz val="14"/>
        <name val="Times New Roman"/>
        <scheme val="none"/>
      </font>
      <numFmt numFmtId="2" formatCode="0.00"/>
      <fill>
        <patternFill>
          <bgColor theme="0"/>
        </patternFill>
      </fill>
    </dxf>
  </rfmt>
  <rcc rId="8682" sId="9" odxf="1" dxf="1" numFmtId="4">
    <nc r="Z22">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A22" start="0" length="0">
    <dxf>
      <font>
        <b/>
        <sz val="14"/>
        <name val="Times New Roman"/>
        <scheme val="none"/>
      </font>
      <numFmt numFmtId="2" formatCode="0.00"/>
      <fill>
        <patternFill>
          <bgColor theme="0"/>
        </patternFill>
      </fill>
    </dxf>
  </rfmt>
  <rcc rId="8683" sId="9" odxf="1" dxf="1" numFmtId="4">
    <nc r="AB22">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C22" start="0" length="0">
    <dxf>
      <font>
        <b/>
        <sz val="14"/>
        <name val="Times New Roman"/>
        <scheme val="none"/>
      </font>
      <numFmt numFmtId="2" formatCode="0.00"/>
      <fill>
        <patternFill>
          <bgColor theme="0"/>
        </patternFill>
      </fill>
    </dxf>
  </rfmt>
  <rcc rId="8684" sId="9" odxf="1" dxf="1" numFmtId="4">
    <nc r="AD22">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E22" start="0" length="0">
    <dxf>
      <font>
        <b/>
        <sz val="14"/>
        <name val="Times New Roman"/>
        <scheme val="none"/>
      </font>
      <numFmt numFmtId="2" formatCode="0.00"/>
      <fill>
        <patternFill>
          <bgColor theme="0"/>
        </patternFill>
      </fill>
    </dxf>
  </rfmt>
  <rcc rId="8685" sId="9" odxf="1" dxf="1">
    <oc r="B23">
      <f>H23+J23+L23+N23+P23+R23+T23+V23+X23+Z23+AB23+AD23</f>
    </oc>
    <nc r="B23">
      <f>H23+J23+L23+N23+P23+R23+T23+V23+X23+Z23+AB23+AD23</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686" sId="9" odxf="1" dxf="1">
    <oc r="C23">
      <f>H23+J23</f>
    </oc>
    <nc r="C23">
      <f>H23+J23+L23+N23+P23+R23</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687" sId="9" odxf="1" dxf="1">
    <oc r="D23">
      <f>I23</f>
    </oc>
    <nc r="D23">
      <f>E23</f>
    </nc>
    <odxf>
      <font>
        <b val="0"/>
        <sz val="14"/>
        <name val="Times New Roman"/>
        <scheme val="none"/>
      </font>
      <numFmt numFmtId="4" formatCode="#,##0.00"/>
      <fill>
        <patternFill>
          <bgColor theme="7" tint="0.79998168889431442"/>
        </patternFill>
      </fill>
      <border outline="0">
        <right style="thin">
          <color indexed="64"/>
        </right>
      </border>
    </odxf>
    <ndxf>
      <font>
        <b/>
        <sz val="14"/>
        <name val="Times New Roman"/>
        <scheme val="none"/>
      </font>
      <numFmt numFmtId="2" formatCode="0.00"/>
      <fill>
        <patternFill>
          <bgColor theme="0"/>
        </patternFill>
      </fill>
      <border outline="0">
        <right/>
      </border>
    </ndxf>
  </rcc>
  <rcc rId="8688" sId="9" odxf="1" dxf="1">
    <oc r="E23">
      <f>I23</f>
    </oc>
    <nc r="E23">
      <f>I23+K23+M23+O23+Q23+S23</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F23" start="0" length="0">
    <dxf>
      <font>
        <b/>
        <sz val="14"/>
        <name val="Times New Roman"/>
        <scheme val="none"/>
      </font>
      <numFmt numFmtId="2" formatCode="0.00"/>
      <fill>
        <patternFill>
          <bgColor theme="9" tint="0.79998168889431442"/>
        </patternFill>
      </fill>
    </dxf>
  </rfmt>
  <rfmt sheetId="9" sqref="G23" start="0" length="0">
    <dxf>
      <font>
        <b/>
        <sz val="14"/>
        <name val="Times New Roman"/>
        <scheme val="none"/>
      </font>
      <numFmt numFmtId="2" formatCode="0.00"/>
      <fill>
        <patternFill>
          <bgColor theme="9" tint="0.79998168889431442"/>
        </patternFill>
      </fill>
    </dxf>
  </rfmt>
  <rfmt sheetId="9" sqref="H23" start="0" length="0">
    <dxf>
      <font>
        <b/>
        <sz val="14"/>
        <name val="Times New Roman"/>
        <scheme val="none"/>
      </font>
      <numFmt numFmtId="2" formatCode="0.00"/>
      <fill>
        <patternFill>
          <bgColor theme="0"/>
        </patternFill>
      </fill>
    </dxf>
  </rfmt>
  <rfmt sheetId="9" sqref="I23" start="0" length="0">
    <dxf>
      <font>
        <b/>
        <sz val="14"/>
        <name val="Times New Roman"/>
        <scheme val="none"/>
      </font>
      <numFmt numFmtId="2" formatCode="0.00"/>
      <fill>
        <patternFill>
          <bgColor theme="0"/>
        </patternFill>
      </fill>
    </dxf>
  </rfmt>
  <rfmt sheetId="9" sqref="J23" start="0" length="0">
    <dxf>
      <font>
        <b/>
        <sz val="14"/>
        <name val="Times New Roman"/>
        <scheme val="none"/>
      </font>
      <numFmt numFmtId="2" formatCode="0.00"/>
      <fill>
        <patternFill>
          <bgColor theme="0"/>
        </patternFill>
      </fill>
    </dxf>
  </rfmt>
  <rfmt sheetId="9" sqref="K23" start="0" length="0">
    <dxf>
      <font>
        <b/>
        <sz val="14"/>
        <name val="Times New Roman"/>
        <scheme val="none"/>
      </font>
      <numFmt numFmtId="2" formatCode="0.00"/>
      <fill>
        <patternFill>
          <bgColor theme="0"/>
        </patternFill>
      </fill>
    </dxf>
  </rfmt>
  <rcc rId="8689" sId="9" odxf="1" dxf="1" numFmtId="4">
    <nc r="L23">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690" sId="9" odxf="1" dxf="1" numFmtId="4">
    <nc r="M23">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691" sId="9" odxf="1" dxf="1" numFmtId="4">
    <nc r="N23">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692" sId="9" odxf="1" dxf="1" numFmtId="4">
    <nc r="O23">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693" sId="9" odxf="1" dxf="1" numFmtId="4">
    <nc r="P23">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694" sId="9" odxf="1" dxf="1" numFmtId="4">
    <nc r="Q23">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695" sId="9" odxf="1" dxf="1" numFmtId="4">
    <nc r="R23">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696" sId="9" odxf="1" dxf="1" numFmtId="4">
    <nc r="S23">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697" sId="9" odxf="1" dxf="1" numFmtId="4">
    <nc r="T23">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U23" start="0" length="0">
    <dxf>
      <font>
        <b/>
        <sz val="14"/>
        <name val="Times New Roman"/>
        <scheme val="none"/>
      </font>
      <numFmt numFmtId="2" formatCode="0.00"/>
      <fill>
        <patternFill>
          <bgColor theme="0"/>
        </patternFill>
      </fill>
    </dxf>
  </rfmt>
  <rcc rId="8698" sId="9" odxf="1" dxf="1" numFmtId="4">
    <nc r="V23">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W23" start="0" length="0">
    <dxf>
      <font>
        <b/>
        <sz val="14"/>
        <name val="Times New Roman"/>
        <scheme val="none"/>
      </font>
      <numFmt numFmtId="2" formatCode="0.00"/>
      <fill>
        <patternFill>
          <bgColor theme="0"/>
        </patternFill>
      </fill>
    </dxf>
  </rfmt>
  <rcc rId="8699" sId="9" odxf="1" dxf="1" numFmtId="4">
    <nc r="X23">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Y23" start="0" length="0">
    <dxf>
      <font>
        <b/>
        <sz val="14"/>
        <name val="Times New Roman"/>
        <scheme val="none"/>
      </font>
      <numFmt numFmtId="2" formatCode="0.00"/>
      <fill>
        <patternFill>
          <bgColor theme="0"/>
        </patternFill>
      </fill>
    </dxf>
  </rfmt>
  <rcc rId="8700" sId="9" odxf="1" dxf="1" numFmtId="4">
    <nc r="Z23">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A23" start="0" length="0">
    <dxf>
      <font>
        <b/>
        <sz val="14"/>
        <name val="Times New Roman"/>
        <scheme val="none"/>
      </font>
      <numFmt numFmtId="2" formatCode="0.00"/>
      <fill>
        <patternFill>
          <bgColor theme="0"/>
        </patternFill>
      </fill>
    </dxf>
  </rfmt>
  <rcc rId="8701" sId="9" odxf="1" dxf="1" numFmtId="4">
    <nc r="AB23">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C23" start="0" length="0">
    <dxf>
      <font>
        <b/>
        <sz val="14"/>
        <name val="Times New Roman"/>
        <scheme val="none"/>
      </font>
      <numFmt numFmtId="2" formatCode="0.00"/>
      <fill>
        <patternFill>
          <bgColor theme="0"/>
        </patternFill>
      </fill>
    </dxf>
  </rfmt>
  <rcc rId="8702" sId="9" odxf="1" dxf="1" numFmtId="4">
    <nc r="AD23">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E23" start="0" length="0">
    <dxf>
      <font>
        <b/>
        <sz val="14"/>
        <name val="Times New Roman"/>
        <scheme val="none"/>
      </font>
      <numFmt numFmtId="2" formatCode="0.00"/>
      <fill>
        <patternFill>
          <bgColor theme="0"/>
        </patternFill>
      </fill>
    </dxf>
  </rfmt>
  <rcc rId="8703" sId="9" odxf="1" dxf="1">
    <oc r="B24">
      <f>H24+J24+L24+N24+P24+R24+T24+V24+X24+Z24+AB24+AD24</f>
    </oc>
    <nc r="B24">
      <f>H24+J24+L24+N24+P24+R24+T24+V24+X24+Z24+AB24+AD24</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704" sId="9" odxf="1" dxf="1" numFmtId="4">
    <oc r="C24">
      <f>H24+J24</f>
    </oc>
    <nc r="C24">
      <v>0</v>
    </nc>
    <odxf>
      <font>
        <b val="0"/>
        <sz val="14"/>
        <name val="Times New Roman"/>
        <scheme val="none"/>
      </font>
      <numFmt numFmtId="4" formatCode="#,##0.00"/>
      <fill>
        <patternFill>
          <bgColor theme="7" tint="0.79998168889431442"/>
        </patternFill>
      </fill>
      <border outline="0">
        <left style="thin">
          <color indexed="64"/>
        </left>
        <right/>
      </border>
    </odxf>
    <ndxf>
      <font>
        <b/>
        <sz val="14"/>
        <name val="Times New Roman"/>
        <scheme val="none"/>
      </font>
      <numFmt numFmtId="2" formatCode="0.00"/>
      <fill>
        <patternFill>
          <bgColor theme="0"/>
        </patternFill>
      </fill>
      <border outline="0">
        <left/>
        <right style="thin">
          <color indexed="64"/>
        </right>
      </border>
    </ndxf>
  </rcc>
  <rcc rId="8705" sId="9" odxf="1" dxf="1">
    <oc r="D24">
      <f>I24</f>
    </oc>
    <nc r="D24">
      <f>I24</f>
    </nc>
    <odxf>
      <font>
        <b val="0"/>
        <sz val="14"/>
        <name val="Times New Roman"/>
        <scheme val="none"/>
      </font>
      <numFmt numFmtId="4" formatCode="#,##0.00"/>
      <fill>
        <patternFill>
          <bgColor theme="7" tint="0.79998168889431442"/>
        </patternFill>
      </fill>
      <border outline="0">
        <left style="thin">
          <color indexed="64"/>
        </left>
      </border>
    </odxf>
    <ndxf>
      <font>
        <b/>
        <sz val="14"/>
        <name val="Times New Roman"/>
        <scheme val="none"/>
      </font>
      <numFmt numFmtId="2" formatCode="0.00"/>
      <fill>
        <patternFill>
          <bgColor theme="0"/>
        </patternFill>
      </fill>
      <border outline="0">
        <left/>
      </border>
    </ndxf>
  </rcc>
  <rfmt sheetId="9" sqref="E24" start="0" length="0">
    <dxf>
      <font>
        <b/>
        <sz val="14"/>
        <name val="Times New Roman"/>
        <scheme val="none"/>
      </font>
      <numFmt numFmtId="2" formatCode="0.00"/>
      <fill>
        <patternFill>
          <bgColor theme="0"/>
        </patternFill>
      </fill>
    </dxf>
  </rfmt>
  <rfmt sheetId="9" sqref="F24" start="0" length="0">
    <dxf>
      <font>
        <b/>
        <sz val="14"/>
        <name val="Times New Roman"/>
        <scheme val="none"/>
      </font>
      <numFmt numFmtId="2" formatCode="0.00"/>
      <fill>
        <patternFill>
          <bgColor theme="9" tint="0.79998168889431442"/>
        </patternFill>
      </fill>
    </dxf>
  </rfmt>
  <rfmt sheetId="9" sqref="G24" start="0" length="0">
    <dxf>
      <font>
        <b/>
        <sz val="14"/>
        <name val="Times New Roman"/>
        <scheme val="none"/>
      </font>
      <numFmt numFmtId="2" formatCode="0.00"/>
      <fill>
        <patternFill>
          <bgColor theme="9" tint="0.79998168889431442"/>
        </patternFill>
      </fill>
    </dxf>
  </rfmt>
  <rfmt sheetId="9" sqref="H24" start="0" length="0">
    <dxf>
      <font>
        <b/>
        <sz val="14"/>
        <name val="Times New Roman"/>
        <scheme val="none"/>
      </font>
      <numFmt numFmtId="2" formatCode="0.00"/>
      <fill>
        <patternFill>
          <bgColor theme="0"/>
        </patternFill>
      </fill>
    </dxf>
  </rfmt>
  <rfmt sheetId="9" sqref="I24" start="0" length="0">
    <dxf>
      <font>
        <b/>
        <sz val="14"/>
        <name val="Times New Roman"/>
        <scheme val="none"/>
      </font>
      <numFmt numFmtId="2" formatCode="0.00"/>
      <fill>
        <patternFill>
          <bgColor theme="0"/>
        </patternFill>
      </fill>
    </dxf>
  </rfmt>
  <rfmt sheetId="9" sqref="J24" start="0" length="0">
    <dxf>
      <font>
        <b/>
        <sz val="14"/>
        <name val="Times New Roman"/>
        <scheme val="none"/>
      </font>
      <numFmt numFmtId="2" formatCode="0.00"/>
      <fill>
        <patternFill>
          <bgColor theme="0"/>
        </patternFill>
      </fill>
    </dxf>
  </rfmt>
  <rfmt sheetId="9" sqref="K24" start="0" length="0">
    <dxf>
      <font>
        <b/>
        <sz val="14"/>
        <name val="Times New Roman"/>
        <scheme val="none"/>
      </font>
      <numFmt numFmtId="2" formatCode="0.00"/>
      <fill>
        <patternFill>
          <bgColor theme="0"/>
        </patternFill>
      </fill>
    </dxf>
  </rfmt>
  <rcc rId="8706" sId="9" odxf="1" dxf="1" numFmtId="4">
    <nc r="L24">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707" sId="9" odxf="1" dxf="1" numFmtId="4">
    <nc r="M24">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708" sId="9" odxf="1" dxf="1" numFmtId="4">
    <nc r="N24">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709" sId="9" odxf="1" dxf="1" numFmtId="4">
    <nc r="O24">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710" sId="9" odxf="1" dxf="1" numFmtId="4">
    <nc r="P24">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711" sId="9" odxf="1" dxf="1" numFmtId="4">
    <nc r="Q24">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712" sId="9" odxf="1" dxf="1" numFmtId="4">
    <nc r="R24">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713" sId="9" odxf="1" dxf="1" numFmtId="4">
    <nc r="S24">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714" sId="9" odxf="1" dxf="1" numFmtId="4">
    <nc r="T24">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U24" start="0" length="0">
    <dxf>
      <font>
        <b/>
        <sz val="14"/>
        <name val="Times New Roman"/>
        <scheme val="none"/>
      </font>
      <numFmt numFmtId="2" formatCode="0.00"/>
      <fill>
        <patternFill>
          <bgColor theme="0"/>
        </patternFill>
      </fill>
    </dxf>
  </rfmt>
  <rcc rId="8715" sId="9" odxf="1" dxf="1" numFmtId="4">
    <nc r="V24">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W24" start="0" length="0">
    <dxf>
      <font>
        <b/>
        <sz val="14"/>
        <name val="Times New Roman"/>
        <scheme val="none"/>
      </font>
      <numFmt numFmtId="2" formatCode="0.00"/>
      <fill>
        <patternFill>
          <bgColor theme="0"/>
        </patternFill>
      </fill>
    </dxf>
  </rfmt>
  <rcc rId="8716" sId="9" odxf="1" dxf="1" numFmtId="4">
    <nc r="X24">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Y24" start="0" length="0">
    <dxf>
      <font>
        <b/>
        <sz val="14"/>
        <name val="Times New Roman"/>
        <scheme val="none"/>
      </font>
      <numFmt numFmtId="2" formatCode="0.00"/>
      <fill>
        <patternFill>
          <bgColor theme="0"/>
        </patternFill>
      </fill>
    </dxf>
  </rfmt>
  <rcc rId="8717" sId="9" odxf="1" dxf="1" numFmtId="4">
    <nc r="Z24">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A24" start="0" length="0">
    <dxf>
      <font>
        <b/>
        <sz val="14"/>
        <name val="Times New Roman"/>
        <scheme val="none"/>
      </font>
      <numFmt numFmtId="2" formatCode="0.00"/>
      <fill>
        <patternFill>
          <bgColor theme="0"/>
        </patternFill>
      </fill>
    </dxf>
  </rfmt>
  <rcc rId="8718" sId="9" odxf="1" dxf="1" numFmtId="4">
    <nc r="AB24">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C24" start="0" length="0">
    <dxf>
      <font>
        <b/>
        <sz val="14"/>
        <name val="Times New Roman"/>
        <scheme val="none"/>
      </font>
      <numFmt numFmtId="2" formatCode="0.00"/>
      <fill>
        <patternFill>
          <bgColor theme="0"/>
        </patternFill>
      </fill>
    </dxf>
  </rfmt>
  <rcc rId="8719" sId="9" odxf="1" dxf="1" numFmtId="4">
    <nc r="AD24">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E24" start="0" length="0">
    <dxf>
      <font>
        <b/>
        <sz val="14"/>
        <name val="Times New Roman"/>
        <scheme val="none"/>
      </font>
      <numFmt numFmtId="2" formatCode="0.00"/>
      <fill>
        <patternFill>
          <bgColor theme="0"/>
        </patternFill>
      </fill>
    </dxf>
  </rfmt>
  <rcc rId="8720" sId="9" odxf="1" dxf="1">
    <oc r="B25">
      <f>B26</f>
    </oc>
    <nc r="B25">
      <f>B26</f>
    </nc>
    <odxf>
      <numFmt numFmtId="4" formatCode="#,##0.00"/>
      <fill>
        <patternFill>
          <bgColor theme="7" tint="0.79998168889431442"/>
        </patternFill>
      </fill>
    </odxf>
    <ndxf>
      <numFmt numFmtId="2" formatCode="0.00"/>
      <fill>
        <patternFill>
          <bgColor theme="0"/>
        </patternFill>
      </fill>
    </ndxf>
  </rcc>
  <rcc rId="8721" sId="9" odxf="1" dxf="1">
    <oc r="C25">
      <f>C26</f>
    </oc>
    <nc r="C25">
      <f>C26</f>
    </nc>
    <odxf>
      <numFmt numFmtId="4" formatCode="#,##0.00"/>
      <fill>
        <patternFill>
          <bgColor theme="7" tint="0.79998168889431442"/>
        </patternFill>
      </fill>
    </odxf>
    <ndxf>
      <numFmt numFmtId="2" formatCode="0.00"/>
      <fill>
        <patternFill>
          <bgColor theme="0"/>
        </patternFill>
      </fill>
    </ndxf>
  </rcc>
  <rcc rId="8722" sId="9" odxf="1" dxf="1">
    <oc r="D25">
      <f>D26</f>
    </oc>
    <nc r="D25">
      <f>D26</f>
    </nc>
    <odxf>
      <numFmt numFmtId="4" formatCode="#,##0.00"/>
      <fill>
        <patternFill>
          <bgColor theme="7" tint="0.79998168889431442"/>
        </patternFill>
      </fill>
    </odxf>
    <ndxf>
      <numFmt numFmtId="2" formatCode="0.00"/>
      <fill>
        <patternFill>
          <bgColor theme="0"/>
        </patternFill>
      </fill>
    </ndxf>
  </rcc>
  <rcc rId="8723" sId="9" odxf="1" dxf="1">
    <oc r="E25">
      <f>E26</f>
    </oc>
    <nc r="E25">
      <f>E26</f>
    </nc>
    <odxf>
      <numFmt numFmtId="4" formatCode="#,##0.00"/>
      <fill>
        <patternFill>
          <bgColor theme="7" tint="0.79998168889431442"/>
        </patternFill>
      </fill>
    </odxf>
    <ndxf>
      <numFmt numFmtId="2" formatCode="0.00"/>
      <fill>
        <patternFill>
          <bgColor theme="0"/>
        </patternFill>
      </fill>
    </ndxf>
  </rcc>
  <rcc rId="8724" sId="9" odxf="1" dxf="1">
    <oc r="F25">
      <f>F26</f>
    </oc>
    <nc r="F25">
      <f>F26</f>
    </nc>
    <odxf>
      <numFmt numFmtId="4" formatCode="#,##0.00"/>
      <fill>
        <patternFill>
          <bgColor theme="7" tint="0.79998168889431442"/>
        </patternFill>
      </fill>
    </odxf>
    <ndxf>
      <numFmt numFmtId="2" formatCode="0.00"/>
      <fill>
        <patternFill>
          <bgColor theme="9" tint="0.79998168889431442"/>
        </patternFill>
      </fill>
    </ndxf>
  </rcc>
  <rfmt sheetId="9" sqref="G25" start="0" length="0">
    <dxf>
      <numFmt numFmtId="2" formatCode="0.00"/>
      <fill>
        <patternFill>
          <bgColor theme="9" tint="0.79998168889431442"/>
        </patternFill>
      </fill>
    </dxf>
  </rfmt>
  <rcc rId="8725" sId="9" odxf="1" dxf="1">
    <oc r="H25">
      <f>H26</f>
    </oc>
    <nc r="H25">
      <f>H26</f>
    </nc>
    <odxf>
      <numFmt numFmtId="4" formatCode="#,##0.00"/>
      <fill>
        <patternFill>
          <bgColor theme="7" tint="0.79998168889431442"/>
        </patternFill>
      </fill>
    </odxf>
    <ndxf>
      <numFmt numFmtId="2" formatCode="0.00"/>
      <fill>
        <patternFill>
          <bgColor theme="0"/>
        </patternFill>
      </fill>
    </ndxf>
  </rcc>
  <rcc rId="8726" sId="9" odxf="1" dxf="1">
    <oc r="I25">
      <f>I26</f>
    </oc>
    <nc r="I25">
      <f>I26</f>
    </nc>
    <odxf>
      <numFmt numFmtId="4" formatCode="#,##0.00"/>
      <fill>
        <patternFill>
          <bgColor theme="7" tint="0.79998168889431442"/>
        </patternFill>
      </fill>
    </odxf>
    <ndxf>
      <numFmt numFmtId="2" formatCode="0.00"/>
      <fill>
        <patternFill>
          <bgColor theme="0"/>
        </patternFill>
      </fill>
    </ndxf>
  </rcc>
  <rcc rId="8727" sId="9" odxf="1" dxf="1">
    <oc r="J25">
      <f>J26</f>
    </oc>
    <nc r="J25">
      <f>J26</f>
    </nc>
    <odxf>
      <numFmt numFmtId="4" formatCode="#,##0.00"/>
      <fill>
        <patternFill>
          <bgColor theme="7" tint="0.79998168889431442"/>
        </patternFill>
      </fill>
    </odxf>
    <ndxf>
      <numFmt numFmtId="2" formatCode="0.00"/>
      <fill>
        <patternFill>
          <bgColor theme="0"/>
        </patternFill>
      </fill>
    </ndxf>
  </rcc>
  <rcc rId="8728" sId="9" odxf="1" dxf="1">
    <oc r="K25">
      <f>K26</f>
    </oc>
    <nc r="K25">
      <f>K26</f>
    </nc>
    <odxf>
      <numFmt numFmtId="4" formatCode="#,##0.00"/>
      <fill>
        <patternFill>
          <bgColor theme="7" tint="0.79998168889431442"/>
        </patternFill>
      </fill>
    </odxf>
    <ndxf>
      <numFmt numFmtId="2" formatCode="0.00"/>
      <fill>
        <patternFill>
          <bgColor theme="0"/>
        </patternFill>
      </fill>
    </ndxf>
  </rcc>
  <rcc rId="8729" sId="9" odxf="1" dxf="1">
    <oc r="L25">
      <f>L26</f>
    </oc>
    <nc r="L25">
      <f>L26</f>
    </nc>
    <odxf>
      <numFmt numFmtId="4" formatCode="#,##0.00"/>
      <fill>
        <patternFill>
          <bgColor theme="7" tint="0.79998168889431442"/>
        </patternFill>
      </fill>
    </odxf>
    <ndxf>
      <numFmt numFmtId="2" formatCode="0.00"/>
      <fill>
        <patternFill>
          <bgColor theme="0"/>
        </patternFill>
      </fill>
    </ndxf>
  </rcc>
  <rcc rId="8730" sId="9" odxf="1" dxf="1">
    <nc r="M25">
      <f>M26</f>
    </nc>
    <odxf>
      <numFmt numFmtId="4" formatCode="#,##0.00"/>
      <fill>
        <patternFill>
          <bgColor theme="7" tint="0.79998168889431442"/>
        </patternFill>
      </fill>
      <border outline="0">
        <right/>
      </border>
      <protection hidden="1"/>
    </odxf>
    <ndxf>
      <numFmt numFmtId="2" formatCode="0.00"/>
      <fill>
        <patternFill>
          <bgColor theme="0"/>
        </patternFill>
      </fill>
      <border outline="0">
        <right style="thin">
          <color indexed="64"/>
        </right>
      </border>
      <protection hidden="0"/>
    </ndxf>
  </rcc>
  <rcc rId="8731" sId="9" odxf="1" dxf="1">
    <oc r="N25">
      <f>N26</f>
    </oc>
    <nc r="N25">
      <f>N26</f>
    </nc>
    <odxf>
      <numFmt numFmtId="4" formatCode="#,##0.00"/>
      <fill>
        <patternFill>
          <bgColor theme="7" tint="0.79998168889431442"/>
        </patternFill>
      </fill>
    </odxf>
    <ndxf>
      <numFmt numFmtId="2" formatCode="0.00"/>
      <fill>
        <patternFill>
          <bgColor theme="0"/>
        </patternFill>
      </fill>
    </ndxf>
  </rcc>
  <rcc rId="8732" sId="9" odxf="1" dxf="1">
    <nc r="O25">
      <f>O26</f>
    </nc>
    <odxf>
      <numFmt numFmtId="4" formatCode="#,##0.00"/>
      <fill>
        <patternFill>
          <bgColor theme="7" tint="0.79998168889431442"/>
        </patternFill>
      </fill>
      <border outline="0">
        <right/>
      </border>
      <protection hidden="1"/>
    </odxf>
    <ndxf>
      <numFmt numFmtId="2" formatCode="0.00"/>
      <fill>
        <patternFill>
          <bgColor theme="0"/>
        </patternFill>
      </fill>
      <border outline="0">
        <right style="thin">
          <color indexed="64"/>
        </right>
      </border>
      <protection hidden="0"/>
    </ndxf>
  </rcc>
  <rcc rId="8733" sId="9" odxf="1" dxf="1">
    <oc r="P25">
      <f>P26</f>
    </oc>
    <nc r="P25">
      <f>P26</f>
    </nc>
    <odxf>
      <numFmt numFmtId="4" formatCode="#,##0.00"/>
      <fill>
        <patternFill>
          <bgColor theme="7" tint="0.79998168889431442"/>
        </patternFill>
      </fill>
    </odxf>
    <ndxf>
      <numFmt numFmtId="2" formatCode="0.00"/>
      <fill>
        <patternFill>
          <bgColor theme="0"/>
        </patternFill>
      </fill>
    </ndxf>
  </rcc>
  <rcc rId="8734" sId="9" odxf="1" dxf="1">
    <nc r="Q25">
      <f>Q26</f>
    </nc>
    <odxf>
      <numFmt numFmtId="4" formatCode="#,##0.00"/>
      <fill>
        <patternFill>
          <bgColor theme="7" tint="0.79998168889431442"/>
        </patternFill>
      </fill>
      <border outline="0">
        <right/>
      </border>
      <protection hidden="1"/>
    </odxf>
    <ndxf>
      <numFmt numFmtId="2" formatCode="0.00"/>
      <fill>
        <patternFill>
          <bgColor theme="0"/>
        </patternFill>
      </fill>
      <border outline="0">
        <right style="thin">
          <color indexed="64"/>
        </right>
      </border>
      <protection hidden="0"/>
    </ndxf>
  </rcc>
  <rcc rId="8735" sId="9" odxf="1" dxf="1">
    <oc r="R25">
      <f>R26</f>
    </oc>
    <nc r="R25">
      <f>R26</f>
    </nc>
    <odxf>
      <numFmt numFmtId="4" formatCode="#,##0.00"/>
      <fill>
        <patternFill>
          <bgColor theme="7" tint="0.79998168889431442"/>
        </patternFill>
      </fill>
    </odxf>
    <ndxf>
      <numFmt numFmtId="2" formatCode="0.00"/>
      <fill>
        <patternFill>
          <bgColor theme="0"/>
        </patternFill>
      </fill>
    </ndxf>
  </rcc>
  <rcc rId="8736" sId="9" odxf="1" dxf="1">
    <nc r="S25">
      <f>S26</f>
    </nc>
    <odxf>
      <numFmt numFmtId="4" formatCode="#,##0.00"/>
      <fill>
        <patternFill>
          <bgColor theme="7" tint="0.79998168889431442"/>
        </patternFill>
      </fill>
      <border outline="0">
        <right/>
      </border>
      <protection hidden="1"/>
    </odxf>
    <ndxf>
      <numFmt numFmtId="2" formatCode="0.00"/>
      <fill>
        <patternFill>
          <bgColor theme="0"/>
        </patternFill>
      </fill>
      <border outline="0">
        <right style="thin">
          <color indexed="64"/>
        </right>
      </border>
      <protection hidden="0"/>
    </ndxf>
  </rcc>
  <rcc rId="8737" sId="9" odxf="1" dxf="1">
    <oc r="T25">
      <f>T26</f>
    </oc>
    <nc r="T25">
      <f>T26</f>
    </nc>
    <odxf>
      <numFmt numFmtId="4" formatCode="#,##0.00"/>
      <fill>
        <patternFill>
          <bgColor theme="7" tint="0.79998168889431442"/>
        </patternFill>
      </fill>
    </odxf>
    <ndxf>
      <numFmt numFmtId="2" formatCode="0.00"/>
      <fill>
        <patternFill>
          <bgColor theme="0"/>
        </patternFill>
      </fill>
    </ndxf>
  </rcc>
  <rfmt sheetId="9" sqref="U25" start="0" length="0">
    <dxf>
      <numFmt numFmtId="2" formatCode="0.00"/>
      <fill>
        <patternFill>
          <bgColor theme="0"/>
        </patternFill>
      </fill>
    </dxf>
  </rfmt>
  <rcc rId="8738" sId="9" odxf="1" dxf="1">
    <oc r="V25">
      <f>V26</f>
    </oc>
    <nc r="V25">
      <f>V26</f>
    </nc>
    <odxf>
      <numFmt numFmtId="4" formatCode="#,##0.00"/>
      <fill>
        <patternFill>
          <bgColor theme="7" tint="0.79998168889431442"/>
        </patternFill>
      </fill>
    </odxf>
    <ndxf>
      <numFmt numFmtId="2" formatCode="0.00"/>
      <fill>
        <patternFill>
          <bgColor theme="0"/>
        </patternFill>
      </fill>
    </ndxf>
  </rcc>
  <rfmt sheetId="9" sqref="W25" start="0" length="0">
    <dxf>
      <numFmt numFmtId="2" formatCode="0.00"/>
      <fill>
        <patternFill>
          <bgColor theme="0"/>
        </patternFill>
      </fill>
    </dxf>
  </rfmt>
  <rcc rId="8739" sId="9" odxf="1" dxf="1">
    <oc r="X25">
      <f>X26</f>
    </oc>
    <nc r="X25">
      <f>X26</f>
    </nc>
    <odxf>
      <numFmt numFmtId="4" formatCode="#,##0.00"/>
      <fill>
        <patternFill>
          <bgColor theme="7" tint="0.79998168889431442"/>
        </patternFill>
      </fill>
    </odxf>
    <ndxf>
      <numFmt numFmtId="2" formatCode="0.00"/>
      <fill>
        <patternFill>
          <bgColor theme="0"/>
        </patternFill>
      </fill>
    </ndxf>
  </rcc>
  <rfmt sheetId="9" sqref="Y25" start="0" length="0">
    <dxf>
      <numFmt numFmtId="2" formatCode="0.00"/>
      <fill>
        <patternFill>
          <bgColor theme="0"/>
        </patternFill>
      </fill>
    </dxf>
  </rfmt>
  <rcc rId="8740" sId="9" odxf="1" dxf="1">
    <oc r="Z25">
      <f>Z26</f>
    </oc>
    <nc r="Z25">
      <f>Z26</f>
    </nc>
    <odxf>
      <numFmt numFmtId="4" formatCode="#,##0.00"/>
      <fill>
        <patternFill>
          <bgColor theme="7" tint="0.79998168889431442"/>
        </patternFill>
      </fill>
    </odxf>
    <ndxf>
      <numFmt numFmtId="2" formatCode="0.00"/>
      <fill>
        <patternFill>
          <bgColor theme="0"/>
        </patternFill>
      </fill>
    </ndxf>
  </rcc>
  <rfmt sheetId="9" sqref="AA25" start="0" length="0">
    <dxf>
      <numFmt numFmtId="2" formatCode="0.00"/>
      <fill>
        <patternFill>
          <bgColor theme="0"/>
        </patternFill>
      </fill>
    </dxf>
  </rfmt>
  <rcc rId="8741" sId="9" odxf="1" dxf="1">
    <oc r="AB25">
      <f>AB26</f>
    </oc>
    <nc r="AB25">
      <f>AB26</f>
    </nc>
    <odxf>
      <numFmt numFmtId="4" formatCode="#,##0.00"/>
      <fill>
        <patternFill>
          <bgColor theme="7" tint="0.79998168889431442"/>
        </patternFill>
      </fill>
    </odxf>
    <ndxf>
      <numFmt numFmtId="2" formatCode="0.00"/>
      <fill>
        <patternFill>
          <bgColor theme="0"/>
        </patternFill>
      </fill>
    </ndxf>
  </rcc>
  <rfmt sheetId="9" sqref="AC25" start="0" length="0">
    <dxf>
      <numFmt numFmtId="2" formatCode="0.00"/>
      <fill>
        <patternFill>
          <bgColor theme="0"/>
        </patternFill>
      </fill>
    </dxf>
  </rfmt>
  <rcc rId="8742" sId="9" odxf="1" dxf="1">
    <oc r="AD25">
      <f>AD26</f>
    </oc>
    <nc r="AD25">
      <f>AD26</f>
    </nc>
    <odxf>
      <numFmt numFmtId="4" formatCode="#,##0.00"/>
      <fill>
        <patternFill>
          <bgColor theme="7" tint="0.79998168889431442"/>
        </patternFill>
      </fill>
    </odxf>
    <ndxf>
      <numFmt numFmtId="2" formatCode="0.00"/>
      <fill>
        <patternFill>
          <bgColor theme="0"/>
        </patternFill>
      </fill>
    </ndxf>
  </rcc>
  <rfmt sheetId="9" sqref="AE25" start="0" length="0">
    <dxf>
      <numFmt numFmtId="2" formatCode="0.00"/>
      <fill>
        <patternFill>
          <bgColor theme="0"/>
        </patternFill>
      </fill>
    </dxf>
  </rfmt>
  <rcc rId="8743" sId="9" odxf="1" dxf="1">
    <oc r="B26">
      <f>B27+B28+B29+B30</f>
    </oc>
    <nc r="B26">
      <f>B27+B28+B29+B30</f>
    </nc>
    <odxf>
      <numFmt numFmtId="4" formatCode="#,##0.00"/>
      <fill>
        <patternFill>
          <bgColor theme="7" tint="0.79998168889431442"/>
        </patternFill>
      </fill>
    </odxf>
    <ndxf>
      <numFmt numFmtId="2" formatCode="0.00"/>
      <fill>
        <patternFill>
          <bgColor theme="0"/>
        </patternFill>
      </fill>
    </ndxf>
  </rcc>
  <rcc rId="8744" sId="9" odxf="1" dxf="1">
    <oc r="C26">
      <f>C27+C28+C29+C30</f>
    </oc>
    <nc r="C26">
      <f>C27+C28+C29+C30</f>
    </nc>
    <odxf>
      <numFmt numFmtId="4" formatCode="#,##0.00"/>
      <fill>
        <patternFill>
          <bgColor theme="7" tint="0.79998168889431442"/>
        </patternFill>
      </fill>
    </odxf>
    <ndxf>
      <numFmt numFmtId="2" formatCode="0.00"/>
      <fill>
        <patternFill>
          <bgColor theme="0"/>
        </patternFill>
      </fill>
    </ndxf>
  </rcc>
  <rcc rId="8745" sId="9" odxf="1" dxf="1">
    <oc r="D26">
      <f>D27+D28+D29+D30</f>
    </oc>
    <nc r="D26">
      <f>D27+D28+D29+D30</f>
    </nc>
    <odxf>
      <numFmt numFmtId="4" formatCode="#,##0.00"/>
      <fill>
        <patternFill>
          <bgColor theme="7" tint="0.79998168889431442"/>
        </patternFill>
      </fill>
    </odxf>
    <ndxf>
      <numFmt numFmtId="2" formatCode="0.00"/>
      <fill>
        <patternFill>
          <bgColor theme="0"/>
        </patternFill>
      </fill>
    </ndxf>
  </rcc>
  <rcc rId="8746" sId="9" odxf="1" dxf="1">
    <oc r="E26">
      <f>E27+E28+E29+E30</f>
    </oc>
    <nc r="E26">
      <f>E27+E28+E29+E30</f>
    </nc>
    <odxf>
      <numFmt numFmtId="4" formatCode="#,##0.00"/>
      <fill>
        <patternFill>
          <bgColor theme="7" tint="0.79998168889431442"/>
        </patternFill>
      </fill>
    </odxf>
    <ndxf>
      <numFmt numFmtId="2" formatCode="0.00"/>
      <fill>
        <patternFill>
          <bgColor theme="0"/>
        </patternFill>
      </fill>
    </ndxf>
  </rcc>
  <rcc rId="8747" sId="9" odxf="1" dxf="1">
    <oc r="F26">
      <f>F27+F28+F29+F30</f>
    </oc>
    <nc r="F26">
      <f>F27+F28+F29+F30</f>
    </nc>
    <odxf>
      <numFmt numFmtId="4" formatCode="#,##0.00"/>
      <fill>
        <patternFill>
          <bgColor theme="7" tint="0.79998168889431442"/>
        </patternFill>
      </fill>
    </odxf>
    <ndxf>
      <numFmt numFmtId="2" formatCode="0.00"/>
      <fill>
        <patternFill>
          <bgColor theme="9" tint="0.79998168889431442"/>
        </patternFill>
      </fill>
    </ndxf>
  </rcc>
  <rcc rId="8748" sId="9" odxf="1" dxf="1">
    <oc r="G26">
      <f>G27+G28+G29+G30</f>
    </oc>
    <nc r="G26">
      <f>G27+G28+G29+G30</f>
    </nc>
    <odxf>
      <numFmt numFmtId="4" formatCode="#,##0.00"/>
      <fill>
        <patternFill>
          <bgColor theme="7" tint="0.79998168889431442"/>
        </patternFill>
      </fill>
    </odxf>
    <ndxf>
      <numFmt numFmtId="2" formatCode="0.00"/>
      <fill>
        <patternFill>
          <bgColor theme="9" tint="0.79998168889431442"/>
        </patternFill>
      </fill>
    </ndxf>
  </rcc>
  <rcc rId="8749" sId="9" odxf="1" dxf="1">
    <oc r="H26">
      <f>H27+H28+H29+H30</f>
    </oc>
    <nc r="H26">
      <f>H27+H28+H29+H30</f>
    </nc>
    <odxf>
      <numFmt numFmtId="4" formatCode="#,##0.00"/>
      <fill>
        <patternFill>
          <bgColor theme="7" tint="0.79998168889431442"/>
        </patternFill>
      </fill>
    </odxf>
    <ndxf>
      <numFmt numFmtId="2" formatCode="0.00"/>
      <fill>
        <patternFill>
          <bgColor theme="0"/>
        </patternFill>
      </fill>
    </ndxf>
  </rcc>
  <rcc rId="8750" sId="9" odxf="1" dxf="1">
    <oc r="I26">
      <f>I27+I28+I29+I30</f>
    </oc>
    <nc r="I26">
      <f>I27+I28+I29+I30</f>
    </nc>
    <odxf>
      <numFmt numFmtId="4" formatCode="#,##0.00"/>
      <fill>
        <patternFill>
          <bgColor theme="7" tint="0.79998168889431442"/>
        </patternFill>
      </fill>
    </odxf>
    <ndxf>
      <numFmt numFmtId="2" formatCode="0.00"/>
      <fill>
        <patternFill>
          <bgColor theme="0"/>
        </patternFill>
      </fill>
    </ndxf>
  </rcc>
  <rcc rId="8751" sId="9" odxf="1" dxf="1">
    <oc r="J26">
      <f>J27+J28+J29+J30</f>
    </oc>
    <nc r="J26">
      <f>J27+J28+J29+J30</f>
    </nc>
    <odxf>
      <numFmt numFmtId="4" formatCode="#,##0.00"/>
      <fill>
        <patternFill>
          <bgColor theme="7" tint="0.79998168889431442"/>
        </patternFill>
      </fill>
    </odxf>
    <ndxf>
      <numFmt numFmtId="2" formatCode="0.00"/>
      <fill>
        <patternFill>
          <bgColor theme="0"/>
        </patternFill>
      </fill>
    </ndxf>
  </rcc>
  <rcc rId="8752" sId="9" odxf="1" dxf="1">
    <oc r="K26">
      <f>K27+K28+K29+K30</f>
    </oc>
    <nc r="K26">
      <f>K27+K28+K29+K30</f>
    </nc>
    <odxf>
      <numFmt numFmtId="4" formatCode="#,##0.00"/>
      <fill>
        <patternFill>
          <bgColor theme="7" tint="0.79998168889431442"/>
        </patternFill>
      </fill>
    </odxf>
    <ndxf>
      <numFmt numFmtId="2" formatCode="0.00"/>
      <fill>
        <patternFill>
          <bgColor theme="0"/>
        </patternFill>
      </fill>
    </ndxf>
  </rcc>
  <rcc rId="8753" sId="9" odxf="1" dxf="1">
    <oc r="L26">
      <f>L27+L28+L29+L30</f>
    </oc>
    <nc r="L26">
      <f>L27+L28+L29+L30</f>
    </nc>
    <odxf>
      <numFmt numFmtId="4" formatCode="#,##0.00"/>
      <fill>
        <patternFill>
          <bgColor theme="7" tint="0.79998168889431442"/>
        </patternFill>
      </fill>
    </odxf>
    <ndxf>
      <numFmt numFmtId="2" formatCode="0.00"/>
      <fill>
        <patternFill>
          <bgColor theme="0"/>
        </patternFill>
      </fill>
    </ndxf>
  </rcc>
  <rcc rId="8754" sId="9" odxf="1" dxf="1">
    <nc r="M26">
      <f>M27+M28+M29+M30</f>
    </nc>
    <odxf>
      <numFmt numFmtId="4" formatCode="#,##0.00"/>
      <fill>
        <patternFill>
          <bgColor theme="7" tint="0.79998168889431442"/>
        </patternFill>
      </fill>
    </odxf>
    <ndxf>
      <numFmt numFmtId="2" formatCode="0.00"/>
      <fill>
        <patternFill>
          <bgColor theme="0"/>
        </patternFill>
      </fill>
    </ndxf>
  </rcc>
  <rcc rId="8755" sId="9" odxf="1" dxf="1">
    <oc r="N26">
      <f>N27+N28+N29+N30</f>
    </oc>
    <nc r="N26">
      <f>N27+N28+N29+N30</f>
    </nc>
    <odxf>
      <numFmt numFmtId="4" formatCode="#,##0.00"/>
      <fill>
        <patternFill>
          <bgColor theme="7" tint="0.79998168889431442"/>
        </patternFill>
      </fill>
    </odxf>
    <ndxf>
      <numFmt numFmtId="2" formatCode="0.00"/>
      <fill>
        <patternFill>
          <bgColor theme="0"/>
        </patternFill>
      </fill>
    </ndxf>
  </rcc>
  <rcc rId="8756" sId="9" odxf="1" dxf="1">
    <nc r="O26">
      <f>O27+O28+O29+O30</f>
    </nc>
    <odxf>
      <numFmt numFmtId="4" formatCode="#,##0.00"/>
      <fill>
        <patternFill>
          <bgColor theme="7" tint="0.79998168889431442"/>
        </patternFill>
      </fill>
    </odxf>
    <ndxf>
      <numFmt numFmtId="2" formatCode="0.00"/>
      <fill>
        <patternFill>
          <bgColor theme="0"/>
        </patternFill>
      </fill>
    </ndxf>
  </rcc>
  <rcc rId="8757" sId="9" odxf="1" dxf="1">
    <oc r="P26">
      <f>P27+P28+P29+P30</f>
    </oc>
    <nc r="P26">
      <f>P27+P28+P29+P30</f>
    </nc>
    <odxf>
      <numFmt numFmtId="4" formatCode="#,##0.00"/>
      <fill>
        <patternFill>
          <bgColor theme="7" tint="0.79998168889431442"/>
        </patternFill>
      </fill>
    </odxf>
    <ndxf>
      <numFmt numFmtId="2" formatCode="0.00"/>
      <fill>
        <patternFill>
          <bgColor theme="0"/>
        </patternFill>
      </fill>
    </ndxf>
  </rcc>
  <rcc rId="8758" sId="9" odxf="1" dxf="1">
    <nc r="Q26">
      <f>Q27+Q28+Q29+Q30</f>
    </nc>
    <odxf>
      <numFmt numFmtId="4" formatCode="#,##0.00"/>
      <fill>
        <patternFill>
          <bgColor theme="7" tint="0.79998168889431442"/>
        </patternFill>
      </fill>
    </odxf>
    <ndxf>
      <numFmt numFmtId="2" formatCode="0.00"/>
      <fill>
        <patternFill>
          <bgColor theme="0"/>
        </patternFill>
      </fill>
    </ndxf>
  </rcc>
  <rcc rId="8759" sId="9" odxf="1" dxf="1">
    <oc r="R26">
      <f>R27+R28+R29+R30</f>
    </oc>
    <nc r="R26">
      <f>R27+R28+R29+R30</f>
    </nc>
    <odxf>
      <numFmt numFmtId="4" formatCode="#,##0.00"/>
      <fill>
        <patternFill>
          <bgColor theme="7" tint="0.79998168889431442"/>
        </patternFill>
      </fill>
    </odxf>
    <ndxf>
      <numFmt numFmtId="2" formatCode="0.00"/>
      <fill>
        <patternFill>
          <bgColor theme="0"/>
        </patternFill>
      </fill>
    </ndxf>
  </rcc>
  <rcc rId="8760" sId="9" odxf="1" dxf="1">
    <nc r="S26">
      <f>S27+S28+S29+S30</f>
    </nc>
    <odxf>
      <numFmt numFmtId="4" formatCode="#,##0.00"/>
      <fill>
        <patternFill>
          <bgColor theme="7" tint="0.79998168889431442"/>
        </patternFill>
      </fill>
    </odxf>
    <ndxf>
      <numFmt numFmtId="2" formatCode="0.00"/>
      <fill>
        <patternFill>
          <bgColor theme="0"/>
        </patternFill>
      </fill>
    </ndxf>
  </rcc>
  <rcc rId="8761" sId="9" odxf="1" dxf="1">
    <oc r="T26">
      <f>T27+T28+T29+T30</f>
    </oc>
    <nc r="T26">
      <f>T27+T28+T29+T30</f>
    </nc>
    <odxf>
      <numFmt numFmtId="4" formatCode="#,##0.00"/>
      <fill>
        <patternFill>
          <bgColor theme="7" tint="0.79998168889431442"/>
        </patternFill>
      </fill>
    </odxf>
    <ndxf>
      <numFmt numFmtId="2" formatCode="0.00"/>
      <fill>
        <patternFill>
          <bgColor theme="0"/>
        </patternFill>
      </fill>
    </ndxf>
  </rcc>
  <rfmt sheetId="9" sqref="U26" start="0" length="0">
    <dxf>
      <numFmt numFmtId="2" formatCode="0.00"/>
      <fill>
        <patternFill>
          <bgColor theme="0"/>
        </patternFill>
      </fill>
    </dxf>
  </rfmt>
  <rcc rId="8762" sId="9" odxf="1" dxf="1">
    <oc r="V26">
      <f>V27+V28+V29+V30</f>
    </oc>
    <nc r="V26">
      <f>V27+V28+V29+V30</f>
    </nc>
    <odxf>
      <numFmt numFmtId="4" formatCode="#,##0.00"/>
      <fill>
        <patternFill>
          <bgColor theme="7" tint="0.79998168889431442"/>
        </patternFill>
      </fill>
    </odxf>
    <ndxf>
      <numFmt numFmtId="2" formatCode="0.00"/>
      <fill>
        <patternFill>
          <bgColor theme="0"/>
        </patternFill>
      </fill>
    </ndxf>
  </rcc>
  <rfmt sheetId="9" sqref="W26" start="0" length="0">
    <dxf>
      <numFmt numFmtId="2" formatCode="0.00"/>
      <fill>
        <patternFill>
          <bgColor theme="0"/>
        </patternFill>
      </fill>
    </dxf>
  </rfmt>
  <rcc rId="8763" sId="9" odxf="1" dxf="1">
    <oc r="X26">
      <f>X27+X28+X29+X30</f>
    </oc>
    <nc r="X26">
      <f>X27+X28+X29+X30</f>
    </nc>
    <odxf>
      <numFmt numFmtId="4" formatCode="#,##0.00"/>
      <fill>
        <patternFill>
          <bgColor theme="7" tint="0.79998168889431442"/>
        </patternFill>
      </fill>
    </odxf>
    <ndxf>
      <numFmt numFmtId="2" formatCode="0.00"/>
      <fill>
        <patternFill>
          <bgColor theme="0"/>
        </patternFill>
      </fill>
    </ndxf>
  </rcc>
  <rfmt sheetId="9" sqref="Y26" start="0" length="0">
    <dxf>
      <numFmt numFmtId="2" formatCode="0.00"/>
      <fill>
        <patternFill>
          <bgColor theme="0"/>
        </patternFill>
      </fill>
    </dxf>
  </rfmt>
  <rcc rId="8764" sId="9" odxf="1" dxf="1">
    <oc r="Z26">
      <f>Z27+Z28+Z29+Z30</f>
    </oc>
    <nc r="Z26">
      <f>Z27+Z28+Z29+Z30</f>
    </nc>
    <odxf>
      <numFmt numFmtId="4" formatCode="#,##0.00"/>
      <fill>
        <patternFill>
          <bgColor theme="7" tint="0.79998168889431442"/>
        </patternFill>
      </fill>
    </odxf>
    <ndxf>
      <numFmt numFmtId="2" formatCode="0.00"/>
      <fill>
        <patternFill>
          <bgColor theme="0"/>
        </patternFill>
      </fill>
    </ndxf>
  </rcc>
  <rfmt sheetId="9" sqref="AA26" start="0" length="0">
    <dxf>
      <numFmt numFmtId="2" formatCode="0.00"/>
      <fill>
        <patternFill>
          <bgColor theme="0"/>
        </patternFill>
      </fill>
    </dxf>
  </rfmt>
  <rcc rId="8765" sId="9" odxf="1" dxf="1">
    <oc r="AB26">
      <f>AB27+AB28+AB29+AB30</f>
    </oc>
    <nc r="AB26">
      <f>AB27+AB28+AB29+AB30</f>
    </nc>
    <odxf>
      <numFmt numFmtId="4" formatCode="#,##0.00"/>
      <fill>
        <patternFill>
          <bgColor theme="7" tint="0.79998168889431442"/>
        </patternFill>
      </fill>
    </odxf>
    <ndxf>
      <numFmt numFmtId="2" formatCode="0.00"/>
      <fill>
        <patternFill>
          <bgColor theme="0"/>
        </patternFill>
      </fill>
    </ndxf>
  </rcc>
  <rfmt sheetId="9" sqref="AC26" start="0" length="0">
    <dxf>
      <numFmt numFmtId="2" formatCode="0.00"/>
      <fill>
        <patternFill>
          <bgColor theme="0"/>
        </patternFill>
      </fill>
    </dxf>
  </rfmt>
  <rcc rId="8766" sId="9" odxf="1" dxf="1">
    <oc r="AD26">
      <f>AD27+AD28+AD29+AD30</f>
    </oc>
    <nc r="AD26">
      <f>AD27+AD28+AD29+AD30</f>
    </nc>
    <odxf>
      <numFmt numFmtId="4" formatCode="#,##0.00"/>
      <fill>
        <patternFill>
          <bgColor theme="7" tint="0.79998168889431442"/>
        </patternFill>
      </fill>
    </odxf>
    <ndxf>
      <numFmt numFmtId="2" formatCode="0.00"/>
      <fill>
        <patternFill>
          <bgColor theme="0"/>
        </patternFill>
      </fill>
    </ndxf>
  </rcc>
  <rfmt sheetId="9" sqref="AE26" start="0" length="0">
    <dxf>
      <numFmt numFmtId="2" formatCode="0.00"/>
      <fill>
        <patternFill>
          <bgColor theme="0"/>
        </patternFill>
      </fill>
    </dxf>
  </rfmt>
  <rcc rId="8767" sId="9" odxf="1" dxf="1">
    <oc r="B27">
      <f>H27+J27+L27+N27+P27+R27+T27+V27+X27+Z27+AB27+AD27</f>
    </oc>
    <nc r="B27">
      <f>H27+J27+L27+N27+P27+R27+T27+V27+X27+Z27+AB27+AD27</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768" sId="9" odxf="1" dxf="1" numFmtId="4">
    <oc r="C27">
      <f>H27+J27</f>
    </oc>
    <nc r="C27">
      <v>0</v>
    </nc>
    <odxf>
      <font>
        <b val="0"/>
        <sz val="14"/>
        <name val="Times New Roman"/>
        <scheme val="none"/>
      </font>
      <numFmt numFmtId="4" formatCode="#,##0.00"/>
      <fill>
        <patternFill>
          <bgColor theme="7" tint="0.79998168889431442"/>
        </patternFill>
      </fill>
      <border outline="0">
        <left style="thin">
          <color indexed="64"/>
        </left>
      </border>
    </odxf>
    <ndxf>
      <font>
        <b/>
        <sz val="14"/>
        <name val="Times New Roman"/>
        <scheme val="none"/>
      </font>
      <numFmt numFmtId="2" formatCode="0.00"/>
      <fill>
        <patternFill>
          <bgColor theme="0"/>
        </patternFill>
      </fill>
      <border outline="0">
        <left/>
      </border>
    </ndxf>
  </rcc>
  <rcc rId="8769" sId="9" odxf="1" dxf="1">
    <oc r="D27">
      <f>I27</f>
    </oc>
    <nc r="D27">
      <f>I27</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E27" start="0" length="0">
    <dxf>
      <font>
        <b/>
        <sz val="14"/>
        <name val="Times New Roman"/>
        <scheme val="none"/>
      </font>
      <numFmt numFmtId="2" formatCode="0.00"/>
      <fill>
        <patternFill>
          <bgColor theme="0"/>
        </patternFill>
      </fill>
    </dxf>
  </rfmt>
  <rfmt sheetId="9" sqref="F27" start="0" length="0">
    <dxf>
      <font>
        <b/>
        <sz val="14"/>
        <name val="Times New Roman"/>
        <scheme val="none"/>
      </font>
      <numFmt numFmtId="2" formatCode="0.00"/>
      <fill>
        <patternFill>
          <bgColor theme="9" tint="0.79998168889431442"/>
        </patternFill>
      </fill>
    </dxf>
  </rfmt>
  <rfmt sheetId="9" sqref="G27" start="0" length="0">
    <dxf>
      <font>
        <b/>
        <sz val="14"/>
        <name val="Times New Roman"/>
        <scheme val="none"/>
      </font>
      <numFmt numFmtId="2" formatCode="0.00"/>
      <fill>
        <patternFill>
          <bgColor theme="9" tint="0.79998168889431442"/>
        </patternFill>
      </fill>
    </dxf>
  </rfmt>
  <rfmt sheetId="9" sqref="H27" start="0" length="0">
    <dxf>
      <font>
        <b/>
        <sz val="14"/>
        <name val="Times New Roman"/>
        <scheme val="none"/>
      </font>
      <numFmt numFmtId="2" formatCode="0.00"/>
      <fill>
        <patternFill>
          <bgColor theme="0"/>
        </patternFill>
      </fill>
    </dxf>
  </rfmt>
  <rfmt sheetId="9" sqref="I27" start="0" length="0">
    <dxf>
      <font>
        <b/>
        <sz val="14"/>
        <name val="Times New Roman"/>
        <scheme val="none"/>
      </font>
      <numFmt numFmtId="2" formatCode="0.00"/>
      <fill>
        <patternFill>
          <bgColor theme="0"/>
        </patternFill>
      </fill>
    </dxf>
  </rfmt>
  <rfmt sheetId="9" sqref="J27" start="0" length="0">
    <dxf>
      <font>
        <b/>
        <sz val="14"/>
        <name val="Times New Roman"/>
        <scheme val="none"/>
      </font>
      <numFmt numFmtId="2" formatCode="0.00"/>
      <fill>
        <patternFill>
          <bgColor theme="0"/>
        </patternFill>
      </fill>
    </dxf>
  </rfmt>
  <rfmt sheetId="9" sqref="K27" start="0" length="0">
    <dxf>
      <font>
        <b/>
        <sz val="14"/>
        <name val="Times New Roman"/>
        <scheme val="none"/>
      </font>
      <numFmt numFmtId="2" formatCode="0.00"/>
      <fill>
        <patternFill>
          <bgColor theme="0"/>
        </patternFill>
      </fill>
    </dxf>
  </rfmt>
  <rfmt sheetId="9" sqref="L27" start="0" length="0">
    <dxf>
      <font>
        <b/>
        <sz val="14"/>
        <name val="Times New Roman"/>
        <scheme val="none"/>
      </font>
      <numFmt numFmtId="2" formatCode="0.00"/>
      <fill>
        <patternFill>
          <bgColor theme="0"/>
        </patternFill>
      </fill>
    </dxf>
  </rfmt>
  <rcc rId="8770" sId="9" odxf="1" dxf="1" numFmtId="4">
    <nc r="M27">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N27" start="0" length="0">
    <dxf>
      <font>
        <b/>
        <sz val="14"/>
        <name val="Times New Roman"/>
        <scheme val="none"/>
      </font>
      <numFmt numFmtId="2" formatCode="0.00"/>
      <fill>
        <patternFill>
          <bgColor theme="0"/>
        </patternFill>
      </fill>
    </dxf>
  </rfmt>
  <rcc rId="8771" sId="9" odxf="1" dxf="1" numFmtId="4">
    <nc r="O27">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P27" start="0" length="0">
    <dxf>
      <font>
        <b/>
        <sz val="14"/>
        <name val="Times New Roman"/>
        <scheme val="none"/>
      </font>
      <numFmt numFmtId="2" formatCode="0.00"/>
      <fill>
        <patternFill>
          <bgColor theme="0"/>
        </patternFill>
      </fill>
    </dxf>
  </rfmt>
  <rcc rId="8772" sId="9" odxf="1" dxf="1" numFmtId="4">
    <nc r="Q27">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R27" start="0" length="0">
    <dxf>
      <font>
        <b/>
        <sz val="14"/>
        <name val="Times New Roman"/>
        <scheme val="none"/>
      </font>
      <numFmt numFmtId="2" formatCode="0.00"/>
      <fill>
        <patternFill>
          <bgColor theme="0"/>
        </patternFill>
      </fill>
    </dxf>
  </rfmt>
  <rcc rId="8773" sId="9" odxf="1" dxf="1" numFmtId="4">
    <nc r="S27">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T27" start="0" length="0">
    <dxf>
      <font>
        <b/>
        <sz val="14"/>
        <name val="Times New Roman"/>
        <scheme val="none"/>
      </font>
      <numFmt numFmtId="2" formatCode="0.00"/>
      <fill>
        <patternFill>
          <bgColor theme="0"/>
        </patternFill>
      </fill>
    </dxf>
  </rfmt>
  <rfmt sheetId="9" sqref="U27" start="0" length="0">
    <dxf>
      <font>
        <b/>
        <sz val="14"/>
        <name val="Times New Roman"/>
        <scheme val="none"/>
      </font>
      <numFmt numFmtId="2" formatCode="0.00"/>
      <fill>
        <patternFill>
          <bgColor theme="0"/>
        </patternFill>
      </fill>
    </dxf>
  </rfmt>
  <rfmt sheetId="9" sqref="V27" start="0" length="0">
    <dxf>
      <font>
        <b/>
        <sz val="14"/>
        <name val="Times New Roman"/>
        <scheme val="none"/>
      </font>
      <numFmt numFmtId="2" formatCode="0.00"/>
      <fill>
        <patternFill>
          <bgColor theme="0"/>
        </patternFill>
      </fill>
    </dxf>
  </rfmt>
  <rfmt sheetId="9" sqref="W27" start="0" length="0">
    <dxf>
      <font>
        <b/>
        <sz val="14"/>
        <name val="Times New Roman"/>
        <scheme val="none"/>
      </font>
      <numFmt numFmtId="2" formatCode="0.00"/>
      <fill>
        <patternFill>
          <bgColor theme="0"/>
        </patternFill>
      </fill>
    </dxf>
  </rfmt>
  <rfmt sheetId="9" sqref="X27" start="0" length="0">
    <dxf>
      <font>
        <b/>
        <sz val="14"/>
        <name val="Times New Roman"/>
        <scheme val="none"/>
      </font>
      <numFmt numFmtId="2" formatCode="0.00"/>
      <fill>
        <patternFill>
          <bgColor theme="0"/>
        </patternFill>
      </fill>
    </dxf>
  </rfmt>
  <rfmt sheetId="9" sqref="Y27" start="0" length="0">
    <dxf>
      <font>
        <b/>
        <sz val="14"/>
        <name val="Times New Roman"/>
        <scheme val="none"/>
      </font>
      <numFmt numFmtId="2" formatCode="0.00"/>
      <fill>
        <patternFill>
          <bgColor theme="0"/>
        </patternFill>
      </fill>
    </dxf>
  </rfmt>
  <rfmt sheetId="9" sqref="Z27" start="0" length="0">
    <dxf>
      <font>
        <b/>
        <sz val="14"/>
        <name val="Times New Roman"/>
        <scheme val="none"/>
      </font>
      <numFmt numFmtId="2" formatCode="0.00"/>
      <fill>
        <patternFill>
          <bgColor theme="0"/>
        </patternFill>
      </fill>
    </dxf>
  </rfmt>
  <rfmt sheetId="9" sqref="AA27" start="0" length="0">
    <dxf>
      <font>
        <b/>
        <sz val="14"/>
        <name val="Times New Roman"/>
        <scheme val="none"/>
      </font>
      <numFmt numFmtId="2" formatCode="0.00"/>
      <fill>
        <patternFill>
          <bgColor theme="0"/>
        </patternFill>
      </fill>
    </dxf>
  </rfmt>
  <rfmt sheetId="9" sqref="AB27" start="0" length="0">
    <dxf>
      <font>
        <b/>
        <sz val="14"/>
        <name val="Times New Roman"/>
        <scheme val="none"/>
      </font>
      <numFmt numFmtId="2" formatCode="0.00"/>
      <fill>
        <patternFill>
          <bgColor theme="0"/>
        </patternFill>
      </fill>
    </dxf>
  </rfmt>
  <rfmt sheetId="9" sqref="AC27" start="0" length="0">
    <dxf>
      <font>
        <b/>
        <sz val="14"/>
        <name val="Times New Roman"/>
        <scheme val="none"/>
      </font>
      <numFmt numFmtId="2" formatCode="0.00"/>
      <fill>
        <patternFill>
          <bgColor theme="0"/>
        </patternFill>
      </fill>
    </dxf>
  </rfmt>
  <rfmt sheetId="9" sqref="AD27" start="0" length="0">
    <dxf>
      <font>
        <b/>
        <sz val="14"/>
        <name val="Times New Roman"/>
        <scheme val="none"/>
      </font>
      <numFmt numFmtId="2" formatCode="0.00"/>
      <fill>
        <patternFill>
          <bgColor theme="0"/>
        </patternFill>
      </fill>
    </dxf>
  </rfmt>
  <rfmt sheetId="9" sqref="AE27" start="0" length="0">
    <dxf>
      <font>
        <b/>
        <sz val="14"/>
        <name val="Times New Roman"/>
        <scheme val="none"/>
      </font>
      <numFmt numFmtId="2" formatCode="0.00"/>
      <fill>
        <patternFill>
          <bgColor theme="0"/>
        </patternFill>
      </fill>
    </dxf>
  </rfmt>
  <rcc rId="8774" sId="9" odxf="1" dxf="1">
    <oc r="B28">
      <f>H28+J28+L28+N28+P28+R28+T28+V28+X28+Z28+AB28+AD28</f>
    </oc>
    <nc r="B28">
      <f>H28+J28+L28+N28+P28+R28+T28+V28+X28+Z28+AB28+AD28</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775" sId="9" odxf="1" dxf="1" numFmtId="4">
    <oc r="C28">
      <f>H28+J28</f>
    </oc>
    <nc r="C28">
      <v>0</v>
    </nc>
    <odxf>
      <font>
        <b val="0"/>
        <sz val="14"/>
        <name val="Times New Roman"/>
        <scheme val="none"/>
      </font>
      <numFmt numFmtId="4" formatCode="#,##0.00"/>
      <fill>
        <patternFill>
          <bgColor theme="7" tint="0.79998168889431442"/>
        </patternFill>
      </fill>
      <border outline="0">
        <left style="thin">
          <color indexed="64"/>
        </left>
      </border>
    </odxf>
    <ndxf>
      <font>
        <b/>
        <sz val="14"/>
        <name val="Times New Roman"/>
        <scheme val="none"/>
      </font>
      <numFmt numFmtId="2" formatCode="0.00"/>
      <fill>
        <patternFill>
          <bgColor theme="0"/>
        </patternFill>
      </fill>
      <border outline="0">
        <left/>
      </border>
    </ndxf>
  </rcc>
  <rcc rId="8776" sId="9" odxf="1" dxf="1">
    <oc r="D28">
      <f>I28</f>
    </oc>
    <nc r="D28">
      <f>I28</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E28" start="0" length="0">
    <dxf>
      <font>
        <b/>
        <sz val="14"/>
        <name val="Times New Roman"/>
        <scheme val="none"/>
      </font>
      <numFmt numFmtId="2" formatCode="0.00"/>
      <fill>
        <patternFill>
          <bgColor theme="0"/>
        </patternFill>
      </fill>
    </dxf>
  </rfmt>
  <rfmt sheetId="9" sqref="F28" start="0" length="0">
    <dxf>
      <font>
        <b/>
        <sz val="14"/>
        <name val="Times New Roman"/>
        <scheme val="none"/>
      </font>
      <numFmt numFmtId="2" formatCode="0.00"/>
      <fill>
        <patternFill>
          <bgColor theme="9" tint="0.79998168889431442"/>
        </patternFill>
      </fill>
    </dxf>
  </rfmt>
  <rfmt sheetId="9" sqref="G28" start="0" length="0">
    <dxf>
      <font>
        <b/>
        <sz val="14"/>
        <name val="Times New Roman"/>
        <scheme val="none"/>
      </font>
      <numFmt numFmtId="2" formatCode="0.00"/>
      <fill>
        <patternFill>
          <bgColor theme="9" tint="0.79998168889431442"/>
        </patternFill>
      </fill>
    </dxf>
  </rfmt>
  <rfmt sheetId="9" sqref="H28" start="0" length="0">
    <dxf>
      <font>
        <b/>
        <sz val="14"/>
        <name val="Times New Roman"/>
        <scheme val="none"/>
      </font>
      <numFmt numFmtId="2" formatCode="0.00"/>
      <fill>
        <patternFill>
          <bgColor theme="0"/>
        </patternFill>
      </fill>
    </dxf>
  </rfmt>
  <rfmt sheetId="9" sqref="I28" start="0" length="0">
    <dxf>
      <font>
        <b/>
        <sz val="14"/>
        <name val="Times New Roman"/>
        <scheme val="none"/>
      </font>
      <numFmt numFmtId="2" formatCode="0.00"/>
      <fill>
        <patternFill>
          <bgColor theme="0"/>
        </patternFill>
      </fill>
    </dxf>
  </rfmt>
  <rfmt sheetId="9" sqref="J28" start="0" length="0">
    <dxf>
      <font>
        <b/>
        <sz val="14"/>
        <name val="Times New Roman"/>
        <scheme val="none"/>
      </font>
      <numFmt numFmtId="2" formatCode="0.00"/>
      <fill>
        <patternFill>
          <bgColor theme="0"/>
        </patternFill>
      </fill>
    </dxf>
  </rfmt>
  <rfmt sheetId="9" sqref="K28" start="0" length="0">
    <dxf>
      <font>
        <b/>
        <sz val="14"/>
        <name val="Times New Roman"/>
        <scheme val="none"/>
      </font>
      <numFmt numFmtId="2" formatCode="0.00"/>
      <fill>
        <patternFill>
          <bgColor theme="0"/>
        </patternFill>
      </fill>
    </dxf>
  </rfmt>
  <rfmt sheetId="9" sqref="L28" start="0" length="0">
    <dxf>
      <font>
        <b/>
        <sz val="14"/>
        <name val="Times New Roman"/>
        <scheme val="none"/>
      </font>
      <numFmt numFmtId="2" formatCode="0.00"/>
      <fill>
        <patternFill>
          <bgColor theme="0"/>
        </patternFill>
      </fill>
    </dxf>
  </rfmt>
  <rcc rId="8777" sId="9" odxf="1" dxf="1" numFmtId="4">
    <nc r="M28">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N28" start="0" length="0">
    <dxf>
      <font>
        <b/>
        <sz val="14"/>
        <name val="Times New Roman"/>
        <scheme val="none"/>
      </font>
      <numFmt numFmtId="2" formatCode="0.00"/>
      <fill>
        <patternFill>
          <bgColor theme="0"/>
        </patternFill>
      </fill>
    </dxf>
  </rfmt>
  <rcc rId="8778" sId="9" odxf="1" dxf="1" numFmtId="4">
    <nc r="O28">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P28" start="0" length="0">
    <dxf>
      <font>
        <b/>
        <sz val="14"/>
        <name val="Times New Roman"/>
        <scheme val="none"/>
      </font>
      <numFmt numFmtId="2" formatCode="0.00"/>
      <fill>
        <patternFill>
          <bgColor theme="0"/>
        </patternFill>
      </fill>
    </dxf>
  </rfmt>
  <rcc rId="8779" sId="9" odxf="1" dxf="1" numFmtId="4">
    <nc r="Q28">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R28" start="0" length="0">
    <dxf>
      <font>
        <b/>
        <sz val="14"/>
        <name val="Times New Roman"/>
        <scheme val="none"/>
      </font>
      <numFmt numFmtId="2" formatCode="0.00"/>
      <fill>
        <patternFill>
          <bgColor theme="0"/>
        </patternFill>
      </fill>
    </dxf>
  </rfmt>
  <rcc rId="8780" sId="9" odxf="1" dxf="1" numFmtId="4">
    <nc r="S28">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T28" start="0" length="0">
    <dxf>
      <font>
        <b/>
        <sz val="14"/>
        <name val="Times New Roman"/>
        <scheme val="none"/>
      </font>
      <numFmt numFmtId="2" formatCode="0.00"/>
      <fill>
        <patternFill>
          <bgColor theme="0"/>
        </patternFill>
      </fill>
    </dxf>
  </rfmt>
  <rfmt sheetId="9" sqref="U28" start="0" length="0">
    <dxf>
      <font>
        <b/>
        <sz val="14"/>
        <name val="Times New Roman"/>
        <scheme val="none"/>
      </font>
      <numFmt numFmtId="2" formatCode="0.00"/>
      <fill>
        <patternFill>
          <bgColor theme="0"/>
        </patternFill>
      </fill>
    </dxf>
  </rfmt>
  <rfmt sheetId="9" sqref="V28" start="0" length="0">
    <dxf>
      <font>
        <b/>
        <sz val="14"/>
        <name val="Times New Roman"/>
        <scheme val="none"/>
      </font>
      <numFmt numFmtId="2" formatCode="0.00"/>
      <fill>
        <patternFill>
          <bgColor theme="0"/>
        </patternFill>
      </fill>
    </dxf>
  </rfmt>
  <rfmt sheetId="9" sqref="W28" start="0" length="0">
    <dxf>
      <font>
        <b/>
        <sz val="14"/>
        <name val="Times New Roman"/>
        <scheme val="none"/>
      </font>
      <numFmt numFmtId="2" formatCode="0.00"/>
      <fill>
        <patternFill>
          <bgColor theme="0"/>
        </patternFill>
      </fill>
    </dxf>
  </rfmt>
  <rfmt sheetId="9" sqref="X28" start="0" length="0">
    <dxf>
      <font>
        <b/>
        <sz val="14"/>
        <name val="Times New Roman"/>
        <scheme val="none"/>
      </font>
      <numFmt numFmtId="2" formatCode="0.00"/>
      <fill>
        <patternFill>
          <bgColor theme="0"/>
        </patternFill>
      </fill>
    </dxf>
  </rfmt>
  <rfmt sheetId="9" sqref="Y28" start="0" length="0">
    <dxf>
      <font>
        <b/>
        <sz val="14"/>
        <name val="Times New Roman"/>
        <scheme val="none"/>
      </font>
      <numFmt numFmtId="2" formatCode="0.00"/>
      <fill>
        <patternFill>
          <bgColor theme="0"/>
        </patternFill>
      </fill>
    </dxf>
  </rfmt>
  <rfmt sheetId="9" sqref="Z28" start="0" length="0">
    <dxf>
      <font>
        <b/>
        <sz val="14"/>
        <name val="Times New Roman"/>
        <scheme val="none"/>
      </font>
      <numFmt numFmtId="2" formatCode="0.00"/>
      <fill>
        <patternFill>
          <bgColor theme="0"/>
        </patternFill>
      </fill>
    </dxf>
  </rfmt>
  <rfmt sheetId="9" sqref="AA28" start="0" length="0">
    <dxf>
      <font>
        <b/>
        <sz val="14"/>
        <name val="Times New Roman"/>
        <scheme val="none"/>
      </font>
      <numFmt numFmtId="2" formatCode="0.00"/>
      <fill>
        <patternFill>
          <bgColor theme="0"/>
        </patternFill>
      </fill>
    </dxf>
  </rfmt>
  <rfmt sheetId="9" sqref="AB28" start="0" length="0">
    <dxf>
      <font>
        <b/>
        <sz val="14"/>
        <name val="Times New Roman"/>
        <scheme val="none"/>
      </font>
      <numFmt numFmtId="2" formatCode="0.00"/>
      <fill>
        <patternFill>
          <bgColor theme="0"/>
        </patternFill>
      </fill>
    </dxf>
  </rfmt>
  <rfmt sheetId="9" sqref="AC28" start="0" length="0">
    <dxf>
      <font>
        <b/>
        <sz val="14"/>
        <name val="Times New Roman"/>
        <scheme val="none"/>
      </font>
      <numFmt numFmtId="2" formatCode="0.00"/>
      <fill>
        <patternFill>
          <bgColor theme="0"/>
        </patternFill>
      </fill>
    </dxf>
  </rfmt>
  <rfmt sheetId="9" sqref="AD28" start="0" length="0">
    <dxf>
      <font>
        <b/>
        <sz val="14"/>
        <name val="Times New Roman"/>
        <scheme val="none"/>
      </font>
      <numFmt numFmtId="2" formatCode="0.00"/>
      <fill>
        <patternFill>
          <bgColor theme="0"/>
        </patternFill>
      </fill>
    </dxf>
  </rfmt>
  <rfmt sheetId="9" sqref="AE28" start="0" length="0">
    <dxf>
      <font>
        <b/>
        <sz val="14"/>
        <name val="Times New Roman"/>
        <scheme val="none"/>
      </font>
      <numFmt numFmtId="2" formatCode="0.00"/>
      <fill>
        <patternFill>
          <bgColor theme="0"/>
        </patternFill>
      </fill>
    </dxf>
  </rfmt>
  <rcc rId="8781" sId="9" odxf="1" dxf="1">
    <oc r="B29">
      <f>H29+J29+L29+N29+P29+R29+T29+V29+X29+Z29+AB29+AD29</f>
    </oc>
    <nc r="B29">
      <f>H29+J29+L29+N29+P29+R29+T29+V29+X29+Z29+AB29+AD29</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782" sId="9" odxf="1" dxf="1">
    <oc r="C29">
      <f>H29+J29</f>
    </oc>
    <nc r="C29">
      <f>H29+J29+L29+N29+P29+R29</f>
    </nc>
    <odxf>
      <font>
        <b val="0"/>
        <sz val="14"/>
        <name val="Times New Roman"/>
        <scheme val="none"/>
      </font>
      <numFmt numFmtId="4" formatCode="#,##0.00"/>
      <fill>
        <patternFill>
          <bgColor theme="7" tint="0.79998168889431442"/>
        </patternFill>
      </fill>
      <border outline="0">
        <right style="thin">
          <color indexed="64"/>
        </right>
      </border>
    </odxf>
    <ndxf>
      <font>
        <b/>
        <sz val="14"/>
        <name val="Times New Roman"/>
        <scheme val="none"/>
      </font>
      <numFmt numFmtId="2" formatCode="0.00"/>
      <fill>
        <patternFill>
          <bgColor theme="0"/>
        </patternFill>
      </fill>
      <border outline="0">
        <right/>
      </border>
    </ndxf>
  </rcc>
  <rcc rId="8783" sId="9" odxf="1" dxf="1">
    <oc r="D29">
      <f>I29</f>
    </oc>
    <nc r="D29">
      <f>E29</f>
    </nc>
    <odxf>
      <font>
        <b val="0"/>
        <sz val="14"/>
        <name val="Times New Roman"/>
        <scheme val="none"/>
      </font>
      <numFmt numFmtId="4" formatCode="#,##0.00"/>
      <fill>
        <patternFill>
          <bgColor theme="7" tint="0.79998168889431442"/>
        </patternFill>
      </fill>
      <border outline="0">
        <left/>
        <right style="thin">
          <color indexed="64"/>
        </right>
      </border>
    </odxf>
    <ndxf>
      <font>
        <b/>
        <sz val="14"/>
        <name val="Times New Roman"/>
        <scheme val="none"/>
      </font>
      <numFmt numFmtId="2" formatCode="0.00"/>
      <fill>
        <patternFill>
          <bgColor theme="0"/>
        </patternFill>
      </fill>
      <border outline="0">
        <left style="thin">
          <color indexed="64"/>
        </left>
        <right/>
      </border>
    </ndxf>
  </rcc>
  <rcc rId="8784" sId="9" odxf="1" dxf="1">
    <oc r="E29">
      <f>I29</f>
    </oc>
    <nc r="E29">
      <f>I29+K29+M29+O29+Q29+S29</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F29" start="0" length="0">
    <dxf>
      <font>
        <b/>
        <sz val="14"/>
        <name val="Times New Roman"/>
        <scheme val="none"/>
      </font>
      <numFmt numFmtId="2" formatCode="0.00"/>
      <fill>
        <patternFill>
          <bgColor theme="9" tint="0.79998168889431442"/>
        </patternFill>
      </fill>
    </dxf>
  </rfmt>
  <rfmt sheetId="9" sqref="G29" start="0" length="0">
    <dxf>
      <font>
        <b/>
        <sz val="14"/>
        <name val="Times New Roman"/>
        <scheme val="none"/>
      </font>
      <numFmt numFmtId="2" formatCode="0.00"/>
      <fill>
        <patternFill>
          <bgColor theme="9" tint="0.79998168889431442"/>
        </patternFill>
      </fill>
    </dxf>
  </rfmt>
  <rfmt sheetId="9" sqref="H29" start="0" length="0">
    <dxf>
      <font>
        <b/>
        <sz val="14"/>
        <name val="Times New Roman"/>
        <scheme val="none"/>
      </font>
      <numFmt numFmtId="2" formatCode="0.00"/>
      <fill>
        <patternFill>
          <bgColor theme="0"/>
        </patternFill>
      </fill>
    </dxf>
  </rfmt>
  <rfmt sheetId="9" sqref="I29" start="0" length="0">
    <dxf>
      <font>
        <b/>
        <sz val="14"/>
        <name val="Times New Roman"/>
        <scheme val="none"/>
      </font>
      <numFmt numFmtId="2" formatCode="0.00"/>
      <fill>
        <patternFill>
          <bgColor theme="0"/>
        </patternFill>
      </fill>
    </dxf>
  </rfmt>
  <rfmt sheetId="9" sqref="J29" start="0" length="0">
    <dxf>
      <font>
        <b/>
        <sz val="14"/>
        <name val="Times New Roman"/>
        <scheme val="none"/>
      </font>
      <numFmt numFmtId="2" formatCode="0.00"/>
      <fill>
        <patternFill>
          <bgColor theme="0"/>
        </patternFill>
      </fill>
    </dxf>
  </rfmt>
  <rfmt sheetId="9" sqref="K29" start="0" length="0">
    <dxf>
      <font>
        <b/>
        <sz val="14"/>
        <name val="Times New Roman"/>
        <scheme val="none"/>
      </font>
      <numFmt numFmtId="2" formatCode="0.00"/>
      <fill>
        <patternFill>
          <bgColor theme="0"/>
        </patternFill>
      </fill>
    </dxf>
  </rfmt>
  <rfmt sheetId="9" sqref="L29" start="0" length="0">
    <dxf>
      <font>
        <b/>
        <sz val="14"/>
        <name val="Times New Roman"/>
        <scheme val="none"/>
      </font>
      <numFmt numFmtId="2" formatCode="0.00"/>
      <fill>
        <patternFill>
          <bgColor theme="0"/>
        </patternFill>
      </fill>
    </dxf>
  </rfmt>
  <rcc rId="8785" sId="9" odxf="1" dxf="1" numFmtId="4">
    <nc r="M29">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N29" start="0" length="0">
    <dxf>
      <font>
        <b/>
        <sz val="14"/>
        <name val="Times New Roman"/>
        <scheme val="none"/>
      </font>
      <numFmt numFmtId="2" formatCode="0.00"/>
      <fill>
        <patternFill>
          <bgColor theme="0"/>
        </patternFill>
      </fill>
    </dxf>
  </rfmt>
  <rcc rId="8786" sId="9" odxf="1" dxf="1" numFmtId="4">
    <nc r="O29">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P29" start="0" length="0">
    <dxf>
      <font>
        <b/>
        <sz val="14"/>
        <name val="Times New Roman"/>
        <scheme val="none"/>
      </font>
      <numFmt numFmtId="2" formatCode="0.00"/>
      <fill>
        <patternFill>
          <bgColor theme="0"/>
        </patternFill>
      </fill>
    </dxf>
  </rfmt>
  <rcc rId="8787" sId="9" odxf="1" dxf="1" numFmtId="4">
    <nc r="Q29">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R29" start="0" length="0">
    <dxf>
      <font>
        <b/>
        <sz val="14"/>
        <name val="Times New Roman"/>
        <scheme val="none"/>
      </font>
      <numFmt numFmtId="2" formatCode="0.00"/>
      <fill>
        <patternFill>
          <bgColor theme="0"/>
        </patternFill>
      </fill>
    </dxf>
  </rfmt>
  <rcc rId="8788" sId="9" odxf="1" dxf="1" numFmtId="4">
    <nc r="S29">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T29" start="0" length="0">
    <dxf>
      <font>
        <b/>
        <sz val="14"/>
        <name val="Times New Roman"/>
        <scheme val="none"/>
      </font>
      <numFmt numFmtId="2" formatCode="0.00"/>
      <fill>
        <patternFill>
          <bgColor theme="0"/>
        </patternFill>
      </fill>
    </dxf>
  </rfmt>
  <rfmt sheetId="9" sqref="U29" start="0" length="0">
    <dxf>
      <font>
        <b/>
        <sz val="14"/>
        <name val="Times New Roman"/>
        <scheme val="none"/>
      </font>
      <numFmt numFmtId="2" formatCode="0.00"/>
      <fill>
        <patternFill>
          <bgColor theme="0"/>
        </patternFill>
      </fill>
    </dxf>
  </rfmt>
  <rfmt sheetId="9" sqref="V29" start="0" length="0">
    <dxf>
      <font>
        <b/>
        <sz val="14"/>
        <name val="Times New Roman"/>
        <scheme val="none"/>
      </font>
      <numFmt numFmtId="2" formatCode="0.00"/>
      <fill>
        <patternFill>
          <bgColor theme="0"/>
        </patternFill>
      </fill>
    </dxf>
  </rfmt>
  <rfmt sheetId="9" sqref="W29" start="0" length="0">
    <dxf>
      <font>
        <b/>
        <sz val="14"/>
        <name val="Times New Roman"/>
        <scheme val="none"/>
      </font>
      <numFmt numFmtId="2" formatCode="0.00"/>
      <fill>
        <patternFill>
          <bgColor theme="0"/>
        </patternFill>
      </fill>
    </dxf>
  </rfmt>
  <rfmt sheetId="9" sqref="X29" start="0" length="0">
    <dxf>
      <font>
        <b/>
        <sz val="14"/>
        <name val="Times New Roman"/>
        <scheme val="none"/>
      </font>
      <numFmt numFmtId="2" formatCode="0.00"/>
      <fill>
        <patternFill>
          <bgColor theme="0"/>
        </patternFill>
      </fill>
    </dxf>
  </rfmt>
  <rfmt sheetId="9" sqref="Y29" start="0" length="0">
    <dxf>
      <font>
        <b/>
        <sz val="14"/>
        <name val="Times New Roman"/>
        <scheme val="none"/>
      </font>
      <numFmt numFmtId="2" formatCode="0.00"/>
      <fill>
        <patternFill>
          <bgColor theme="0"/>
        </patternFill>
      </fill>
    </dxf>
  </rfmt>
  <rfmt sheetId="9" sqref="Z29" start="0" length="0">
    <dxf>
      <font>
        <b/>
        <sz val="14"/>
        <name val="Times New Roman"/>
        <scheme val="none"/>
      </font>
      <numFmt numFmtId="2" formatCode="0.00"/>
      <fill>
        <patternFill>
          <bgColor theme="0"/>
        </patternFill>
      </fill>
    </dxf>
  </rfmt>
  <rfmt sheetId="9" sqref="AA29" start="0" length="0">
    <dxf>
      <font>
        <b/>
        <sz val="14"/>
        <name val="Times New Roman"/>
        <scheme val="none"/>
      </font>
      <numFmt numFmtId="2" formatCode="0.00"/>
      <fill>
        <patternFill>
          <bgColor theme="0"/>
        </patternFill>
      </fill>
    </dxf>
  </rfmt>
  <rfmt sheetId="9" sqref="AB29" start="0" length="0">
    <dxf>
      <font>
        <b/>
        <sz val="14"/>
        <name val="Times New Roman"/>
        <scheme val="none"/>
      </font>
      <numFmt numFmtId="2" formatCode="0.00"/>
      <fill>
        <patternFill>
          <bgColor theme="0"/>
        </patternFill>
      </fill>
    </dxf>
  </rfmt>
  <rfmt sheetId="9" sqref="AC29" start="0" length="0">
    <dxf>
      <font>
        <b/>
        <sz val="14"/>
        <name val="Times New Roman"/>
        <scheme val="none"/>
      </font>
      <numFmt numFmtId="2" formatCode="0.00"/>
      <fill>
        <patternFill>
          <bgColor theme="0"/>
        </patternFill>
      </fill>
    </dxf>
  </rfmt>
  <rfmt sheetId="9" sqref="AD29" start="0" length="0">
    <dxf>
      <font>
        <b/>
        <sz val="14"/>
        <name val="Times New Roman"/>
        <scheme val="none"/>
      </font>
      <numFmt numFmtId="2" formatCode="0.00"/>
      <fill>
        <patternFill>
          <bgColor theme="0"/>
        </patternFill>
      </fill>
    </dxf>
  </rfmt>
  <rfmt sheetId="9" sqref="AE29" start="0" length="0">
    <dxf>
      <font>
        <b/>
        <sz val="14"/>
        <name val="Times New Roman"/>
        <scheme val="none"/>
      </font>
      <numFmt numFmtId="2" formatCode="0.00"/>
      <fill>
        <patternFill>
          <bgColor theme="0"/>
        </patternFill>
      </fill>
    </dxf>
  </rfmt>
  <rcc rId="8789" sId="9" odxf="1" dxf="1">
    <oc r="B30">
      <f>H30+J30+L30+N30+P30+R30+T30+V30+X30+Z30+AB30+AD30</f>
    </oc>
    <nc r="B30">
      <f>H30+J30+L30+N30+P30+R30+T30+V30+X30+Z30+AB30+AD30</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790" sId="9" odxf="1" dxf="1" numFmtId="4">
    <oc r="C30">
      <f>H30+J30</f>
    </oc>
    <nc r="C30">
      <v>0</v>
    </nc>
    <odxf>
      <font>
        <b val="0"/>
        <sz val="14"/>
        <name val="Times New Roman"/>
        <scheme val="none"/>
      </font>
      <numFmt numFmtId="4" formatCode="#,##0.00"/>
      <fill>
        <patternFill>
          <bgColor theme="7" tint="0.79998168889431442"/>
        </patternFill>
      </fill>
      <border outline="0">
        <left style="thin">
          <color indexed="64"/>
        </left>
      </border>
    </odxf>
    <ndxf>
      <font>
        <b/>
        <sz val="14"/>
        <name val="Times New Roman"/>
        <scheme val="none"/>
      </font>
      <numFmt numFmtId="2" formatCode="0.00"/>
      <fill>
        <patternFill>
          <bgColor theme="0"/>
        </patternFill>
      </fill>
      <border outline="0">
        <left/>
      </border>
    </ndxf>
  </rcc>
  <rcc rId="8791" sId="9" odxf="1" dxf="1">
    <oc r="D30">
      <f>I30</f>
    </oc>
    <nc r="D30">
      <f>I30</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E30" start="0" length="0">
    <dxf>
      <font>
        <b/>
        <sz val="14"/>
        <name val="Times New Roman"/>
        <scheme val="none"/>
      </font>
      <numFmt numFmtId="2" formatCode="0.00"/>
      <fill>
        <patternFill>
          <bgColor theme="0"/>
        </patternFill>
      </fill>
    </dxf>
  </rfmt>
  <rfmt sheetId="9" sqref="F30" start="0" length="0">
    <dxf>
      <font>
        <b/>
        <sz val="14"/>
        <name val="Times New Roman"/>
        <scheme val="none"/>
      </font>
      <numFmt numFmtId="2" formatCode="0.00"/>
      <fill>
        <patternFill>
          <bgColor theme="9" tint="0.79998168889431442"/>
        </patternFill>
      </fill>
    </dxf>
  </rfmt>
  <rfmt sheetId="9" sqref="G30" start="0" length="0">
    <dxf>
      <font>
        <b/>
        <sz val="14"/>
        <name val="Times New Roman"/>
        <scheme val="none"/>
      </font>
      <numFmt numFmtId="2" formatCode="0.00"/>
      <fill>
        <patternFill>
          <bgColor theme="9" tint="0.79998168889431442"/>
        </patternFill>
      </fill>
    </dxf>
  </rfmt>
  <rfmt sheetId="9" sqref="H30" start="0" length="0">
    <dxf>
      <font>
        <b/>
        <sz val="14"/>
        <name val="Times New Roman"/>
        <scheme val="none"/>
      </font>
      <numFmt numFmtId="2" formatCode="0.00"/>
      <fill>
        <patternFill>
          <bgColor theme="0"/>
        </patternFill>
      </fill>
    </dxf>
  </rfmt>
  <rfmt sheetId="9" sqref="I30" start="0" length="0">
    <dxf>
      <font>
        <b/>
        <sz val="14"/>
        <name val="Times New Roman"/>
        <scheme val="none"/>
      </font>
      <numFmt numFmtId="2" formatCode="0.00"/>
      <fill>
        <patternFill>
          <bgColor theme="0"/>
        </patternFill>
      </fill>
    </dxf>
  </rfmt>
  <rfmt sheetId="9" sqref="J30" start="0" length="0">
    <dxf>
      <font>
        <b/>
        <sz val="14"/>
        <name val="Times New Roman"/>
        <scheme val="none"/>
      </font>
      <numFmt numFmtId="2" formatCode="0.00"/>
      <fill>
        <patternFill>
          <bgColor theme="0"/>
        </patternFill>
      </fill>
    </dxf>
  </rfmt>
  <rfmt sheetId="9" sqref="K30" start="0" length="0">
    <dxf>
      <font>
        <b/>
        <sz val="14"/>
        <name val="Times New Roman"/>
        <scheme val="none"/>
      </font>
      <numFmt numFmtId="2" formatCode="0.00"/>
      <fill>
        <patternFill>
          <bgColor theme="0"/>
        </patternFill>
      </fill>
    </dxf>
  </rfmt>
  <rfmt sheetId="9" sqref="L30" start="0" length="0">
    <dxf>
      <font>
        <b/>
        <sz val="14"/>
        <name val="Times New Roman"/>
        <scheme val="none"/>
      </font>
      <numFmt numFmtId="2" formatCode="0.00"/>
      <fill>
        <patternFill>
          <bgColor theme="0"/>
        </patternFill>
      </fill>
    </dxf>
  </rfmt>
  <rcc rId="8792" sId="9" odxf="1" dxf="1" numFmtId="4">
    <nc r="M30">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N30" start="0" length="0">
    <dxf>
      <font>
        <b/>
        <sz val="14"/>
        <name val="Times New Roman"/>
        <scheme val="none"/>
      </font>
      <numFmt numFmtId="2" formatCode="0.00"/>
      <fill>
        <patternFill>
          <bgColor theme="0"/>
        </patternFill>
      </fill>
    </dxf>
  </rfmt>
  <rcc rId="8793" sId="9" odxf="1" dxf="1" numFmtId="4">
    <nc r="O30">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P30" start="0" length="0">
    <dxf>
      <font>
        <b/>
        <sz val="14"/>
        <name val="Times New Roman"/>
        <scheme val="none"/>
      </font>
      <numFmt numFmtId="2" formatCode="0.00"/>
      <fill>
        <patternFill>
          <bgColor theme="0"/>
        </patternFill>
      </fill>
    </dxf>
  </rfmt>
  <rcc rId="8794" sId="9" odxf="1" dxf="1" numFmtId="4">
    <nc r="Q30">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R30" start="0" length="0">
    <dxf>
      <font>
        <b/>
        <sz val="14"/>
        <name val="Times New Roman"/>
        <scheme val="none"/>
      </font>
      <numFmt numFmtId="2" formatCode="0.00"/>
      <fill>
        <patternFill>
          <bgColor theme="0"/>
        </patternFill>
      </fill>
    </dxf>
  </rfmt>
  <rcc rId="8795" sId="9" odxf="1" dxf="1" numFmtId="4">
    <nc r="S30">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T30" start="0" length="0">
    <dxf>
      <font>
        <b/>
        <sz val="14"/>
        <name val="Times New Roman"/>
        <scheme val="none"/>
      </font>
      <numFmt numFmtId="2" formatCode="0.00"/>
      <fill>
        <patternFill>
          <bgColor theme="0"/>
        </patternFill>
      </fill>
    </dxf>
  </rfmt>
  <rfmt sheetId="9" sqref="U30" start="0" length="0">
    <dxf>
      <font>
        <b/>
        <sz val="14"/>
        <name val="Times New Roman"/>
        <scheme val="none"/>
      </font>
      <numFmt numFmtId="2" formatCode="0.00"/>
      <fill>
        <patternFill>
          <bgColor theme="0"/>
        </patternFill>
      </fill>
    </dxf>
  </rfmt>
  <rfmt sheetId="9" sqref="V30" start="0" length="0">
    <dxf>
      <font>
        <b/>
        <sz val="14"/>
        <name val="Times New Roman"/>
        <scheme val="none"/>
      </font>
      <numFmt numFmtId="2" formatCode="0.00"/>
      <fill>
        <patternFill>
          <bgColor theme="0"/>
        </patternFill>
      </fill>
    </dxf>
  </rfmt>
  <rfmt sheetId="9" sqref="W30" start="0" length="0">
    <dxf>
      <font>
        <b/>
        <sz val="14"/>
        <name val="Times New Roman"/>
        <scheme val="none"/>
      </font>
      <numFmt numFmtId="2" formatCode="0.00"/>
      <fill>
        <patternFill>
          <bgColor theme="0"/>
        </patternFill>
      </fill>
    </dxf>
  </rfmt>
  <rfmt sheetId="9" sqref="X30" start="0" length="0">
    <dxf>
      <font>
        <b/>
        <sz val="14"/>
        <name val="Times New Roman"/>
        <scheme val="none"/>
      </font>
      <numFmt numFmtId="2" formatCode="0.00"/>
      <fill>
        <patternFill>
          <bgColor theme="0"/>
        </patternFill>
      </fill>
    </dxf>
  </rfmt>
  <rfmt sheetId="9" sqref="Y30" start="0" length="0">
    <dxf>
      <font>
        <b/>
        <sz val="14"/>
        <name val="Times New Roman"/>
        <scheme val="none"/>
      </font>
      <numFmt numFmtId="2" formatCode="0.00"/>
      <fill>
        <patternFill>
          <bgColor theme="0"/>
        </patternFill>
      </fill>
    </dxf>
  </rfmt>
  <rfmt sheetId="9" sqref="Z30" start="0" length="0">
    <dxf>
      <font>
        <b/>
        <sz val="14"/>
        <name val="Times New Roman"/>
        <scheme val="none"/>
      </font>
      <numFmt numFmtId="2" formatCode="0.00"/>
      <fill>
        <patternFill>
          <bgColor theme="0"/>
        </patternFill>
      </fill>
    </dxf>
  </rfmt>
  <rfmt sheetId="9" sqref="AA30" start="0" length="0">
    <dxf>
      <font>
        <b/>
        <sz val="14"/>
        <name val="Times New Roman"/>
        <scheme val="none"/>
      </font>
      <numFmt numFmtId="2" formatCode="0.00"/>
      <fill>
        <patternFill>
          <bgColor theme="0"/>
        </patternFill>
      </fill>
    </dxf>
  </rfmt>
  <rfmt sheetId="9" sqref="AB30" start="0" length="0">
    <dxf>
      <font>
        <b/>
        <sz val="14"/>
        <name val="Times New Roman"/>
        <scheme val="none"/>
      </font>
      <numFmt numFmtId="2" formatCode="0.00"/>
      <fill>
        <patternFill>
          <bgColor theme="0"/>
        </patternFill>
      </fill>
    </dxf>
  </rfmt>
  <rfmt sheetId="9" sqref="AC30" start="0" length="0">
    <dxf>
      <font>
        <b/>
        <sz val="14"/>
        <name val="Times New Roman"/>
        <scheme val="none"/>
      </font>
      <numFmt numFmtId="2" formatCode="0.00"/>
      <fill>
        <patternFill>
          <bgColor theme="0"/>
        </patternFill>
      </fill>
    </dxf>
  </rfmt>
  <rfmt sheetId="9" sqref="AD30" start="0" length="0">
    <dxf>
      <font>
        <b/>
        <sz val="14"/>
        <name val="Times New Roman"/>
        <scheme val="none"/>
      </font>
      <numFmt numFmtId="2" formatCode="0.00"/>
      <fill>
        <patternFill>
          <bgColor theme="0"/>
        </patternFill>
      </fill>
    </dxf>
  </rfmt>
  <rfmt sheetId="9" sqref="AE30" start="0" length="0">
    <dxf>
      <font>
        <b/>
        <sz val="14"/>
        <name val="Times New Roman"/>
        <scheme val="none"/>
      </font>
      <numFmt numFmtId="2" formatCode="0.00"/>
      <fill>
        <patternFill>
          <bgColor theme="0"/>
        </patternFill>
      </fill>
    </dxf>
  </rfmt>
  <rcc rId="8796" sId="9" odxf="1" dxf="1">
    <oc r="B31">
      <f>B32</f>
    </oc>
    <nc r="B31">
      <f>B32</f>
    </nc>
    <odxf>
      <numFmt numFmtId="4" formatCode="#,##0.00"/>
      <fill>
        <patternFill>
          <bgColor theme="7" tint="0.79998168889431442"/>
        </patternFill>
      </fill>
    </odxf>
    <ndxf>
      <numFmt numFmtId="2" formatCode="0.00"/>
      <fill>
        <patternFill>
          <bgColor theme="2"/>
        </patternFill>
      </fill>
    </ndxf>
  </rcc>
  <rcc rId="8797" sId="9" odxf="1" dxf="1">
    <oc r="C31">
      <f>C32</f>
    </oc>
    <nc r="C31">
      <f>C32</f>
    </nc>
    <odxf>
      <numFmt numFmtId="4" formatCode="#,##0.00"/>
      <fill>
        <patternFill>
          <bgColor theme="7" tint="0.79998168889431442"/>
        </patternFill>
      </fill>
    </odxf>
    <ndxf>
      <numFmt numFmtId="2" formatCode="0.00"/>
      <fill>
        <patternFill>
          <bgColor theme="2"/>
        </patternFill>
      </fill>
    </ndxf>
  </rcc>
  <rcc rId="8798" sId="9" odxf="1" dxf="1">
    <oc r="D31">
      <f>D32</f>
    </oc>
    <nc r="D31">
      <f>E31</f>
    </nc>
    <odxf>
      <numFmt numFmtId="4" formatCode="#,##0.00"/>
      <fill>
        <patternFill>
          <bgColor theme="7" tint="0.79998168889431442"/>
        </patternFill>
      </fill>
    </odxf>
    <ndxf>
      <numFmt numFmtId="2" formatCode="0.00"/>
      <fill>
        <patternFill>
          <bgColor theme="2"/>
        </patternFill>
      </fill>
    </ndxf>
  </rcc>
  <rcc rId="8799" sId="9" odxf="1" dxf="1">
    <oc r="E31">
      <f>E32</f>
    </oc>
    <nc r="E31">
      <f>E32</f>
    </nc>
    <odxf>
      <numFmt numFmtId="4" formatCode="#,##0.00"/>
      <fill>
        <patternFill>
          <bgColor theme="7" tint="0.79998168889431442"/>
        </patternFill>
      </fill>
    </odxf>
    <ndxf>
      <numFmt numFmtId="2" formatCode="0.00"/>
      <fill>
        <patternFill>
          <bgColor theme="2"/>
        </patternFill>
      </fill>
    </ndxf>
  </rcc>
  <rcc rId="8800" sId="9" odxf="1" dxf="1">
    <oc r="F31">
      <f>F32</f>
    </oc>
    <nc r="F31">
      <f>F32</f>
    </nc>
    <odxf>
      <numFmt numFmtId="4" formatCode="#,##0.00"/>
      <fill>
        <patternFill>
          <bgColor theme="7" tint="0.79998168889431442"/>
        </patternFill>
      </fill>
      <border outline="0">
        <right/>
      </border>
      <protection hidden="1"/>
    </odxf>
    <ndxf>
      <numFmt numFmtId="2" formatCode="0.00"/>
      <fill>
        <patternFill>
          <bgColor theme="9" tint="0.79998168889431442"/>
        </patternFill>
      </fill>
      <border outline="0">
        <right style="thin">
          <color indexed="64"/>
        </right>
      </border>
      <protection hidden="0"/>
    </ndxf>
  </rcc>
  <rcc rId="8801" sId="9" odxf="1" dxf="1">
    <oc r="G31">
      <f>G32</f>
    </oc>
    <nc r="G31">
      <f>G32</f>
    </nc>
    <odxf>
      <numFmt numFmtId="4" formatCode="#,##0.00"/>
      <fill>
        <patternFill>
          <bgColor theme="7" tint="0.79998168889431442"/>
        </patternFill>
      </fill>
      <border outline="0">
        <right/>
      </border>
      <protection hidden="1"/>
    </odxf>
    <ndxf>
      <numFmt numFmtId="2" formatCode="0.00"/>
      <fill>
        <patternFill>
          <bgColor theme="9" tint="0.79998168889431442"/>
        </patternFill>
      </fill>
      <border outline="0">
        <right style="thin">
          <color indexed="64"/>
        </right>
      </border>
      <protection hidden="0"/>
    </ndxf>
  </rcc>
  <rcc rId="8802" sId="9" odxf="1" dxf="1">
    <oc r="H31">
      <f>H32</f>
    </oc>
    <nc r="H31">
      <f>H32</f>
    </nc>
    <odxf>
      <numFmt numFmtId="4" formatCode="#,##0.00"/>
      <fill>
        <patternFill>
          <bgColor theme="7" tint="0.79998168889431442"/>
        </patternFill>
      </fill>
    </odxf>
    <ndxf>
      <numFmt numFmtId="2" formatCode="0.00"/>
      <fill>
        <patternFill>
          <bgColor theme="2"/>
        </patternFill>
      </fill>
    </ndxf>
  </rcc>
  <rcc rId="8803" sId="9" odxf="1" dxf="1">
    <oc r="I31">
      <f>I32</f>
    </oc>
    <nc r="I31">
      <f>I32</f>
    </nc>
    <odxf>
      <numFmt numFmtId="4" formatCode="#,##0.00"/>
      <fill>
        <patternFill>
          <bgColor theme="7" tint="0.79998168889431442"/>
        </patternFill>
      </fill>
    </odxf>
    <ndxf>
      <numFmt numFmtId="2" formatCode="0.00"/>
      <fill>
        <patternFill>
          <bgColor theme="2"/>
        </patternFill>
      </fill>
    </ndxf>
  </rcc>
  <rcc rId="8804" sId="9" odxf="1" dxf="1">
    <oc r="J31">
      <f>J32</f>
    </oc>
    <nc r="J31">
      <f>J32</f>
    </nc>
    <odxf>
      <numFmt numFmtId="4" formatCode="#,##0.00"/>
      <fill>
        <patternFill>
          <bgColor theme="7" tint="0.79998168889431442"/>
        </patternFill>
      </fill>
    </odxf>
    <ndxf>
      <numFmt numFmtId="2" formatCode="0.00"/>
      <fill>
        <patternFill>
          <bgColor theme="2"/>
        </patternFill>
      </fill>
    </ndxf>
  </rcc>
  <rcc rId="8805" sId="9" odxf="1" dxf="1">
    <oc r="K31">
      <f>K32</f>
    </oc>
    <nc r="K31">
      <f>K32</f>
    </nc>
    <odxf>
      <numFmt numFmtId="4" formatCode="#,##0.00"/>
      <fill>
        <patternFill>
          <bgColor theme="7" tint="0.79998168889431442"/>
        </patternFill>
      </fill>
    </odxf>
    <ndxf>
      <numFmt numFmtId="2" formatCode="0.00"/>
      <fill>
        <patternFill>
          <bgColor theme="2"/>
        </patternFill>
      </fill>
    </ndxf>
  </rcc>
  <rcc rId="8806" sId="9" odxf="1" dxf="1">
    <oc r="L31">
      <f>L32</f>
    </oc>
    <nc r="L31">
      <f>L32</f>
    </nc>
    <odxf>
      <numFmt numFmtId="4" formatCode="#,##0.00"/>
      <fill>
        <patternFill>
          <bgColor theme="7" tint="0.79998168889431442"/>
        </patternFill>
      </fill>
    </odxf>
    <ndxf>
      <numFmt numFmtId="2" formatCode="0.00"/>
      <fill>
        <patternFill>
          <bgColor theme="2"/>
        </patternFill>
      </fill>
    </ndxf>
  </rcc>
  <rcc rId="8807" sId="9" odxf="1" dxf="1">
    <nc r="M31">
      <f>M32</f>
    </nc>
    <odxf>
      <numFmt numFmtId="4" formatCode="#,##0.00"/>
      <fill>
        <patternFill>
          <bgColor theme="7" tint="0.79998168889431442"/>
        </patternFill>
      </fill>
    </odxf>
    <ndxf>
      <numFmt numFmtId="2" formatCode="0.00"/>
      <fill>
        <patternFill>
          <bgColor theme="2"/>
        </patternFill>
      </fill>
    </ndxf>
  </rcc>
  <rcc rId="8808" sId="9" odxf="1" dxf="1">
    <oc r="N31">
      <f>N32</f>
    </oc>
    <nc r="N31">
      <f>N32</f>
    </nc>
    <odxf>
      <numFmt numFmtId="4" formatCode="#,##0.00"/>
      <fill>
        <patternFill>
          <bgColor theme="7" tint="0.79998168889431442"/>
        </patternFill>
      </fill>
    </odxf>
    <ndxf>
      <numFmt numFmtId="2" formatCode="0.00"/>
      <fill>
        <patternFill>
          <bgColor theme="2"/>
        </patternFill>
      </fill>
    </ndxf>
  </rcc>
  <rcc rId="8809" sId="9" odxf="1" dxf="1">
    <nc r="O31">
      <f>O32</f>
    </nc>
    <odxf>
      <numFmt numFmtId="4" formatCode="#,##0.00"/>
      <fill>
        <patternFill>
          <bgColor theme="7" tint="0.79998168889431442"/>
        </patternFill>
      </fill>
    </odxf>
    <ndxf>
      <numFmt numFmtId="2" formatCode="0.00"/>
      <fill>
        <patternFill>
          <bgColor theme="2"/>
        </patternFill>
      </fill>
    </ndxf>
  </rcc>
  <rcc rId="8810" sId="9" odxf="1" dxf="1">
    <oc r="P31">
      <f>P32</f>
    </oc>
    <nc r="P31">
      <f>P32</f>
    </nc>
    <odxf>
      <numFmt numFmtId="4" formatCode="#,##0.00"/>
      <fill>
        <patternFill>
          <bgColor theme="7" tint="0.79998168889431442"/>
        </patternFill>
      </fill>
    </odxf>
    <ndxf>
      <numFmt numFmtId="2" formatCode="0.00"/>
      <fill>
        <patternFill>
          <bgColor theme="2"/>
        </patternFill>
      </fill>
    </ndxf>
  </rcc>
  <rcc rId="8811" sId="9" odxf="1" dxf="1">
    <nc r="Q31">
      <f>Q32</f>
    </nc>
    <odxf>
      <numFmt numFmtId="4" formatCode="#,##0.00"/>
      <fill>
        <patternFill>
          <bgColor theme="7" tint="0.79998168889431442"/>
        </patternFill>
      </fill>
    </odxf>
    <ndxf>
      <numFmt numFmtId="2" formatCode="0.00"/>
      <fill>
        <patternFill>
          <bgColor theme="2"/>
        </patternFill>
      </fill>
    </ndxf>
  </rcc>
  <rcc rId="8812" sId="9" odxf="1" dxf="1">
    <oc r="R31">
      <f>R32</f>
    </oc>
    <nc r="R31">
      <f>R32</f>
    </nc>
    <odxf>
      <numFmt numFmtId="4" formatCode="#,##0.00"/>
      <fill>
        <patternFill>
          <bgColor theme="7" tint="0.79998168889431442"/>
        </patternFill>
      </fill>
    </odxf>
    <ndxf>
      <numFmt numFmtId="2" formatCode="0.00"/>
      <fill>
        <patternFill>
          <bgColor theme="2"/>
        </patternFill>
      </fill>
    </ndxf>
  </rcc>
  <rcc rId="8813" sId="9" odxf="1" dxf="1">
    <nc r="S31">
      <f>S32</f>
    </nc>
    <odxf>
      <numFmt numFmtId="4" formatCode="#,##0.00"/>
      <fill>
        <patternFill>
          <bgColor theme="7" tint="0.79998168889431442"/>
        </patternFill>
      </fill>
    </odxf>
    <ndxf>
      <numFmt numFmtId="2" formatCode="0.00"/>
      <fill>
        <patternFill>
          <bgColor theme="2"/>
        </patternFill>
      </fill>
    </ndxf>
  </rcc>
  <rcc rId="8814" sId="9" odxf="1" dxf="1">
    <oc r="T31">
      <f>T32</f>
    </oc>
    <nc r="T31">
      <f>T32</f>
    </nc>
    <odxf>
      <numFmt numFmtId="4" formatCode="#,##0.00"/>
      <fill>
        <patternFill>
          <bgColor theme="7" tint="0.79998168889431442"/>
        </patternFill>
      </fill>
    </odxf>
    <ndxf>
      <numFmt numFmtId="2" formatCode="0.00"/>
      <fill>
        <patternFill>
          <bgColor theme="2"/>
        </patternFill>
      </fill>
    </ndxf>
  </rcc>
  <rfmt sheetId="9" sqref="U31" start="0" length="0">
    <dxf>
      <numFmt numFmtId="2" formatCode="0.00"/>
      <fill>
        <patternFill>
          <bgColor theme="2"/>
        </patternFill>
      </fill>
    </dxf>
  </rfmt>
  <rcc rId="8815" sId="9" odxf="1" dxf="1">
    <oc r="V31">
      <f>V32</f>
    </oc>
    <nc r="V31">
      <f>V32</f>
    </nc>
    <odxf>
      <numFmt numFmtId="4" formatCode="#,##0.00"/>
      <fill>
        <patternFill>
          <bgColor theme="7" tint="0.79998168889431442"/>
        </patternFill>
      </fill>
    </odxf>
    <ndxf>
      <numFmt numFmtId="2" formatCode="0.00"/>
      <fill>
        <patternFill>
          <bgColor theme="2"/>
        </patternFill>
      </fill>
    </ndxf>
  </rcc>
  <rfmt sheetId="9" sqref="W31" start="0" length="0">
    <dxf>
      <numFmt numFmtId="2" formatCode="0.00"/>
      <fill>
        <patternFill>
          <bgColor theme="2"/>
        </patternFill>
      </fill>
    </dxf>
  </rfmt>
  <rcc rId="8816" sId="9" odxf="1" dxf="1">
    <oc r="X31">
      <f>X32</f>
    </oc>
    <nc r="X31">
      <f>X32</f>
    </nc>
    <odxf>
      <numFmt numFmtId="4" formatCode="#,##0.00"/>
      <fill>
        <patternFill>
          <bgColor theme="7" tint="0.79998168889431442"/>
        </patternFill>
      </fill>
    </odxf>
    <ndxf>
      <numFmt numFmtId="2" formatCode="0.00"/>
      <fill>
        <patternFill>
          <bgColor theme="2"/>
        </patternFill>
      </fill>
    </ndxf>
  </rcc>
  <rfmt sheetId="9" sqref="Y31" start="0" length="0">
    <dxf>
      <numFmt numFmtId="2" formatCode="0.00"/>
      <fill>
        <patternFill>
          <bgColor theme="2"/>
        </patternFill>
      </fill>
    </dxf>
  </rfmt>
  <rcc rId="8817" sId="9" odxf="1" dxf="1">
    <oc r="Z31">
      <f>Z32</f>
    </oc>
    <nc r="Z31">
      <f>Z32</f>
    </nc>
    <odxf>
      <numFmt numFmtId="4" formatCode="#,##0.00"/>
      <fill>
        <patternFill>
          <bgColor theme="7" tint="0.79998168889431442"/>
        </patternFill>
      </fill>
    </odxf>
    <ndxf>
      <numFmt numFmtId="2" formatCode="0.00"/>
      <fill>
        <patternFill>
          <bgColor theme="2"/>
        </patternFill>
      </fill>
    </ndxf>
  </rcc>
  <rfmt sheetId="9" sqref="AA31" start="0" length="0">
    <dxf>
      <numFmt numFmtId="2" formatCode="0.00"/>
      <fill>
        <patternFill>
          <bgColor theme="2"/>
        </patternFill>
      </fill>
    </dxf>
  </rfmt>
  <rcc rId="8818" sId="9" odxf="1" dxf="1">
    <oc r="AB31">
      <f>AB32</f>
    </oc>
    <nc r="AB31">
      <f>AB32</f>
    </nc>
    <odxf>
      <numFmt numFmtId="4" formatCode="#,##0.00"/>
      <fill>
        <patternFill>
          <bgColor theme="7" tint="0.79998168889431442"/>
        </patternFill>
      </fill>
    </odxf>
    <ndxf>
      <numFmt numFmtId="2" formatCode="0.00"/>
      <fill>
        <patternFill>
          <bgColor theme="2"/>
        </patternFill>
      </fill>
    </ndxf>
  </rcc>
  <rfmt sheetId="9" sqref="AC31" start="0" length="0">
    <dxf>
      <numFmt numFmtId="2" formatCode="0.00"/>
      <fill>
        <patternFill>
          <bgColor theme="2"/>
        </patternFill>
      </fill>
    </dxf>
  </rfmt>
  <rcc rId="8819" sId="9" odxf="1" dxf="1">
    <oc r="AD31">
      <f>AD32</f>
    </oc>
    <nc r="AD31">
      <f>AD32</f>
    </nc>
    <odxf>
      <numFmt numFmtId="4" formatCode="#,##0.00"/>
      <fill>
        <patternFill>
          <bgColor theme="7" tint="0.79998168889431442"/>
        </patternFill>
      </fill>
    </odxf>
    <ndxf>
      <numFmt numFmtId="2" formatCode="0.00"/>
      <fill>
        <patternFill>
          <bgColor theme="2"/>
        </patternFill>
      </fill>
    </ndxf>
  </rcc>
  <rfmt sheetId="9" sqref="AE31" start="0" length="0">
    <dxf>
      <numFmt numFmtId="2" formatCode="0.00"/>
      <fill>
        <patternFill>
          <bgColor theme="2"/>
        </patternFill>
      </fill>
    </dxf>
  </rfmt>
  <rcc rId="8820" sId="9" odxf="1" dxf="1">
    <oc r="B32">
      <f>B33+B34+B35+B36</f>
    </oc>
    <nc r="B32">
      <f>B33+B34+B35+B36</f>
    </nc>
    <odxf>
      <numFmt numFmtId="4" formatCode="#,##0.00"/>
      <fill>
        <patternFill>
          <bgColor theme="7" tint="0.79998168889431442"/>
        </patternFill>
      </fill>
    </odxf>
    <ndxf>
      <numFmt numFmtId="2" formatCode="0.00"/>
      <fill>
        <patternFill>
          <bgColor theme="2"/>
        </patternFill>
      </fill>
    </ndxf>
  </rcc>
  <rcc rId="8821" sId="9" odxf="1" dxf="1">
    <oc r="C32">
      <f>C33+C34+C35+C36</f>
    </oc>
    <nc r="C32">
      <f>C33+C34+C35+C36</f>
    </nc>
    <odxf>
      <numFmt numFmtId="4" formatCode="#,##0.00"/>
      <fill>
        <patternFill>
          <bgColor theme="7" tint="0.79998168889431442"/>
        </patternFill>
      </fill>
    </odxf>
    <ndxf>
      <numFmt numFmtId="2" formatCode="0.00"/>
      <fill>
        <patternFill>
          <bgColor theme="2"/>
        </patternFill>
      </fill>
    </ndxf>
  </rcc>
  <rcc rId="8822" sId="9" odxf="1" dxf="1">
    <oc r="D32">
      <f>D33+D34+D35+D36</f>
    </oc>
    <nc r="D32">
      <f>E32</f>
    </nc>
    <odxf>
      <numFmt numFmtId="4" formatCode="#,##0.00"/>
      <fill>
        <patternFill>
          <bgColor theme="7" tint="0.79998168889431442"/>
        </patternFill>
      </fill>
    </odxf>
    <ndxf>
      <numFmt numFmtId="2" formatCode="0.00"/>
      <fill>
        <patternFill>
          <bgColor theme="2"/>
        </patternFill>
      </fill>
    </ndxf>
  </rcc>
  <rcc rId="8823" sId="9" odxf="1" dxf="1">
    <oc r="E32">
      <f>E33+E34+E35+E36</f>
    </oc>
    <nc r="E32">
      <f>E33+E34+E35+E36</f>
    </nc>
    <odxf>
      <numFmt numFmtId="4" formatCode="#,##0.00"/>
      <fill>
        <patternFill>
          <bgColor theme="7" tint="0.79998168889431442"/>
        </patternFill>
      </fill>
    </odxf>
    <ndxf>
      <numFmt numFmtId="2" formatCode="0.00"/>
      <fill>
        <patternFill>
          <bgColor theme="2"/>
        </patternFill>
      </fill>
    </ndxf>
  </rcc>
  <rcc rId="8824" sId="9" odxf="1" dxf="1">
    <oc r="F32">
      <f>F33+F34+F35+F36</f>
    </oc>
    <nc r="F32">
      <f>F33+F34+F35+F36</f>
    </nc>
    <odxf>
      <numFmt numFmtId="4" formatCode="#,##0.00"/>
      <fill>
        <patternFill>
          <bgColor theme="7" tint="0.79998168889431442"/>
        </patternFill>
      </fill>
    </odxf>
    <ndxf>
      <numFmt numFmtId="2" formatCode="0.00"/>
      <fill>
        <patternFill>
          <bgColor theme="9" tint="0.79998168889431442"/>
        </patternFill>
      </fill>
    </ndxf>
  </rcc>
  <rcc rId="8825" sId="9" odxf="1" dxf="1">
    <oc r="G32">
      <f>E32/C32*100</f>
    </oc>
    <nc r="G32">
      <f>E32/C32*100</f>
    </nc>
    <odxf>
      <numFmt numFmtId="4" formatCode="#,##0.00"/>
      <fill>
        <patternFill>
          <bgColor theme="7" tint="0.79998168889431442"/>
        </patternFill>
      </fill>
    </odxf>
    <ndxf>
      <numFmt numFmtId="2" formatCode="0.00"/>
      <fill>
        <patternFill>
          <bgColor theme="9" tint="0.79998168889431442"/>
        </patternFill>
      </fill>
    </ndxf>
  </rcc>
  <rcc rId="8826" sId="9" odxf="1" dxf="1">
    <oc r="H32">
      <f>H33+H34+H35+H36</f>
    </oc>
    <nc r="H32">
      <f>H33+H34+H35+H36</f>
    </nc>
    <odxf>
      <numFmt numFmtId="4" formatCode="#,##0.00"/>
      <fill>
        <patternFill>
          <bgColor theme="7" tint="0.79998168889431442"/>
        </patternFill>
      </fill>
    </odxf>
    <ndxf>
      <numFmt numFmtId="2" formatCode="0.00"/>
      <fill>
        <patternFill>
          <bgColor theme="2"/>
        </patternFill>
      </fill>
    </ndxf>
  </rcc>
  <rcc rId="8827" sId="9" odxf="1" dxf="1">
    <oc r="I32">
      <f>I33+I34+I35+I36</f>
    </oc>
    <nc r="I32">
      <f>I33+I34+I35+I36</f>
    </nc>
    <odxf>
      <numFmt numFmtId="4" formatCode="#,##0.00"/>
      <fill>
        <patternFill>
          <bgColor theme="7" tint="0.79998168889431442"/>
        </patternFill>
      </fill>
    </odxf>
    <ndxf>
      <numFmt numFmtId="2" formatCode="0.00"/>
      <fill>
        <patternFill>
          <bgColor theme="2"/>
        </patternFill>
      </fill>
    </ndxf>
  </rcc>
  <rcc rId="8828" sId="9" odxf="1" dxf="1">
    <oc r="J32">
      <f>J33+J34+J35+J36</f>
    </oc>
    <nc r="J32">
      <f>J33+J34+J35+J36</f>
    </nc>
    <odxf>
      <numFmt numFmtId="4" formatCode="#,##0.00"/>
      <fill>
        <patternFill>
          <bgColor theme="7" tint="0.79998168889431442"/>
        </patternFill>
      </fill>
    </odxf>
    <ndxf>
      <numFmt numFmtId="2" formatCode="0.00"/>
      <fill>
        <patternFill>
          <bgColor theme="2"/>
        </patternFill>
      </fill>
    </ndxf>
  </rcc>
  <rcc rId="8829" sId="9" odxf="1" dxf="1">
    <oc r="K32">
      <f>K33+K34+K35+K36</f>
    </oc>
    <nc r="K32">
      <f>K33+K34+K35+K36</f>
    </nc>
    <odxf>
      <numFmt numFmtId="4" formatCode="#,##0.00"/>
      <fill>
        <patternFill>
          <bgColor theme="7" tint="0.79998168889431442"/>
        </patternFill>
      </fill>
    </odxf>
    <ndxf>
      <numFmt numFmtId="2" formatCode="0.00"/>
      <fill>
        <patternFill>
          <bgColor theme="2"/>
        </patternFill>
      </fill>
    </ndxf>
  </rcc>
  <rcc rId="8830" sId="9" odxf="1" dxf="1">
    <oc r="L32">
      <f>L33+L34+L35+L36</f>
    </oc>
    <nc r="L32">
      <f>L33+L34+L35+L36</f>
    </nc>
    <odxf>
      <numFmt numFmtId="4" formatCode="#,##0.00"/>
      <fill>
        <patternFill>
          <bgColor theme="7" tint="0.79998168889431442"/>
        </patternFill>
      </fill>
    </odxf>
    <ndxf>
      <numFmt numFmtId="2" formatCode="0.00"/>
      <fill>
        <patternFill>
          <bgColor theme="2"/>
        </patternFill>
      </fill>
    </ndxf>
  </rcc>
  <rcc rId="8831" sId="9" odxf="1" dxf="1">
    <nc r="M32">
      <f>M33+M34+M35+M36</f>
    </nc>
    <odxf>
      <numFmt numFmtId="4" formatCode="#,##0.00"/>
      <fill>
        <patternFill>
          <bgColor theme="7" tint="0.79998168889431442"/>
        </patternFill>
      </fill>
    </odxf>
    <ndxf>
      <numFmt numFmtId="2" formatCode="0.00"/>
      <fill>
        <patternFill>
          <bgColor theme="2"/>
        </patternFill>
      </fill>
    </ndxf>
  </rcc>
  <rcc rId="8832" sId="9" odxf="1" dxf="1">
    <oc r="N32">
      <f>N33+N34+N35+N36</f>
    </oc>
    <nc r="N32">
      <f>N33+N34+N35+N36</f>
    </nc>
    <odxf>
      <numFmt numFmtId="4" formatCode="#,##0.00"/>
      <fill>
        <patternFill>
          <bgColor theme="7" tint="0.79998168889431442"/>
        </patternFill>
      </fill>
    </odxf>
    <ndxf>
      <numFmt numFmtId="2" formatCode="0.00"/>
      <fill>
        <patternFill>
          <bgColor theme="2"/>
        </patternFill>
      </fill>
    </ndxf>
  </rcc>
  <rcc rId="8833" sId="9" odxf="1" dxf="1">
    <nc r="O32">
      <f>O33+O34+O35+O36</f>
    </nc>
    <odxf>
      <numFmt numFmtId="4" formatCode="#,##0.00"/>
      <fill>
        <patternFill>
          <bgColor theme="7" tint="0.79998168889431442"/>
        </patternFill>
      </fill>
    </odxf>
    <ndxf>
      <numFmt numFmtId="2" formatCode="0.00"/>
      <fill>
        <patternFill>
          <bgColor theme="2"/>
        </patternFill>
      </fill>
    </ndxf>
  </rcc>
  <rcc rId="8834" sId="9" odxf="1" dxf="1">
    <oc r="P32">
      <f>P33+P34+P35+P36</f>
    </oc>
    <nc r="P32">
      <f>P33+P34+P35+P36</f>
    </nc>
    <odxf>
      <numFmt numFmtId="4" formatCode="#,##0.00"/>
      <fill>
        <patternFill>
          <bgColor theme="7" tint="0.79998168889431442"/>
        </patternFill>
      </fill>
    </odxf>
    <ndxf>
      <numFmt numFmtId="2" formatCode="0.00"/>
      <fill>
        <patternFill>
          <bgColor theme="2"/>
        </patternFill>
      </fill>
    </ndxf>
  </rcc>
  <rcc rId="8835" sId="9" odxf="1" dxf="1">
    <nc r="Q32">
      <f>Q33+Q34+Q35+Q36</f>
    </nc>
    <odxf>
      <numFmt numFmtId="4" formatCode="#,##0.00"/>
      <fill>
        <patternFill>
          <bgColor theme="7" tint="0.79998168889431442"/>
        </patternFill>
      </fill>
    </odxf>
    <ndxf>
      <numFmt numFmtId="2" formatCode="0.00"/>
      <fill>
        <patternFill>
          <bgColor theme="2"/>
        </patternFill>
      </fill>
    </ndxf>
  </rcc>
  <rcc rId="8836" sId="9" odxf="1" dxf="1">
    <oc r="R32">
      <f>R33+R34+R35+R36</f>
    </oc>
    <nc r="R32">
      <f>R33+R34+R35+R36</f>
    </nc>
    <odxf>
      <numFmt numFmtId="4" formatCode="#,##0.00"/>
      <fill>
        <patternFill>
          <bgColor theme="7" tint="0.79998168889431442"/>
        </patternFill>
      </fill>
    </odxf>
    <ndxf>
      <numFmt numFmtId="2" formatCode="0.00"/>
      <fill>
        <patternFill>
          <bgColor theme="2"/>
        </patternFill>
      </fill>
    </ndxf>
  </rcc>
  <rcc rId="8837" sId="9" odxf="1" dxf="1">
    <nc r="S32">
      <f>S33+S34+S35+S36</f>
    </nc>
    <odxf>
      <numFmt numFmtId="4" formatCode="#,##0.00"/>
      <fill>
        <patternFill>
          <bgColor theme="7" tint="0.79998168889431442"/>
        </patternFill>
      </fill>
    </odxf>
    <ndxf>
      <numFmt numFmtId="2" formatCode="0.00"/>
      <fill>
        <patternFill>
          <bgColor theme="2"/>
        </patternFill>
      </fill>
    </ndxf>
  </rcc>
  <rcc rId="8838" sId="9" odxf="1" dxf="1">
    <oc r="T32">
      <f>T33+T34+T35+T36</f>
    </oc>
    <nc r="T32">
      <f>T33+T34+T35+T36</f>
    </nc>
    <odxf>
      <numFmt numFmtId="4" formatCode="#,##0.00"/>
      <fill>
        <patternFill>
          <bgColor theme="7" tint="0.79998168889431442"/>
        </patternFill>
      </fill>
    </odxf>
    <ndxf>
      <numFmt numFmtId="2" formatCode="0.00"/>
      <fill>
        <patternFill>
          <bgColor theme="2"/>
        </patternFill>
      </fill>
    </ndxf>
  </rcc>
  <rfmt sheetId="9" sqref="U32" start="0" length="0">
    <dxf>
      <numFmt numFmtId="2" formatCode="0.00"/>
      <fill>
        <patternFill>
          <bgColor theme="2"/>
        </patternFill>
      </fill>
    </dxf>
  </rfmt>
  <rcc rId="8839" sId="9" odxf="1" dxf="1">
    <oc r="V32">
      <f>V33+V34+V35+V36</f>
    </oc>
    <nc r="V32">
      <f>V33+V34+V35+V36</f>
    </nc>
    <odxf>
      <numFmt numFmtId="4" formatCode="#,##0.00"/>
      <fill>
        <patternFill>
          <bgColor theme="7" tint="0.79998168889431442"/>
        </patternFill>
      </fill>
    </odxf>
    <ndxf>
      <numFmt numFmtId="2" formatCode="0.00"/>
      <fill>
        <patternFill>
          <bgColor theme="2"/>
        </patternFill>
      </fill>
    </ndxf>
  </rcc>
  <rfmt sheetId="9" sqref="W32" start="0" length="0">
    <dxf>
      <numFmt numFmtId="2" formatCode="0.00"/>
      <fill>
        <patternFill>
          <bgColor theme="2"/>
        </patternFill>
      </fill>
    </dxf>
  </rfmt>
  <rcc rId="8840" sId="9" odxf="1" dxf="1">
    <oc r="X32">
      <f>X33+X34+X35+X36</f>
    </oc>
    <nc r="X32">
      <f>X33+X34+X35+X36</f>
    </nc>
    <odxf>
      <numFmt numFmtId="4" formatCode="#,##0.00"/>
      <fill>
        <patternFill>
          <bgColor theme="7" tint="0.79998168889431442"/>
        </patternFill>
      </fill>
    </odxf>
    <ndxf>
      <numFmt numFmtId="2" formatCode="0.00"/>
      <fill>
        <patternFill>
          <bgColor theme="2"/>
        </patternFill>
      </fill>
    </ndxf>
  </rcc>
  <rfmt sheetId="9" sqref="Y32" start="0" length="0">
    <dxf>
      <numFmt numFmtId="2" formatCode="0.00"/>
      <fill>
        <patternFill>
          <bgColor theme="2"/>
        </patternFill>
      </fill>
    </dxf>
  </rfmt>
  <rcc rId="8841" sId="9" odxf="1" dxf="1">
    <oc r="Z32">
      <f>Z33+Z34+Z35+Z36</f>
    </oc>
    <nc r="Z32">
      <f>Z33+Z34+Z35+Z36</f>
    </nc>
    <odxf>
      <numFmt numFmtId="4" formatCode="#,##0.00"/>
      <fill>
        <patternFill>
          <bgColor theme="7" tint="0.79998168889431442"/>
        </patternFill>
      </fill>
    </odxf>
    <ndxf>
      <numFmt numFmtId="2" formatCode="0.00"/>
      <fill>
        <patternFill>
          <bgColor theme="2"/>
        </patternFill>
      </fill>
    </ndxf>
  </rcc>
  <rfmt sheetId="9" sqref="AA32" start="0" length="0">
    <dxf>
      <numFmt numFmtId="2" formatCode="0.00"/>
      <fill>
        <patternFill>
          <bgColor theme="2"/>
        </patternFill>
      </fill>
    </dxf>
  </rfmt>
  <rcc rId="8842" sId="9" odxf="1" dxf="1">
    <oc r="AB32">
      <f>AB33+AB34+AB35+AB36</f>
    </oc>
    <nc r="AB32">
      <f>AB33+AB34+AB35+AB36</f>
    </nc>
    <odxf>
      <numFmt numFmtId="4" formatCode="#,##0.00"/>
      <fill>
        <patternFill>
          <bgColor theme="7" tint="0.79998168889431442"/>
        </patternFill>
      </fill>
    </odxf>
    <ndxf>
      <numFmt numFmtId="2" formatCode="0.00"/>
      <fill>
        <patternFill>
          <bgColor theme="2"/>
        </patternFill>
      </fill>
    </ndxf>
  </rcc>
  <rfmt sheetId="9" sqref="AC32" start="0" length="0">
    <dxf>
      <numFmt numFmtId="2" formatCode="0.00"/>
      <fill>
        <patternFill>
          <bgColor theme="2"/>
        </patternFill>
      </fill>
    </dxf>
  </rfmt>
  <rcc rId="8843" sId="9" odxf="1" dxf="1">
    <oc r="AD32">
      <f>AD33+AD34+AD35+AD36</f>
    </oc>
    <nc r="AD32">
      <f>AD33+AD34+AD35+AD36</f>
    </nc>
    <odxf>
      <numFmt numFmtId="4" formatCode="#,##0.00"/>
      <fill>
        <patternFill>
          <bgColor theme="7" tint="0.79998168889431442"/>
        </patternFill>
      </fill>
    </odxf>
    <ndxf>
      <numFmt numFmtId="2" formatCode="0.00"/>
      <fill>
        <patternFill>
          <bgColor theme="2"/>
        </patternFill>
      </fill>
    </ndxf>
  </rcc>
  <rfmt sheetId="9" sqref="AE32" start="0" length="0">
    <dxf>
      <numFmt numFmtId="2" formatCode="0.00"/>
      <fill>
        <patternFill>
          <bgColor theme="2"/>
        </patternFill>
      </fill>
    </dxf>
  </rfmt>
  <rcc rId="8844" sId="9" odxf="1" dxf="1">
    <oc r="B33">
      <f>B39+B45+B51+B57</f>
    </oc>
    <nc r="B33">
      <f>B39+B45+B51+B57</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45" sId="9" odxf="1" dxf="1">
    <oc r="C33">
      <f>C39+C45+C51+C57</f>
    </oc>
    <nc r="C33">
      <f>C39+C45+C51+C57</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46" sId="9" odxf="1" dxf="1">
    <oc r="D33">
      <f>D39+D45+D51+D57</f>
    </oc>
    <nc r="D33">
      <f>E33</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47" sId="9" odxf="1" dxf="1">
    <oc r="E33">
      <f>E39+E45+E51+E57</f>
    </oc>
    <nc r="E33">
      <f>E39+E45+E51+E57</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fmt sheetId="9" sqref="F33" start="0" length="0">
    <dxf>
      <font>
        <b/>
        <sz val="14"/>
        <name val="Times New Roman"/>
        <scheme val="none"/>
      </font>
      <numFmt numFmtId="2" formatCode="0.00"/>
      <fill>
        <patternFill>
          <bgColor theme="9" tint="0.79998168889431442"/>
        </patternFill>
      </fill>
    </dxf>
  </rfmt>
  <rfmt sheetId="9" sqref="G33" start="0" length="0">
    <dxf>
      <font>
        <b/>
        <sz val="14"/>
        <name val="Times New Roman"/>
        <scheme val="none"/>
      </font>
      <numFmt numFmtId="2" formatCode="0.00"/>
      <fill>
        <patternFill>
          <bgColor theme="9" tint="0.79998168889431442"/>
        </patternFill>
      </fill>
    </dxf>
  </rfmt>
  <rcc rId="8848" sId="9" odxf="1" dxf="1">
    <oc r="H33">
      <f>H39+H45+H51+H57</f>
    </oc>
    <nc r="H33">
      <f>H39+H45+H51+H57</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49" sId="9" odxf="1" dxf="1">
    <oc r="I33">
      <f>I39+I45+I51+I57</f>
    </oc>
    <nc r="I33">
      <f>I39+I45+I51+I57</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50" sId="9" odxf="1" dxf="1">
    <oc r="J33">
      <f>J39+J45+J51+J57</f>
    </oc>
    <nc r="J33">
      <f>J39+J45+J51+J57</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51" sId="9" odxf="1" dxf="1">
    <oc r="K33">
      <f>K39+K45+K51+K57</f>
    </oc>
    <nc r="K33">
      <f>K39+K45+K51+K57</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52" sId="9" odxf="1" dxf="1">
    <oc r="L33">
      <f>L39+L45+L51+L57</f>
    </oc>
    <nc r="L33">
      <f>L39+L45+L51+L57</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53" sId="9" odxf="1" dxf="1">
    <oc r="M33">
      <f>M39+M45+M51+M57</f>
    </oc>
    <nc r="M33">
      <f>M39+M45+M51+M57</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54" sId="9" odxf="1" dxf="1">
    <oc r="N33">
      <f>N39+N45+N51+N57</f>
    </oc>
    <nc r="N33">
      <f>N39+N45+N51+N57</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55" sId="9" odxf="1" dxf="1">
    <oc r="O33">
      <f>O39+O45+O51+O57</f>
    </oc>
    <nc r="O33">
      <f>O39+O45+O51+O57</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56" sId="9" odxf="1" dxf="1">
    <oc r="P33">
      <f>P39+P45+P51+P57</f>
    </oc>
    <nc r="P33">
      <f>P39+P45+P51+P57</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57" sId="9" odxf="1" dxf="1">
    <oc r="Q33">
      <f>Q39+Q45+Q51+Q57</f>
    </oc>
    <nc r="Q33">
      <f>Q39+Q45+Q51+Q57</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58" sId="9" odxf="1" dxf="1">
    <oc r="R33">
      <f>R39+R45+R51+R57</f>
    </oc>
    <nc r="R33">
      <f>R39+R45+R51+R57</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59" sId="9" odxf="1" dxf="1">
    <oc r="S33">
      <f>S39+S45+S51+S57</f>
    </oc>
    <nc r="S33">
      <f>S39+S45+S51+S57</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60" sId="9" odxf="1" dxf="1">
    <oc r="T33">
      <f>T39+T45+T51+T57</f>
    </oc>
    <nc r="T33">
      <f>T39+T45+T51+T57</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61" sId="9" odxf="1" dxf="1">
    <oc r="U33">
      <f>U39+U45+U51+U57</f>
    </oc>
    <nc r="U33"/>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62" sId="9" odxf="1" dxf="1">
    <oc r="V33">
      <f>V39+V45+V51+V57</f>
    </oc>
    <nc r="V33">
      <f>V39+V45+V51+V57</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63" sId="9" odxf="1" dxf="1">
    <oc r="W33">
      <f>W39+W45+W51+W57</f>
    </oc>
    <nc r="W33"/>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64" sId="9" odxf="1" dxf="1">
    <oc r="X33">
      <f>X39+X45+X51+X57</f>
    </oc>
    <nc r="X33">
      <f>X39+X45+X51+X57</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65" sId="9" odxf="1" dxf="1">
    <oc r="Y33">
      <f>Y39+Y45+Y51+Y57</f>
    </oc>
    <nc r="Y33"/>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66" sId="9" odxf="1" dxf="1">
    <oc r="Z33">
      <f>Z39+Z45+Z51+Z57</f>
    </oc>
    <nc r="Z33">
      <f>Z39+Z45+Z51+Z57</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67" sId="9" odxf="1" dxf="1">
    <oc r="AA33">
      <f>AA39+AA45+AA51+AA57</f>
    </oc>
    <nc r="AA33"/>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68" sId="9" odxf="1" dxf="1">
    <oc r="AB33">
      <f>AB39+AB45+AB51+AB57</f>
    </oc>
    <nc r="AB33">
      <f>AB39+AB45+AB51+AB57</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69" sId="9" odxf="1" dxf="1">
    <oc r="AC33">
      <f>AC39+AC45+AC51+AC57</f>
    </oc>
    <nc r="AC33"/>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70" sId="9" odxf="1" dxf="1">
    <oc r="AD33">
      <f>AD39+AD45+AD51+AD57</f>
    </oc>
    <nc r="AD33">
      <f>AD39+AD45+AD51+AD57</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71" sId="9" odxf="1" dxf="1">
    <oc r="AE33">
      <f>AE39+AE45+AE51+AE57</f>
    </oc>
    <nc r="AE33"/>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72" sId="9" odxf="1" dxf="1">
    <oc r="B34">
      <f>B40+B46+B52+B58</f>
    </oc>
    <nc r="B34">
      <f>B40+B46+B52+B58</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73" sId="9" odxf="1" dxf="1">
    <oc r="C34">
      <f>C40+C46+C52+C58</f>
    </oc>
    <nc r="C34">
      <f>C40+C46+C52+C58</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74" sId="9" odxf="1" dxf="1">
    <oc r="D34">
      <f>D40+D46+D52+D58</f>
    </oc>
    <nc r="D34">
      <f>E34</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75" sId="9" odxf="1" dxf="1">
    <oc r="E34">
      <f>E40+E46+E52+E58</f>
    </oc>
    <nc r="E34">
      <f>E40+E46+E52+E58</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fmt sheetId="9" sqref="F34" start="0" length="0">
    <dxf>
      <font>
        <b/>
        <sz val="14"/>
        <name val="Times New Roman"/>
        <scheme val="none"/>
      </font>
      <numFmt numFmtId="2" formatCode="0.00"/>
      <fill>
        <patternFill>
          <bgColor theme="9" tint="0.79998168889431442"/>
        </patternFill>
      </fill>
    </dxf>
  </rfmt>
  <rfmt sheetId="9" sqref="G34" start="0" length="0">
    <dxf>
      <font>
        <b/>
        <sz val="14"/>
        <name val="Times New Roman"/>
        <scheme val="none"/>
      </font>
      <numFmt numFmtId="2" formatCode="0.00"/>
      <fill>
        <patternFill>
          <bgColor theme="9" tint="0.79998168889431442"/>
        </patternFill>
      </fill>
    </dxf>
  </rfmt>
  <rcc rId="8876" sId="9" odxf="1" dxf="1">
    <oc r="H34">
      <f>H40+H46+H52+H58</f>
    </oc>
    <nc r="H34">
      <f>H40+H46+H52+H58</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77" sId="9" odxf="1" dxf="1">
    <oc r="I34">
      <f>I40+I46+I52+I58</f>
    </oc>
    <nc r="I34">
      <f>I40+I46+I52+I58</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78" sId="9" odxf="1" dxf="1">
    <oc r="J34">
      <f>J40+J46+J52+J58</f>
    </oc>
    <nc r="J34">
      <f>J40+J46+J52+J58</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79" sId="9" odxf="1" dxf="1">
    <oc r="K34">
      <f>K40+K46+K52+K58</f>
    </oc>
    <nc r="K34">
      <f>K40+K46+K52+K58</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80" sId="9" odxf="1" dxf="1">
    <oc r="L34">
      <f>L40+L46+L52+L58</f>
    </oc>
    <nc r="L34">
      <f>L40+L46+L52+L58</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81" sId="9" odxf="1" dxf="1">
    <oc r="M34">
      <f>M40+M46+M52+M58</f>
    </oc>
    <nc r="M34">
      <f>M40+M46+M52+M58</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82" sId="9" odxf="1" dxf="1">
    <oc r="N34">
      <f>N40+N46+N52+N58</f>
    </oc>
    <nc r="N34">
      <f>N40+N46+N52+N58</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83" sId="9" odxf="1" dxf="1">
    <oc r="O34">
      <f>O40+O46+O52+O58</f>
    </oc>
    <nc r="O34">
      <f>O40+O46+O52+O58</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84" sId="9" odxf="1" dxf="1">
    <oc r="P34">
      <f>P40+P46+P52+P58</f>
    </oc>
    <nc r="P34">
      <f>P40+P46+P52+P58</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85" sId="9" odxf="1" dxf="1">
    <oc r="Q34">
      <f>Q40+Q46+Q52+Q58</f>
    </oc>
    <nc r="Q34">
      <f>Q40+Q46+Q52+Q58</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86" sId="9" odxf="1" dxf="1">
    <oc r="R34">
      <f>R40+R46+R52+R58</f>
    </oc>
    <nc r="R34">
      <f>R40+R46+R52+R58</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87" sId="9" odxf="1" dxf="1">
    <oc r="S34">
      <f>S40+S46+S52+S58</f>
    </oc>
    <nc r="S34">
      <f>S40+S46+S52+S58</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88" sId="9" odxf="1" dxf="1">
    <oc r="T34">
      <f>T40+T46+T52+T58</f>
    </oc>
    <nc r="T34">
      <f>T40+T46+T52+T58</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89" sId="9" odxf="1" dxf="1">
    <oc r="U34">
      <f>U40+U46+U52+U58</f>
    </oc>
    <nc r="U34"/>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90" sId="9" odxf="1" dxf="1">
    <oc r="V34">
      <f>V40+V46+V52+V58</f>
    </oc>
    <nc r="V34">
      <f>V40+V46+V52+V58</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91" sId="9" odxf="1" dxf="1">
    <oc r="W34">
      <f>W40+W46+W52+W58</f>
    </oc>
    <nc r="W34"/>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92" sId="9" odxf="1" dxf="1">
    <oc r="X34">
      <f>X40+X46+X52+X58</f>
    </oc>
    <nc r="X34">
      <f>X40+X46+X52+X58</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93" sId="9" odxf="1" dxf="1">
    <oc r="Y34">
      <f>Y40+Y46+Y52+Y58</f>
    </oc>
    <nc r="Y34"/>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94" sId="9" odxf="1" dxf="1">
    <oc r="Z34">
      <f>Z40+Z46+Z52+Z58</f>
    </oc>
    <nc r="Z34">
      <f>Z40+Z46+Z52+Z58</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95" sId="9" odxf="1" dxf="1">
    <oc r="AA34">
      <f>AA40+AA46+AA52+AA58</f>
    </oc>
    <nc r="AA34"/>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96" sId="9" odxf="1" dxf="1">
    <oc r="AB34">
      <f>AB40+AB46+AB52+AB58</f>
    </oc>
    <nc r="AB34">
      <f>AB40+AB46+AB52+AB58</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97" sId="9" odxf="1" dxf="1">
    <oc r="AC34">
      <f>AC40+AC46+AC52+AC58</f>
    </oc>
    <nc r="AC34"/>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98" sId="9" odxf="1" dxf="1">
    <oc r="AD34">
      <f>AD40+AD46+AD52+AD58</f>
    </oc>
    <nc r="AD34">
      <f>AD40+AD46+AD52+AD58</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899" sId="9" odxf="1" dxf="1">
    <oc r="AE34">
      <f>AE40+AE46+AE52+AE58</f>
    </oc>
    <nc r="AE34"/>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900" sId="9" odxf="1" dxf="1">
    <oc r="B35">
      <f>B41+B47+B53+B59</f>
    </oc>
    <nc r="B35">
      <f>B41+B47+B53+B59</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901" sId="9" odxf="1" dxf="1">
    <oc r="C35">
      <f>C41+C47+C53+C59</f>
    </oc>
    <nc r="C35">
      <f>C41+C47+C53+C59</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902" sId="9" odxf="1" dxf="1">
    <oc r="D35">
      <f>D41+D47+D53+D59</f>
    </oc>
    <nc r="D35">
      <f>E35</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903" sId="9" odxf="1" dxf="1">
    <oc r="E35">
      <f>E41+E47+E53+E59</f>
    </oc>
    <nc r="E35">
      <f>E41+E47+E53+E59</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904" sId="9" odxf="1" dxf="1">
    <oc r="F35">
      <f>E35/B35*100</f>
    </oc>
    <nc r="F35">
      <f>E35/B35*100</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9" tint="0.79998168889431442"/>
        </patternFill>
      </fill>
    </ndxf>
  </rcc>
  <rcc rId="8905" sId="9" odxf="1" dxf="1">
    <oc r="G35">
      <f>E35/C35*100</f>
    </oc>
    <nc r="G35">
      <f>E35/C35*100</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9" tint="0.79998168889431442"/>
        </patternFill>
      </fill>
    </ndxf>
  </rcc>
  <rcc rId="8906" sId="9" odxf="1" dxf="1">
    <oc r="H35">
      <f>H41+H47+H53+H59</f>
    </oc>
    <nc r="H35">
      <f>H41+H47+H53+H59</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907" sId="9" odxf="1" dxf="1">
    <oc r="I35">
      <f>I41+I47+I53+I59</f>
    </oc>
    <nc r="I35">
      <f>I41+I47+I53+I59</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908" sId="9" odxf="1" dxf="1">
    <oc r="J35">
      <f>J41+J47+J53+J59</f>
    </oc>
    <nc r="J35">
      <f>J41+J47+J53+J59</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909" sId="9" odxf="1" dxf="1">
    <oc r="K35">
      <f>K41+K47+K53+K59</f>
    </oc>
    <nc r="K35">
      <f>K41+K47+K53+K59</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910" sId="9" odxf="1" dxf="1">
    <oc r="L35">
      <f>L41+L47+L53+L59</f>
    </oc>
    <nc r="L35">
      <f>L41+L47+L53+L59</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911" sId="9" odxf="1" dxf="1">
    <oc r="M35">
      <f>M41+M47+M53+M59</f>
    </oc>
    <nc r="M35">
      <f>M41+M47+M53+M59</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912" sId="9" odxf="1" dxf="1">
    <oc r="N35">
      <f>N41+N47+N53+N59</f>
    </oc>
    <nc r="N35">
      <f>N41+N47+N53+N59</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913" sId="9" odxf="1" dxf="1">
    <oc r="O35">
      <f>O41+O47+O53+O59</f>
    </oc>
    <nc r="O35">
      <f>O41+O47+O53+O59</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914" sId="9" odxf="1" dxf="1">
    <oc r="P35">
      <f>P41+P47+P53+P59</f>
    </oc>
    <nc r="P35">
      <f>P41+P47+P53+P59</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915" sId="9" odxf="1" dxf="1">
    <oc r="Q35">
      <f>Q41+Q47+Q53+Q59</f>
    </oc>
    <nc r="Q35">
      <f>Q41+Q47+Q53+Q59</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916" sId="9" odxf="1" dxf="1">
    <oc r="R35">
      <f>R41+R47+R53+R59</f>
    </oc>
    <nc r="R35">
      <f>R41+R47+R53+R59</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917" sId="9" odxf="1" dxf="1">
    <oc r="S35">
      <f>S41+S47+S53+S59</f>
    </oc>
    <nc r="S35">
      <f>S41+S47+S53+S59</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918" sId="9" odxf="1" dxf="1">
    <oc r="T35">
      <f>T41+T47+T53+T59</f>
    </oc>
    <nc r="T35">
      <f>T41+T47+T53+T59</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919" sId="9" odxf="1" dxf="1">
    <oc r="U35">
      <f>U41+U47+U53+U59</f>
    </oc>
    <nc r="U35"/>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920" sId="9" odxf="1" dxf="1">
    <oc r="V35">
      <f>V41+V47+V53+V59</f>
    </oc>
    <nc r="V35">
      <f>V41+V47+V53+V59</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921" sId="9" odxf="1" dxf="1">
    <oc r="W35">
      <f>W41+W47+W53+W59</f>
    </oc>
    <nc r="W35"/>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922" sId="9" odxf="1" dxf="1">
    <oc r="X35">
      <f>X41+X47+X53+X59</f>
    </oc>
    <nc r="X35">
      <f>X41+X47+X53+X59</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923" sId="9" odxf="1" dxf="1">
    <oc r="Y35">
      <f>Y41+Y47+Y53+Y59</f>
    </oc>
    <nc r="Y35"/>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924" sId="9" odxf="1" dxf="1">
    <oc r="Z35">
      <f>Z41+Z47+Z53+Z59</f>
    </oc>
    <nc r="Z35">
      <f>Z41+Z47+Z53+Z59</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925" sId="9" odxf="1" dxf="1">
    <oc r="AA35">
      <f>AA41+AA47+AA53+AA59</f>
    </oc>
    <nc r="AA35"/>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926" sId="9" odxf="1" dxf="1">
    <oc r="AB35">
      <f>AB41+AB47+AB53+AB59</f>
    </oc>
    <nc r="AB35">
      <f>AB41+AB47+AB53+AB59</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927" sId="9" odxf="1" dxf="1">
    <oc r="AC35">
      <f>AC41+AC47+AC53+AC59</f>
    </oc>
    <nc r="AC35"/>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928" sId="9" odxf="1" dxf="1">
    <oc r="AD35">
      <f>AD41+AD47+AD53+AD59</f>
    </oc>
    <nc r="AD35">
      <f>AD41+AD47+AD53+AD59</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929" sId="9" odxf="1" dxf="1">
    <oc r="AE35">
      <f>AE41+AE47+AE53+AE59</f>
    </oc>
    <nc r="AE35"/>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930" sId="9" odxf="1" dxf="1">
    <oc r="B36">
      <f>B42+B48+B54+B60</f>
    </oc>
    <nc r="B36">
      <f>B42+B48+B54+B60</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931" sId="9" odxf="1" dxf="1">
    <oc r="C36">
      <f>C42+C48+C54+C60</f>
    </oc>
    <nc r="C36">
      <f>C42+C48+C54+C60</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932" sId="9" odxf="1" dxf="1">
    <oc r="D36">
      <f>D42+D48+D54+D60</f>
    </oc>
    <nc r="D36">
      <f>E36</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cc rId="8933" sId="9" odxf="1" dxf="1">
    <oc r="E36">
      <f>E42+E48+E54+E60</f>
    </oc>
    <nc r="E36">
      <f>E42+E48+E54+E60</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2"/>
        </patternFill>
      </fill>
    </ndxf>
  </rcc>
  <rfmt sheetId="9" sqref="F36" start="0" length="0">
    <dxf>
      <font>
        <b/>
        <sz val="14"/>
        <name val="Times New Roman"/>
        <scheme val="none"/>
      </font>
      <numFmt numFmtId="2" formatCode="0.00"/>
      <fill>
        <patternFill>
          <bgColor theme="9" tint="0.79998168889431442"/>
        </patternFill>
      </fill>
    </dxf>
  </rfmt>
  <rfmt sheetId="9" sqref="G36" start="0" length="0">
    <dxf>
      <font>
        <b/>
        <sz val="14"/>
        <name val="Times New Roman"/>
        <scheme val="none"/>
      </font>
      <numFmt numFmtId="2" formatCode="0.00"/>
      <fill>
        <patternFill>
          <bgColor theme="9" tint="0.79998168889431442"/>
        </patternFill>
      </fill>
    </dxf>
  </rfmt>
  <rcc rId="8934" sId="9" odxf="1" dxf="1">
    <oc r="H36">
      <f>H42+H48+H54+H60</f>
    </oc>
    <nc r="H36">
      <f>H42+H48+H54+H60</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935" sId="9" odxf="1" dxf="1">
    <oc r="I36">
      <f>I42+I48+I54+I60</f>
    </oc>
    <nc r="I36">
      <f>I42+I48+I54+I60</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936" sId="9" odxf="1" dxf="1">
    <oc r="J36">
      <f>J42+J48+J54+J60</f>
    </oc>
    <nc r="J36">
      <f>J42+J48+J54+J60</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937" sId="9" odxf="1" dxf="1">
    <oc r="K36">
      <f>K42+K48+K54+K60</f>
    </oc>
    <nc r="K36">
      <f>K42+K48+K54+K60</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938" sId="9" odxf="1" dxf="1">
    <oc r="L36">
      <f>L42+L48+L54+L60</f>
    </oc>
    <nc r="L36">
      <f>L42+L48+L54+L60</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939" sId="9" odxf="1" dxf="1">
    <oc r="M36">
      <f>M42+M48+M54+M60</f>
    </oc>
    <nc r="M36">
      <f>M42+M48+M54+M60</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940" sId="9" odxf="1" dxf="1">
    <oc r="N36">
      <f>N42+N48+N54+N60</f>
    </oc>
    <nc r="N36">
      <f>N42+N48+N54+N60</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941" sId="9" odxf="1" dxf="1">
    <oc r="O36">
      <f>O42+O48+O54+O60</f>
    </oc>
    <nc r="O36">
      <f>O42+O48+O54+O60</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942" sId="9" odxf="1" dxf="1">
    <oc r="P36">
      <f>P42+P48+P54+P60</f>
    </oc>
    <nc r="P36">
      <f>P42+P48+P54+P60</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943" sId="9" odxf="1" dxf="1" numFmtId="4">
    <oc r="Q36">
      <f>Q42+Q48+Q54+Q60</f>
    </oc>
    <nc r="Q36">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944" sId="9" odxf="1" dxf="1">
    <oc r="R36">
      <f>R42+R48+R54+R60</f>
    </oc>
    <nc r="R36">
      <f>R42+R48+R54+R60</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945" sId="9" odxf="1" dxf="1">
    <oc r="S36">
      <f>S42+S48+S54+S60</f>
    </oc>
    <nc r="S36">
      <f>S42+S48+S54+S60</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946" sId="9" odxf="1" dxf="1">
    <oc r="T36">
      <f>T42+T48+T54+T60</f>
    </oc>
    <nc r="T36">
      <f>T42+T48+T54+T60</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947" sId="9" odxf="1" dxf="1">
    <oc r="U36">
      <f>U42+U48+U54+U60</f>
    </oc>
    <nc r="U36"/>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948" sId="9" odxf="1" dxf="1">
    <oc r="V36">
      <f>V42+V48+V54+V60</f>
    </oc>
    <nc r="V36">
      <f>V42+V48+V54+V60</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949" sId="9" odxf="1" dxf="1">
    <oc r="W36">
      <f>W42+W48+W54+W60</f>
    </oc>
    <nc r="W36"/>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950" sId="9" odxf="1" dxf="1">
    <oc r="X36">
      <f>X42+X48+X54+X60</f>
    </oc>
    <nc r="X36">
      <f>X42+X48+X54+X60</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951" sId="9" odxf="1" dxf="1">
    <oc r="Y36">
      <f>Y42+Y48+Y54+Y60</f>
    </oc>
    <nc r="Y36"/>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952" sId="9" odxf="1" dxf="1">
    <oc r="Z36">
      <f>Z42+Z48+Z54+Z60</f>
    </oc>
    <nc r="Z36">
      <f>Z42+Z48+Z54+Z60</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953" sId="9" odxf="1" dxf="1">
    <oc r="AA36">
      <f>AA42+AA48+AA54+AA60</f>
    </oc>
    <nc r="AA36"/>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954" sId="9" odxf="1" dxf="1">
    <oc r="AB36">
      <f>AB42+AB48+AB54+AB60</f>
    </oc>
    <nc r="AB36">
      <f>AB42+AB48+AB54+AB60</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955" sId="9" odxf="1" dxf="1">
    <oc r="AC36">
      <f>AC42+AC48+AC54+AC60</f>
    </oc>
    <nc r="AC36"/>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956" sId="9" odxf="1" dxf="1">
    <oc r="AD36">
      <f>AD42+AD48+AD54+AD60</f>
    </oc>
    <nc r="AD36">
      <f>AD42+AD48+AD54+AD60</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957" sId="9" odxf="1" dxf="1">
    <oc r="AE36">
      <f>AE42+AE48+AE54+AE60</f>
    </oc>
    <nc r="AE36"/>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8958" sId="9" odxf="1" dxf="1">
    <oc r="B37">
      <f>B38</f>
    </oc>
    <nc r="B37">
      <f>B38</f>
    </nc>
    <odxf>
      <font>
        <b val="0"/>
        <sz val="14"/>
        <name val="Times New Roman"/>
        <scheme val="none"/>
      </font>
      <numFmt numFmtId="4" formatCode="#,##0.00"/>
    </odxf>
    <ndxf>
      <font>
        <b/>
        <sz val="14"/>
        <name val="Times New Roman"/>
        <scheme val="none"/>
      </font>
      <numFmt numFmtId="2" formatCode="0.00"/>
    </ndxf>
  </rcc>
  <rcc rId="8959" sId="9" odxf="1" dxf="1">
    <oc r="C37">
      <f>C38</f>
    </oc>
    <nc r="C37">
      <f>C38</f>
    </nc>
    <odxf>
      <font>
        <b val="0"/>
        <sz val="14"/>
        <name val="Times New Roman"/>
        <scheme val="none"/>
      </font>
      <numFmt numFmtId="4" formatCode="#,##0.00"/>
    </odxf>
    <ndxf>
      <font>
        <b/>
        <sz val="14"/>
        <name val="Times New Roman"/>
        <scheme val="none"/>
      </font>
      <numFmt numFmtId="2" formatCode="0.00"/>
    </ndxf>
  </rcc>
  <rcc rId="8960" sId="9" odxf="1" dxf="1">
    <oc r="D37">
      <f>D38</f>
    </oc>
    <nc r="D37">
      <f>E37</f>
    </nc>
    <odxf>
      <font>
        <b val="0"/>
        <sz val="14"/>
        <name val="Times New Roman"/>
        <scheme val="none"/>
      </font>
      <numFmt numFmtId="4" formatCode="#,##0.00"/>
    </odxf>
    <ndxf>
      <font>
        <b/>
        <sz val="14"/>
        <name val="Times New Roman"/>
        <scheme val="none"/>
      </font>
      <numFmt numFmtId="2" formatCode="0.00"/>
    </ndxf>
  </rcc>
  <rcc rId="8961" sId="9" odxf="1" dxf="1">
    <oc r="E37">
      <f>E38</f>
    </oc>
    <nc r="E37">
      <f>E38</f>
    </nc>
    <odxf>
      <font>
        <b val="0"/>
        <sz val="14"/>
        <name val="Times New Roman"/>
        <scheme val="none"/>
      </font>
      <numFmt numFmtId="4" formatCode="#,##0.00"/>
    </odxf>
    <ndxf>
      <font>
        <b/>
        <sz val="14"/>
        <name val="Times New Roman"/>
        <scheme val="none"/>
      </font>
      <numFmt numFmtId="2" formatCode="0.00"/>
    </ndxf>
  </rcc>
  <rcc rId="8962" sId="9" odxf="1" dxf="1" numFmtId="4">
    <oc r="F37">
      <v>0</v>
    </oc>
    <nc r="F37">
      <f>E37/B37*100</f>
    </nc>
    <odxf>
      <font>
        <b val="0"/>
        <sz val="14"/>
        <name val="Times New Roman"/>
        <scheme val="none"/>
      </font>
      <numFmt numFmtId="4" formatCode="#,##0.00"/>
      <fill>
        <patternFill patternType="none">
          <bgColor indexed="65"/>
        </patternFill>
      </fill>
    </odxf>
    <ndxf>
      <font>
        <b/>
        <sz val="14"/>
        <name val="Times New Roman"/>
        <scheme val="none"/>
      </font>
      <numFmt numFmtId="2" formatCode="0.00"/>
      <fill>
        <patternFill patternType="solid">
          <bgColor theme="9" tint="0.79998168889431442"/>
        </patternFill>
      </fill>
    </ndxf>
  </rcc>
  <rcc rId="8963" sId="9" odxf="1" dxf="1" numFmtId="4">
    <oc r="G37">
      <v>0</v>
    </oc>
    <nc r="G37">
      <f>E37/C37*100</f>
    </nc>
    <odxf>
      <font>
        <b val="0"/>
        <sz val="14"/>
        <name val="Times New Roman"/>
        <scheme val="none"/>
      </font>
      <numFmt numFmtId="4" formatCode="#,##0.00"/>
      <fill>
        <patternFill patternType="none">
          <bgColor indexed="65"/>
        </patternFill>
      </fill>
    </odxf>
    <ndxf>
      <font>
        <b/>
        <sz val="14"/>
        <name val="Times New Roman"/>
        <scheme val="none"/>
      </font>
      <numFmt numFmtId="2" formatCode="0.00"/>
      <fill>
        <patternFill patternType="solid">
          <bgColor theme="9" tint="0.79998168889431442"/>
        </patternFill>
      </fill>
    </ndxf>
  </rcc>
  <rcc rId="8964" sId="9" odxf="1" dxf="1">
    <oc r="H37">
      <f>H38</f>
    </oc>
    <nc r="H37">
      <f>H38</f>
    </nc>
    <odxf>
      <font>
        <b val="0"/>
        <sz val="14"/>
        <name val="Times New Roman"/>
        <scheme val="none"/>
      </font>
      <numFmt numFmtId="4" formatCode="#,##0.00"/>
    </odxf>
    <ndxf>
      <font>
        <b/>
        <sz val="14"/>
        <name val="Times New Roman"/>
        <scheme val="none"/>
      </font>
      <numFmt numFmtId="2" formatCode="0.00"/>
    </ndxf>
  </rcc>
  <rcc rId="8965" sId="9" odxf="1" dxf="1">
    <oc r="I37">
      <f>I38</f>
    </oc>
    <nc r="I37">
      <f>I38</f>
    </nc>
    <odxf>
      <font>
        <b val="0"/>
        <sz val="14"/>
        <name val="Times New Roman"/>
        <scheme val="none"/>
      </font>
      <numFmt numFmtId="4" formatCode="#,##0.00"/>
    </odxf>
    <ndxf>
      <font>
        <b/>
        <sz val="14"/>
        <name val="Times New Roman"/>
        <scheme val="none"/>
      </font>
      <numFmt numFmtId="2" formatCode="0.00"/>
    </ndxf>
  </rcc>
  <rcc rId="8966" sId="9" odxf="1" dxf="1">
    <oc r="J37">
      <f>J38</f>
    </oc>
    <nc r="J37">
      <f>J38</f>
    </nc>
    <odxf>
      <font>
        <b val="0"/>
        <sz val="14"/>
        <name val="Times New Roman"/>
        <scheme val="none"/>
      </font>
      <numFmt numFmtId="4" formatCode="#,##0.00"/>
    </odxf>
    <ndxf>
      <font>
        <b/>
        <sz val="14"/>
        <name val="Times New Roman"/>
        <scheme val="none"/>
      </font>
      <numFmt numFmtId="2" formatCode="0.00"/>
    </ndxf>
  </rcc>
  <rcc rId="8967" sId="9" odxf="1" dxf="1">
    <oc r="K37">
      <f>K38</f>
    </oc>
    <nc r="K37">
      <f>K38</f>
    </nc>
    <odxf>
      <font>
        <b val="0"/>
        <sz val="14"/>
        <name val="Times New Roman"/>
        <scheme val="none"/>
      </font>
      <numFmt numFmtId="4" formatCode="#,##0.00"/>
    </odxf>
    <ndxf>
      <font>
        <b/>
        <sz val="14"/>
        <name val="Times New Roman"/>
        <scheme val="none"/>
      </font>
      <numFmt numFmtId="2" formatCode="0.00"/>
    </ndxf>
  </rcc>
  <rcc rId="8968" sId="9" odxf="1" dxf="1">
    <oc r="L37">
      <f>L38</f>
    </oc>
    <nc r="L37">
      <f>L38</f>
    </nc>
    <odxf>
      <font>
        <b val="0"/>
        <sz val="14"/>
        <name val="Times New Roman"/>
        <scheme val="none"/>
      </font>
      <numFmt numFmtId="4" formatCode="#,##0.00"/>
    </odxf>
    <ndxf>
      <font>
        <b/>
        <sz val="14"/>
        <name val="Times New Roman"/>
        <scheme val="none"/>
      </font>
      <numFmt numFmtId="2" formatCode="0.00"/>
    </ndxf>
  </rcc>
  <rcc rId="8969" sId="9" odxf="1" dxf="1">
    <nc r="M37">
      <f>M38</f>
    </nc>
    <odxf>
      <font>
        <b val="0"/>
        <sz val="14"/>
        <name val="Times New Roman"/>
        <scheme val="none"/>
      </font>
      <numFmt numFmtId="4" formatCode="#,##0.00"/>
      <border outline="0">
        <right/>
      </border>
      <protection hidden="1"/>
    </odxf>
    <ndxf>
      <font>
        <b/>
        <sz val="14"/>
        <name val="Times New Roman"/>
        <scheme val="none"/>
      </font>
      <numFmt numFmtId="2" formatCode="0.00"/>
      <border outline="0">
        <right style="thin">
          <color indexed="64"/>
        </right>
      </border>
      <protection hidden="0"/>
    </ndxf>
  </rcc>
  <rcc rId="8970" sId="9" odxf="1" dxf="1">
    <oc r="N37">
      <f>N38</f>
    </oc>
    <nc r="N37">
      <f>N38</f>
    </nc>
    <odxf>
      <font>
        <b val="0"/>
        <sz val="14"/>
        <name val="Times New Roman"/>
        <scheme val="none"/>
      </font>
      <numFmt numFmtId="4" formatCode="#,##0.00"/>
    </odxf>
    <ndxf>
      <font>
        <b/>
        <sz val="14"/>
        <name val="Times New Roman"/>
        <scheme val="none"/>
      </font>
      <numFmt numFmtId="2" formatCode="0.00"/>
    </ndxf>
  </rcc>
  <rcc rId="8971" sId="9" odxf="1" dxf="1">
    <nc r="O37">
      <f>O38</f>
    </nc>
    <odxf>
      <font>
        <b val="0"/>
        <sz val="14"/>
        <name val="Times New Roman"/>
        <scheme val="none"/>
      </font>
      <numFmt numFmtId="4" formatCode="#,##0.00"/>
      <border outline="0">
        <right/>
      </border>
      <protection hidden="1"/>
    </odxf>
    <ndxf>
      <font>
        <b/>
        <sz val="14"/>
        <name val="Times New Roman"/>
        <scheme val="none"/>
      </font>
      <numFmt numFmtId="2" formatCode="0.00"/>
      <border outline="0">
        <right style="thin">
          <color indexed="64"/>
        </right>
      </border>
      <protection hidden="0"/>
    </ndxf>
  </rcc>
  <rcc rId="8972" sId="9" odxf="1" dxf="1">
    <oc r="P37">
      <f>P38</f>
    </oc>
    <nc r="P37">
      <f>P38</f>
    </nc>
    <odxf>
      <font>
        <b val="0"/>
        <sz val="14"/>
        <name val="Times New Roman"/>
        <scheme val="none"/>
      </font>
      <numFmt numFmtId="4" formatCode="#,##0.00"/>
    </odxf>
    <ndxf>
      <font>
        <b/>
        <sz val="14"/>
        <name val="Times New Roman"/>
        <scheme val="none"/>
      </font>
      <numFmt numFmtId="2" formatCode="0.00"/>
    </ndxf>
  </rcc>
  <rcc rId="8973" sId="9" odxf="1" dxf="1">
    <nc r="Q37">
      <f>Q38</f>
    </nc>
    <odxf>
      <font>
        <b val="0"/>
        <sz val="14"/>
        <name val="Times New Roman"/>
        <scheme val="none"/>
      </font>
      <numFmt numFmtId="4" formatCode="#,##0.00"/>
      <border outline="0">
        <right/>
      </border>
      <protection hidden="1"/>
    </odxf>
    <ndxf>
      <font>
        <b/>
        <sz val="14"/>
        <name val="Times New Roman"/>
        <scheme val="none"/>
      </font>
      <numFmt numFmtId="2" formatCode="0.00"/>
      <border outline="0">
        <right style="thin">
          <color indexed="64"/>
        </right>
      </border>
      <protection hidden="0"/>
    </ndxf>
  </rcc>
  <rcc rId="8974" sId="9" odxf="1" dxf="1">
    <oc r="R37">
      <f>R38</f>
    </oc>
    <nc r="R37">
      <f>R38</f>
    </nc>
    <odxf>
      <font>
        <b val="0"/>
        <sz val="14"/>
        <name val="Times New Roman"/>
        <scheme val="none"/>
      </font>
      <numFmt numFmtId="4" formatCode="#,##0.00"/>
    </odxf>
    <ndxf>
      <font>
        <b/>
        <sz val="14"/>
        <name val="Times New Roman"/>
        <scheme val="none"/>
      </font>
      <numFmt numFmtId="2" formatCode="0.00"/>
    </ndxf>
  </rcc>
  <rcc rId="8975" sId="9" odxf="1" dxf="1">
    <nc r="S37">
      <f>S38</f>
    </nc>
    <odxf>
      <font>
        <b val="0"/>
        <sz val="14"/>
        <name val="Times New Roman"/>
        <scheme val="none"/>
      </font>
      <numFmt numFmtId="4" formatCode="#,##0.00"/>
      <border outline="0">
        <right/>
      </border>
      <protection hidden="1"/>
    </odxf>
    <ndxf>
      <font>
        <b/>
        <sz val="14"/>
        <name val="Times New Roman"/>
        <scheme val="none"/>
      </font>
      <numFmt numFmtId="2" formatCode="0.00"/>
      <border outline="0">
        <right style="thin">
          <color indexed="64"/>
        </right>
      </border>
      <protection hidden="0"/>
    </ndxf>
  </rcc>
  <rcc rId="8976" sId="9" odxf="1" dxf="1">
    <oc r="T37">
      <f>T38</f>
    </oc>
    <nc r="T37">
      <f>T38</f>
    </nc>
    <odxf>
      <font>
        <b val="0"/>
        <sz val="14"/>
        <name val="Times New Roman"/>
        <scheme val="none"/>
      </font>
      <numFmt numFmtId="4" formatCode="#,##0.00"/>
    </odxf>
    <ndxf>
      <font>
        <b/>
        <sz val="14"/>
        <name val="Times New Roman"/>
        <scheme val="none"/>
      </font>
      <numFmt numFmtId="2" formatCode="0.00"/>
    </ndxf>
  </rcc>
  <rfmt sheetId="9" sqref="U37" start="0" length="0">
    <dxf>
      <font>
        <b/>
        <sz val="14"/>
        <name val="Times New Roman"/>
        <scheme val="none"/>
      </font>
      <numFmt numFmtId="2" formatCode="0.00"/>
    </dxf>
  </rfmt>
  <rcc rId="8977" sId="9" odxf="1" dxf="1">
    <oc r="V37">
      <f>V38</f>
    </oc>
    <nc r="V37">
      <f>V38</f>
    </nc>
    <odxf>
      <font>
        <b val="0"/>
        <sz val="14"/>
        <name val="Times New Roman"/>
        <scheme val="none"/>
      </font>
      <numFmt numFmtId="4" formatCode="#,##0.00"/>
    </odxf>
    <ndxf>
      <font>
        <b/>
        <sz val="14"/>
        <name val="Times New Roman"/>
        <scheme val="none"/>
      </font>
      <numFmt numFmtId="2" formatCode="0.00"/>
    </ndxf>
  </rcc>
  <rfmt sheetId="9" sqref="W37" start="0" length="0">
    <dxf>
      <font>
        <b/>
        <sz val="14"/>
        <name val="Times New Roman"/>
        <scheme val="none"/>
      </font>
      <numFmt numFmtId="2" formatCode="0.00"/>
    </dxf>
  </rfmt>
  <rcc rId="8978" sId="9" odxf="1" dxf="1">
    <oc r="X37">
      <f>X38</f>
    </oc>
    <nc r="X37">
      <f>X38</f>
    </nc>
    <odxf>
      <font>
        <b val="0"/>
        <sz val="14"/>
        <name val="Times New Roman"/>
        <scheme val="none"/>
      </font>
      <numFmt numFmtId="4" formatCode="#,##0.00"/>
    </odxf>
    <ndxf>
      <font>
        <b/>
        <sz val="14"/>
        <name val="Times New Roman"/>
        <scheme val="none"/>
      </font>
      <numFmt numFmtId="2" formatCode="0.00"/>
    </ndxf>
  </rcc>
  <rfmt sheetId="9" sqref="Y37" start="0" length="0">
    <dxf>
      <font>
        <b/>
        <sz val="14"/>
        <name val="Times New Roman"/>
        <scheme val="none"/>
      </font>
      <numFmt numFmtId="2" formatCode="0.00"/>
    </dxf>
  </rfmt>
  <rcc rId="8979" sId="9" odxf="1" dxf="1">
    <oc r="Z37">
      <f>Z38</f>
    </oc>
    <nc r="Z37">
      <f>Z38</f>
    </nc>
    <odxf>
      <font>
        <b val="0"/>
        <sz val="14"/>
        <name val="Times New Roman"/>
        <scheme val="none"/>
      </font>
      <numFmt numFmtId="4" formatCode="#,##0.00"/>
    </odxf>
    <ndxf>
      <font>
        <b/>
        <sz val="14"/>
        <name val="Times New Roman"/>
        <scheme val="none"/>
      </font>
      <numFmt numFmtId="2" formatCode="0.00"/>
    </ndxf>
  </rcc>
  <rfmt sheetId="9" sqref="AA37" start="0" length="0">
    <dxf>
      <font>
        <b/>
        <sz val="14"/>
        <name val="Times New Roman"/>
        <scheme val="none"/>
      </font>
      <numFmt numFmtId="2" formatCode="0.00"/>
    </dxf>
  </rfmt>
  <rcc rId="8980" sId="9" odxf="1" dxf="1">
    <oc r="AB37">
      <f>AB38</f>
    </oc>
    <nc r="AB37">
      <f>AB38</f>
    </nc>
    <odxf>
      <font>
        <b val="0"/>
        <sz val="14"/>
        <name val="Times New Roman"/>
        <scheme val="none"/>
      </font>
      <numFmt numFmtId="4" formatCode="#,##0.00"/>
    </odxf>
    <ndxf>
      <font>
        <b/>
        <sz val="14"/>
        <name val="Times New Roman"/>
        <scheme val="none"/>
      </font>
      <numFmt numFmtId="2" formatCode="0.00"/>
    </ndxf>
  </rcc>
  <rfmt sheetId="9" sqref="AC37" start="0" length="0">
    <dxf>
      <font>
        <b/>
        <sz val="14"/>
        <name val="Times New Roman"/>
        <scheme val="none"/>
      </font>
      <numFmt numFmtId="2" formatCode="0.00"/>
    </dxf>
  </rfmt>
  <rcc rId="8981" sId="9" odxf="1" dxf="1">
    <oc r="AD37">
      <f>AD38</f>
    </oc>
    <nc r="AD37">
      <f>AD38</f>
    </nc>
    <odxf>
      <font>
        <b val="0"/>
        <sz val="14"/>
        <name val="Times New Roman"/>
        <scheme val="none"/>
      </font>
      <numFmt numFmtId="4" formatCode="#,##0.00"/>
    </odxf>
    <ndxf>
      <font>
        <b/>
        <sz val="14"/>
        <name val="Times New Roman"/>
        <scheme val="none"/>
      </font>
      <numFmt numFmtId="2" formatCode="0.00"/>
    </ndxf>
  </rcc>
  <rfmt sheetId="9" sqref="AE37" start="0" length="0">
    <dxf>
      <font>
        <b/>
        <sz val="14"/>
        <name val="Times New Roman"/>
        <scheme val="none"/>
      </font>
      <numFmt numFmtId="2" formatCode="0.00"/>
    </dxf>
  </rfmt>
  <rcc rId="8982" sId="9" odxf="1" dxf="1">
    <oc r="B38">
      <f>B39+B40+B41+B42</f>
    </oc>
    <nc r="B38">
      <f>B39+B40+B41+B42</f>
    </nc>
    <odxf>
      <numFmt numFmtId="4" formatCode="#,##0.00"/>
    </odxf>
    <ndxf>
      <numFmt numFmtId="2" formatCode="0.00"/>
    </ndxf>
  </rcc>
  <rcc rId="8983" sId="9" odxf="1" dxf="1">
    <oc r="C38">
      <f>C39+C40+C41+C42</f>
    </oc>
    <nc r="C38">
      <f>C39+C40+C41+C42</f>
    </nc>
    <odxf>
      <numFmt numFmtId="4" formatCode="#,##0.00"/>
    </odxf>
    <ndxf>
      <numFmt numFmtId="2" formatCode="0.00"/>
    </ndxf>
  </rcc>
  <rcc rId="8984" sId="9" odxf="1" dxf="1">
    <oc r="D38">
      <f>D39+D40+D41+D42</f>
    </oc>
    <nc r="D38">
      <f>E38</f>
    </nc>
    <odxf>
      <numFmt numFmtId="4" formatCode="#,##0.00"/>
    </odxf>
    <ndxf>
      <numFmt numFmtId="2" formatCode="0.00"/>
    </ndxf>
  </rcc>
  <rcc rId="8985" sId="9" odxf="1" dxf="1">
    <oc r="E38">
      <f>E39+E40+E41+E42</f>
    </oc>
    <nc r="E38">
      <f>E39+E40+E41+E42</f>
    </nc>
    <odxf>
      <numFmt numFmtId="4" formatCode="#,##0.00"/>
    </odxf>
    <ndxf>
      <numFmt numFmtId="2" formatCode="0.00"/>
    </ndxf>
  </rcc>
  <rcc rId="8986" sId="9" odxf="1" dxf="1" numFmtId="4">
    <oc r="F38">
      <v>0</v>
    </oc>
    <nc r="F38">
      <f>E38/B38*100</f>
    </nc>
    <odxf>
      <numFmt numFmtId="4" formatCode="#,##0.00"/>
      <fill>
        <patternFill patternType="none">
          <bgColor indexed="65"/>
        </patternFill>
      </fill>
    </odxf>
    <ndxf>
      <numFmt numFmtId="2" formatCode="0.00"/>
      <fill>
        <patternFill patternType="solid">
          <bgColor theme="9" tint="0.79998168889431442"/>
        </patternFill>
      </fill>
    </ndxf>
  </rcc>
  <rcc rId="8987" sId="9" odxf="1" dxf="1" numFmtId="4">
    <oc r="G38">
      <v>0</v>
    </oc>
    <nc r="G38">
      <f>E38/C38*100</f>
    </nc>
    <odxf>
      <numFmt numFmtId="4" formatCode="#,##0.00"/>
      <fill>
        <patternFill patternType="none">
          <bgColor indexed="65"/>
        </patternFill>
      </fill>
    </odxf>
    <ndxf>
      <numFmt numFmtId="2" formatCode="0.00"/>
      <fill>
        <patternFill patternType="solid">
          <bgColor theme="9" tint="0.79998168889431442"/>
        </patternFill>
      </fill>
    </ndxf>
  </rcc>
  <rcc rId="8988" sId="9" odxf="1" dxf="1">
    <oc r="H38">
      <f>H39+H40+H41+H42</f>
    </oc>
    <nc r="H38">
      <f>H39+H40+H41+H42</f>
    </nc>
    <odxf>
      <numFmt numFmtId="4" formatCode="#,##0.00"/>
    </odxf>
    <ndxf>
      <numFmt numFmtId="2" formatCode="0.00"/>
    </ndxf>
  </rcc>
  <rcc rId="8989" sId="9" odxf="1" dxf="1">
    <oc r="I38">
      <f>I39+I40+I41+I42</f>
    </oc>
    <nc r="I38">
      <f>I39+I40+I41+I42</f>
    </nc>
    <odxf>
      <numFmt numFmtId="4" formatCode="#,##0.00"/>
    </odxf>
    <ndxf>
      <numFmt numFmtId="2" formatCode="0.00"/>
    </ndxf>
  </rcc>
  <rcc rId="8990" sId="9" odxf="1" dxf="1">
    <oc r="J38">
      <f>J39+J40+J41+J42</f>
    </oc>
    <nc r="J38">
      <f>J39+J40+J41+J42</f>
    </nc>
    <odxf>
      <numFmt numFmtId="4" formatCode="#,##0.00"/>
    </odxf>
    <ndxf>
      <numFmt numFmtId="2" formatCode="0.00"/>
    </ndxf>
  </rcc>
  <rcc rId="8991" sId="9" odxf="1" dxf="1">
    <oc r="K38">
      <f>K39+K40+K41+K42</f>
    </oc>
    <nc r="K38">
      <f>K39+K40+K41+K42</f>
    </nc>
    <odxf>
      <numFmt numFmtId="4" formatCode="#,##0.00"/>
    </odxf>
    <ndxf>
      <numFmt numFmtId="2" formatCode="0.00"/>
    </ndxf>
  </rcc>
  <rcc rId="8992" sId="9" odxf="1" dxf="1">
    <oc r="L38">
      <f>L39+L40+L41+L42</f>
    </oc>
    <nc r="L38">
      <f>L39+L40+L41+L42</f>
    </nc>
    <odxf>
      <numFmt numFmtId="4" formatCode="#,##0.00"/>
    </odxf>
    <ndxf>
      <numFmt numFmtId="2" formatCode="0.00"/>
    </ndxf>
  </rcc>
  <rcc rId="8993" sId="9" odxf="1" dxf="1">
    <nc r="M38">
      <f>M39+M40+M41+M42</f>
    </nc>
    <odxf>
      <numFmt numFmtId="4" formatCode="#,##0.00"/>
    </odxf>
    <ndxf>
      <numFmt numFmtId="2" formatCode="0.00"/>
    </ndxf>
  </rcc>
  <rcc rId="8994" sId="9" odxf="1" dxf="1">
    <oc r="N38">
      <f>N39+N40+N41+N42</f>
    </oc>
    <nc r="N38">
      <f>N39+N40+N41+N42</f>
    </nc>
    <odxf>
      <numFmt numFmtId="4" formatCode="#,##0.00"/>
    </odxf>
    <ndxf>
      <numFmt numFmtId="2" formatCode="0.00"/>
    </ndxf>
  </rcc>
  <rcc rId="8995" sId="9" odxf="1" dxf="1">
    <nc r="O38">
      <f>O39+O40+O41+O42</f>
    </nc>
    <odxf>
      <numFmt numFmtId="4" formatCode="#,##0.00"/>
    </odxf>
    <ndxf>
      <numFmt numFmtId="2" formatCode="0.00"/>
    </ndxf>
  </rcc>
  <rcc rId="8996" sId="9" odxf="1" dxf="1">
    <oc r="P38">
      <f>P39+P40+P41+P42</f>
    </oc>
    <nc r="P38">
      <f>P39+P40+P41+P42</f>
    </nc>
    <odxf>
      <numFmt numFmtId="4" formatCode="#,##0.00"/>
    </odxf>
    <ndxf>
      <numFmt numFmtId="2" formatCode="0.00"/>
    </ndxf>
  </rcc>
  <rcc rId="8997" sId="9" odxf="1" dxf="1">
    <nc r="Q38">
      <f>Q39+Q40+Q41+Q42</f>
    </nc>
    <odxf>
      <numFmt numFmtId="4" formatCode="#,##0.00"/>
    </odxf>
    <ndxf>
      <numFmt numFmtId="2" formatCode="0.00"/>
    </ndxf>
  </rcc>
  <rcc rId="8998" sId="9" odxf="1" dxf="1">
    <oc r="R38">
      <f>R39+R40+R41+R42</f>
    </oc>
    <nc r="R38">
      <f>R39+R40+R41+R42</f>
    </nc>
    <odxf>
      <numFmt numFmtId="4" formatCode="#,##0.00"/>
    </odxf>
    <ndxf>
      <numFmt numFmtId="2" formatCode="0.00"/>
    </ndxf>
  </rcc>
  <rcc rId="8999" sId="9" odxf="1" dxf="1">
    <nc r="S38">
      <f>S39+S40+S41+S42</f>
    </nc>
    <odxf>
      <numFmt numFmtId="4" formatCode="#,##0.00"/>
    </odxf>
    <ndxf>
      <numFmt numFmtId="2" formatCode="0.00"/>
    </ndxf>
  </rcc>
  <rcc rId="9000" sId="9" odxf="1" dxf="1">
    <oc r="T38">
      <f>T39+T40+T41+T42</f>
    </oc>
    <nc r="T38">
      <f>T39+T40+T41+T42</f>
    </nc>
    <odxf>
      <numFmt numFmtId="4" formatCode="#,##0.00"/>
    </odxf>
    <ndxf>
      <numFmt numFmtId="2" formatCode="0.00"/>
    </ndxf>
  </rcc>
  <rfmt sheetId="9" sqref="U38" start="0" length="0">
    <dxf>
      <numFmt numFmtId="2" formatCode="0.00"/>
    </dxf>
  </rfmt>
  <rcc rId="9001" sId="9" odxf="1" dxf="1">
    <oc r="V38">
      <f>V39+V40+V41+V42</f>
    </oc>
    <nc r="V38">
      <f>V39+V40+V41+V42</f>
    </nc>
    <odxf>
      <numFmt numFmtId="4" formatCode="#,##0.00"/>
    </odxf>
    <ndxf>
      <numFmt numFmtId="2" formatCode="0.00"/>
    </ndxf>
  </rcc>
  <rfmt sheetId="9" sqref="W38" start="0" length="0">
    <dxf>
      <numFmt numFmtId="2" formatCode="0.00"/>
    </dxf>
  </rfmt>
  <rcc rId="9002" sId="9" odxf="1" dxf="1">
    <oc r="X38">
      <f>X39+X40+X41+X42</f>
    </oc>
    <nc r="X38">
      <f>X39+X40+X41+X42</f>
    </nc>
    <odxf>
      <numFmt numFmtId="4" formatCode="#,##0.00"/>
    </odxf>
    <ndxf>
      <numFmt numFmtId="2" formatCode="0.00"/>
    </ndxf>
  </rcc>
  <rfmt sheetId="9" sqref="Y38" start="0" length="0">
    <dxf>
      <numFmt numFmtId="2" formatCode="0.00"/>
    </dxf>
  </rfmt>
  <rcc rId="9003" sId="9" odxf="1" dxf="1">
    <oc r="Z38">
      <f>Z39+Z40+Z41+Z42</f>
    </oc>
    <nc r="Z38">
      <f>Z39+Z40+Z41+Z42</f>
    </nc>
    <odxf>
      <numFmt numFmtId="4" formatCode="#,##0.00"/>
    </odxf>
    <ndxf>
      <numFmt numFmtId="2" formatCode="0.00"/>
    </ndxf>
  </rcc>
  <rfmt sheetId="9" sqref="AA38" start="0" length="0">
    <dxf>
      <numFmt numFmtId="2" formatCode="0.00"/>
    </dxf>
  </rfmt>
  <rcc rId="9004" sId="9" odxf="1" dxf="1">
    <oc r="AB38">
      <f>AB39+AB40+AB41+AB42</f>
    </oc>
    <nc r="AB38">
      <f>AB39+AB40+AB41+AB42</f>
    </nc>
    <odxf>
      <numFmt numFmtId="4" formatCode="#,##0.00"/>
    </odxf>
    <ndxf>
      <numFmt numFmtId="2" formatCode="0.00"/>
    </ndxf>
  </rcc>
  <rfmt sheetId="9" sqref="AC38" start="0" length="0">
    <dxf>
      <numFmt numFmtId="2" formatCode="0.00"/>
    </dxf>
  </rfmt>
  <rcc rId="9005" sId="9" odxf="1" dxf="1">
    <oc r="AD38">
      <f>AD39+AD40+AD41+AD42</f>
    </oc>
    <nc r="AD38">
      <f>AD39+AD40+AD41+AD42</f>
    </nc>
    <odxf>
      <numFmt numFmtId="4" formatCode="#,##0.00"/>
    </odxf>
    <ndxf>
      <numFmt numFmtId="2" formatCode="0.00"/>
    </ndxf>
  </rcc>
  <rfmt sheetId="9" sqref="AE38" start="0" length="0">
    <dxf>
      <numFmt numFmtId="2" formatCode="0.00"/>
    </dxf>
  </rfmt>
  <rcc rId="9006" sId="9" odxf="1" dxf="1">
    <oc r="B39">
      <f>H39+J39+L39+N39+P39+R39+T39+V39+X39+Z39+AB39+AD39</f>
    </oc>
    <nc r="B39">
      <f>H39+J39+L39+N39+P39+R39+T39+V39+X39+Z39+AB39+AD39</f>
    </nc>
    <odxf>
      <font>
        <b val="0"/>
        <sz val="14"/>
        <name val="Times New Roman"/>
        <scheme val="none"/>
      </font>
      <numFmt numFmtId="4" formatCode="#,##0.00"/>
    </odxf>
    <ndxf>
      <font>
        <b/>
        <sz val="14"/>
        <name val="Times New Roman"/>
        <scheme val="none"/>
      </font>
      <numFmt numFmtId="2" formatCode="0.00"/>
    </ndxf>
  </rcc>
  <rcc rId="9007" sId="9" odxf="1" dxf="1">
    <oc r="C39">
      <f>H39+J39</f>
    </oc>
    <nc r="C39">
      <f>H39</f>
    </nc>
    <odxf>
      <font>
        <b val="0"/>
        <sz val="14"/>
        <name val="Times New Roman"/>
        <scheme val="none"/>
      </font>
      <numFmt numFmtId="4" formatCode="#,##0.00"/>
    </odxf>
    <ndxf>
      <font>
        <b/>
        <sz val="14"/>
        <name val="Times New Roman"/>
        <scheme val="none"/>
      </font>
      <numFmt numFmtId="2" formatCode="0.00"/>
    </ndxf>
  </rcc>
  <rcc rId="9008" sId="9" odxf="1" dxf="1">
    <oc r="D39">
      <f>E39</f>
    </oc>
    <nc r="D39">
      <f>E39</f>
    </nc>
    <odxf>
      <font>
        <b val="0"/>
        <sz val="14"/>
        <name val="Times New Roman"/>
        <scheme val="none"/>
      </font>
      <numFmt numFmtId="4" formatCode="#,##0.00"/>
    </odxf>
    <ndxf>
      <font>
        <b/>
        <sz val="14"/>
        <name val="Times New Roman"/>
        <scheme val="none"/>
      </font>
      <numFmt numFmtId="2" formatCode="0.00"/>
    </ndxf>
  </rcc>
  <rfmt sheetId="9" sqref="E39" start="0" length="0">
    <dxf>
      <font>
        <b/>
        <sz val="14"/>
        <name val="Times New Roman"/>
        <scheme val="none"/>
      </font>
      <numFmt numFmtId="2" formatCode="0.00"/>
    </dxf>
  </rfmt>
  <rfmt sheetId="9" sqref="F39" start="0" length="0">
    <dxf>
      <font>
        <b/>
        <sz val="14"/>
        <name val="Times New Roman"/>
        <scheme val="none"/>
      </font>
      <numFmt numFmtId="2" formatCode="0.00"/>
      <fill>
        <patternFill patternType="solid">
          <bgColor theme="9" tint="0.79998168889431442"/>
        </patternFill>
      </fill>
    </dxf>
  </rfmt>
  <rfmt sheetId="9" sqref="G39" start="0" length="0">
    <dxf>
      <font>
        <b/>
        <sz val="14"/>
        <name val="Times New Roman"/>
        <scheme val="none"/>
      </font>
      <numFmt numFmtId="2" formatCode="0.00"/>
      <fill>
        <patternFill patternType="solid">
          <bgColor theme="9" tint="0.79998168889431442"/>
        </patternFill>
      </fill>
    </dxf>
  </rfmt>
  <rfmt sheetId="9" sqref="H39" start="0" length="0">
    <dxf>
      <font>
        <b/>
        <sz val="14"/>
        <name val="Times New Roman"/>
        <scheme val="none"/>
      </font>
      <numFmt numFmtId="2" formatCode="0.00"/>
    </dxf>
  </rfmt>
  <rfmt sheetId="9" sqref="I39" start="0" length="0">
    <dxf>
      <font>
        <b/>
        <sz val="14"/>
        <name val="Times New Roman"/>
        <scheme val="none"/>
      </font>
      <numFmt numFmtId="2" formatCode="0.00"/>
    </dxf>
  </rfmt>
  <rfmt sheetId="9" sqref="J39" start="0" length="0">
    <dxf>
      <font>
        <b/>
        <sz val="14"/>
        <name val="Times New Roman"/>
        <scheme val="none"/>
      </font>
      <numFmt numFmtId="2" formatCode="0.00"/>
    </dxf>
  </rfmt>
  <rfmt sheetId="9" sqref="K39" start="0" length="0">
    <dxf>
      <font>
        <b/>
        <sz val="14"/>
        <name val="Times New Roman"/>
        <scheme val="none"/>
      </font>
      <numFmt numFmtId="2" formatCode="0.00"/>
    </dxf>
  </rfmt>
  <rcc rId="9009" sId="9" odxf="1" dxf="1" numFmtId="4">
    <nc r="L39">
      <v>0</v>
    </nc>
    <odxf>
      <font>
        <b val="0"/>
        <sz val="14"/>
        <name val="Times New Roman"/>
        <scheme val="none"/>
      </font>
      <numFmt numFmtId="4" formatCode="#,##0.00"/>
    </odxf>
    <ndxf>
      <font>
        <b/>
        <sz val="14"/>
        <name val="Times New Roman"/>
        <scheme val="none"/>
      </font>
      <numFmt numFmtId="2" formatCode="0.00"/>
    </ndxf>
  </rcc>
  <rcc rId="9010" sId="9" odxf="1" dxf="1" numFmtId="4">
    <nc r="M39">
      <v>0</v>
    </nc>
    <odxf>
      <font>
        <b val="0"/>
        <sz val="14"/>
        <name val="Times New Roman"/>
        <scheme val="none"/>
      </font>
      <numFmt numFmtId="4" formatCode="#,##0.00"/>
    </odxf>
    <ndxf>
      <font>
        <b/>
        <sz val="14"/>
        <name val="Times New Roman"/>
        <scheme val="none"/>
      </font>
      <numFmt numFmtId="2" formatCode="0.00"/>
    </ndxf>
  </rcc>
  <rcc rId="9011" sId="9" odxf="1" dxf="1" numFmtId="4">
    <nc r="N39">
      <v>0</v>
    </nc>
    <odxf>
      <font>
        <b val="0"/>
        <sz val="14"/>
        <name val="Times New Roman"/>
        <scheme val="none"/>
      </font>
      <numFmt numFmtId="4" formatCode="#,##0.00"/>
    </odxf>
    <ndxf>
      <font>
        <b/>
        <sz val="14"/>
        <name val="Times New Roman"/>
        <scheme val="none"/>
      </font>
      <numFmt numFmtId="2" formatCode="0.00"/>
    </ndxf>
  </rcc>
  <rcc rId="9012" sId="9" odxf="1" dxf="1" numFmtId="4">
    <nc r="O39">
      <v>0</v>
    </nc>
    <odxf>
      <font>
        <b val="0"/>
        <sz val="14"/>
        <name val="Times New Roman"/>
        <scheme val="none"/>
      </font>
      <numFmt numFmtId="4" formatCode="#,##0.00"/>
    </odxf>
    <ndxf>
      <font>
        <b/>
        <sz val="14"/>
        <name val="Times New Roman"/>
        <scheme val="none"/>
      </font>
      <numFmt numFmtId="2" formatCode="0.00"/>
    </ndxf>
  </rcc>
  <rcc rId="9013" sId="9" odxf="1" dxf="1" numFmtId="4">
    <nc r="P39">
      <v>0</v>
    </nc>
    <odxf>
      <font>
        <b val="0"/>
        <sz val="14"/>
        <name val="Times New Roman"/>
        <scheme val="none"/>
      </font>
      <numFmt numFmtId="4" formatCode="#,##0.00"/>
    </odxf>
    <ndxf>
      <font>
        <b/>
        <sz val="14"/>
        <name val="Times New Roman"/>
        <scheme val="none"/>
      </font>
      <numFmt numFmtId="2" formatCode="0.00"/>
    </ndxf>
  </rcc>
  <rcc rId="9014" sId="9" odxf="1" dxf="1" numFmtId="4">
    <nc r="Q39">
      <v>0</v>
    </nc>
    <odxf>
      <font>
        <b val="0"/>
        <sz val="14"/>
        <name val="Times New Roman"/>
        <scheme val="none"/>
      </font>
      <numFmt numFmtId="4" formatCode="#,##0.00"/>
    </odxf>
    <ndxf>
      <font>
        <b/>
        <sz val="14"/>
        <name val="Times New Roman"/>
        <scheme val="none"/>
      </font>
      <numFmt numFmtId="2" formatCode="0.00"/>
    </ndxf>
  </rcc>
  <rcc rId="9015" sId="9" odxf="1" dxf="1" numFmtId="4">
    <nc r="R39">
      <v>0</v>
    </nc>
    <odxf>
      <font>
        <b val="0"/>
        <sz val="14"/>
        <name val="Times New Roman"/>
        <scheme val="none"/>
      </font>
      <numFmt numFmtId="4" formatCode="#,##0.00"/>
    </odxf>
    <ndxf>
      <font>
        <b/>
        <sz val="14"/>
        <name val="Times New Roman"/>
        <scheme val="none"/>
      </font>
      <numFmt numFmtId="2" formatCode="0.00"/>
    </ndxf>
  </rcc>
  <rcc rId="9016" sId="9" odxf="1" dxf="1" numFmtId="4">
    <nc r="S39">
      <v>0</v>
    </nc>
    <odxf>
      <font>
        <b val="0"/>
        <sz val="14"/>
        <name val="Times New Roman"/>
        <scheme val="none"/>
      </font>
      <numFmt numFmtId="4" formatCode="#,##0.00"/>
    </odxf>
    <ndxf>
      <font>
        <b/>
        <sz val="14"/>
        <name val="Times New Roman"/>
        <scheme val="none"/>
      </font>
      <numFmt numFmtId="2" formatCode="0.00"/>
    </ndxf>
  </rcc>
  <rcc rId="9017" sId="9" odxf="1" dxf="1" numFmtId="4">
    <nc r="T39">
      <v>0</v>
    </nc>
    <odxf>
      <font>
        <b val="0"/>
        <sz val="14"/>
        <name val="Times New Roman"/>
        <scheme val="none"/>
      </font>
      <numFmt numFmtId="4" formatCode="#,##0.00"/>
    </odxf>
    <ndxf>
      <font>
        <b/>
        <sz val="14"/>
        <name val="Times New Roman"/>
        <scheme val="none"/>
      </font>
      <numFmt numFmtId="2" formatCode="0.00"/>
    </ndxf>
  </rcc>
  <rfmt sheetId="9" sqref="U39" start="0" length="0">
    <dxf>
      <font>
        <b/>
        <sz val="14"/>
        <name val="Times New Roman"/>
        <scheme val="none"/>
      </font>
      <numFmt numFmtId="2" formatCode="0.00"/>
    </dxf>
  </rfmt>
  <rcc rId="9018" sId="9" odxf="1" dxf="1" numFmtId="4">
    <nc r="V39">
      <v>0</v>
    </nc>
    <odxf>
      <font>
        <b val="0"/>
        <sz val="14"/>
        <name val="Times New Roman"/>
        <scheme val="none"/>
      </font>
      <numFmt numFmtId="4" formatCode="#,##0.00"/>
    </odxf>
    <ndxf>
      <font>
        <b/>
        <sz val="14"/>
        <name val="Times New Roman"/>
        <scheme val="none"/>
      </font>
      <numFmt numFmtId="2" formatCode="0.00"/>
    </ndxf>
  </rcc>
  <rfmt sheetId="9" sqref="W39" start="0" length="0">
    <dxf>
      <font>
        <b/>
        <sz val="14"/>
        <name val="Times New Roman"/>
        <scheme val="none"/>
      </font>
      <numFmt numFmtId="2" formatCode="0.00"/>
    </dxf>
  </rfmt>
  <rcc rId="9019" sId="9" odxf="1" dxf="1" numFmtId="4">
    <nc r="X39">
      <v>0</v>
    </nc>
    <odxf>
      <font>
        <b val="0"/>
        <sz val="14"/>
        <name val="Times New Roman"/>
        <scheme val="none"/>
      </font>
      <numFmt numFmtId="4" formatCode="#,##0.00"/>
    </odxf>
    <ndxf>
      <font>
        <b/>
        <sz val="14"/>
        <name val="Times New Roman"/>
        <scheme val="none"/>
      </font>
      <numFmt numFmtId="2" formatCode="0.00"/>
    </ndxf>
  </rcc>
  <rfmt sheetId="9" sqref="Y39" start="0" length="0">
    <dxf>
      <font>
        <b/>
        <sz val="14"/>
        <name val="Times New Roman"/>
        <scheme val="none"/>
      </font>
      <numFmt numFmtId="2" formatCode="0.00"/>
    </dxf>
  </rfmt>
  <rcc rId="9020" sId="9" odxf="1" dxf="1" numFmtId="4">
    <nc r="Z39">
      <v>0</v>
    </nc>
    <odxf>
      <font>
        <b val="0"/>
        <sz val="14"/>
        <name val="Times New Roman"/>
        <scheme val="none"/>
      </font>
      <numFmt numFmtId="4" formatCode="#,##0.00"/>
    </odxf>
    <ndxf>
      <font>
        <b/>
        <sz val="14"/>
        <name val="Times New Roman"/>
        <scheme val="none"/>
      </font>
      <numFmt numFmtId="2" formatCode="0.00"/>
    </ndxf>
  </rcc>
  <rfmt sheetId="9" sqref="AA39" start="0" length="0">
    <dxf>
      <font>
        <b/>
        <sz val="14"/>
        <name val="Times New Roman"/>
        <scheme val="none"/>
      </font>
      <numFmt numFmtId="2" formatCode="0.00"/>
    </dxf>
  </rfmt>
  <rcc rId="9021" sId="9" odxf="1" dxf="1" numFmtId="4">
    <nc r="AB39">
      <v>0</v>
    </nc>
    <odxf>
      <font>
        <b val="0"/>
        <sz val="14"/>
        <name val="Times New Roman"/>
        <scheme val="none"/>
      </font>
      <numFmt numFmtId="4" formatCode="#,##0.00"/>
    </odxf>
    <ndxf>
      <font>
        <b/>
        <sz val="14"/>
        <name val="Times New Roman"/>
        <scheme val="none"/>
      </font>
      <numFmt numFmtId="2" formatCode="0.00"/>
    </ndxf>
  </rcc>
  <rfmt sheetId="9" sqref="AC39" start="0" length="0">
    <dxf>
      <font>
        <b/>
        <sz val="14"/>
        <name val="Times New Roman"/>
        <scheme val="none"/>
      </font>
      <numFmt numFmtId="2" formatCode="0.00"/>
    </dxf>
  </rfmt>
  <rcc rId="9022" sId="9" odxf="1" dxf="1" numFmtId="4">
    <nc r="AD39">
      <v>0</v>
    </nc>
    <odxf>
      <font>
        <b val="0"/>
        <sz val="14"/>
        <name val="Times New Roman"/>
        <scheme val="none"/>
      </font>
      <numFmt numFmtId="4" formatCode="#,##0.00"/>
    </odxf>
    <ndxf>
      <font>
        <b/>
        <sz val="14"/>
        <name val="Times New Roman"/>
        <scheme val="none"/>
      </font>
      <numFmt numFmtId="2" formatCode="0.00"/>
    </ndxf>
  </rcc>
  <rfmt sheetId="9" sqref="AE39" start="0" length="0">
    <dxf>
      <font>
        <b/>
        <sz val="14"/>
        <name val="Times New Roman"/>
        <scheme val="none"/>
      </font>
      <numFmt numFmtId="2" formatCode="0.00"/>
    </dxf>
  </rfmt>
  <rcc rId="9023" sId="9" odxf="1" dxf="1">
    <oc r="B40">
      <f>H40+J40+L40+N40+P40+R40+T40+V40+X40+Z40+AB40+AD40</f>
    </oc>
    <nc r="B40">
      <f>H40+J40+L40+N40+P40+R40+T40+V40+X40+Z40+AB40+AD40</f>
    </nc>
    <odxf>
      <font>
        <b val="0"/>
        <sz val="14"/>
        <name val="Times New Roman"/>
        <scheme val="none"/>
      </font>
      <numFmt numFmtId="4" formatCode="#,##0.00"/>
    </odxf>
    <ndxf>
      <font>
        <b/>
        <sz val="14"/>
        <name val="Times New Roman"/>
        <scheme val="none"/>
      </font>
      <numFmt numFmtId="2" formatCode="0.00"/>
    </ndxf>
  </rcc>
  <rcc rId="9024" sId="9" odxf="1" dxf="1">
    <oc r="C40">
      <f>H40+J40</f>
    </oc>
    <nc r="C40">
      <f>H40</f>
    </nc>
    <odxf>
      <font>
        <b val="0"/>
        <sz val="14"/>
        <name val="Times New Roman"/>
        <scheme val="none"/>
      </font>
      <numFmt numFmtId="4" formatCode="#,##0.00"/>
    </odxf>
    <ndxf>
      <font>
        <b/>
        <sz val="14"/>
        <name val="Times New Roman"/>
        <scheme val="none"/>
      </font>
      <numFmt numFmtId="2" formatCode="0.00"/>
    </ndxf>
  </rcc>
  <rcc rId="9025" sId="9" odxf="1" dxf="1">
    <oc r="D40">
      <f>E40</f>
    </oc>
    <nc r="D40">
      <f>E40</f>
    </nc>
    <odxf>
      <font>
        <b val="0"/>
        <sz val="14"/>
        <name val="Times New Roman"/>
        <scheme val="none"/>
      </font>
      <numFmt numFmtId="4" formatCode="#,##0.00"/>
    </odxf>
    <ndxf>
      <font>
        <b/>
        <sz val="14"/>
        <name val="Times New Roman"/>
        <scheme val="none"/>
      </font>
      <numFmt numFmtId="2" formatCode="0.00"/>
    </ndxf>
  </rcc>
  <rfmt sheetId="9" sqref="E40" start="0" length="0">
    <dxf>
      <font>
        <b/>
        <sz val="14"/>
        <name val="Times New Roman"/>
        <scheme val="none"/>
      </font>
      <numFmt numFmtId="2" formatCode="0.00"/>
    </dxf>
  </rfmt>
  <rfmt sheetId="9" sqref="F40" start="0" length="0">
    <dxf>
      <font>
        <b/>
        <sz val="14"/>
        <name val="Times New Roman"/>
        <scheme val="none"/>
      </font>
      <numFmt numFmtId="2" formatCode="0.00"/>
      <fill>
        <patternFill patternType="solid">
          <bgColor theme="9" tint="0.79998168889431442"/>
        </patternFill>
      </fill>
    </dxf>
  </rfmt>
  <rfmt sheetId="9" sqref="G40" start="0" length="0">
    <dxf>
      <font>
        <b/>
        <sz val="14"/>
        <name val="Times New Roman"/>
        <scheme val="none"/>
      </font>
      <numFmt numFmtId="2" formatCode="0.00"/>
      <fill>
        <patternFill patternType="solid">
          <bgColor theme="9" tint="0.79998168889431442"/>
        </patternFill>
      </fill>
    </dxf>
  </rfmt>
  <rfmt sheetId="9" sqref="H40" start="0" length="0">
    <dxf>
      <font>
        <b/>
        <sz val="14"/>
        <name val="Times New Roman"/>
        <scheme val="none"/>
      </font>
      <numFmt numFmtId="2" formatCode="0.00"/>
    </dxf>
  </rfmt>
  <rfmt sheetId="9" sqref="I40" start="0" length="0">
    <dxf>
      <font>
        <b/>
        <sz val="14"/>
        <name val="Times New Roman"/>
        <scheme val="none"/>
      </font>
      <numFmt numFmtId="2" formatCode="0.00"/>
    </dxf>
  </rfmt>
  <rfmt sheetId="9" sqref="J40" start="0" length="0">
    <dxf>
      <font>
        <b/>
        <sz val="14"/>
        <name val="Times New Roman"/>
        <scheme val="none"/>
      </font>
      <numFmt numFmtId="2" formatCode="0.00"/>
    </dxf>
  </rfmt>
  <rfmt sheetId="9" sqref="K40" start="0" length="0">
    <dxf>
      <font>
        <b/>
        <sz val="14"/>
        <name val="Times New Roman"/>
        <scheme val="none"/>
      </font>
      <numFmt numFmtId="2" formatCode="0.00"/>
    </dxf>
  </rfmt>
  <rcc rId="9026" sId="9" odxf="1" dxf="1" numFmtId="4">
    <nc r="L40">
      <v>0</v>
    </nc>
    <odxf>
      <font>
        <b val="0"/>
        <sz val="14"/>
        <name val="Times New Roman"/>
        <scheme val="none"/>
      </font>
      <numFmt numFmtId="4" formatCode="#,##0.00"/>
    </odxf>
    <ndxf>
      <font>
        <b/>
        <sz val="14"/>
        <name val="Times New Roman"/>
        <scheme val="none"/>
      </font>
      <numFmt numFmtId="2" formatCode="0.00"/>
    </ndxf>
  </rcc>
  <rcc rId="9027" sId="9" odxf="1" dxf="1" numFmtId="4">
    <nc r="M40">
      <v>0</v>
    </nc>
    <odxf>
      <font>
        <b val="0"/>
        <sz val="14"/>
        <name val="Times New Roman"/>
        <scheme val="none"/>
      </font>
      <numFmt numFmtId="4" formatCode="#,##0.00"/>
    </odxf>
    <ndxf>
      <font>
        <b/>
        <sz val="14"/>
        <name val="Times New Roman"/>
        <scheme val="none"/>
      </font>
      <numFmt numFmtId="2" formatCode="0.00"/>
    </ndxf>
  </rcc>
  <rcc rId="9028" sId="9" odxf="1" dxf="1" numFmtId="4">
    <nc r="N40">
      <v>0</v>
    </nc>
    <odxf>
      <font>
        <b val="0"/>
        <sz val="14"/>
        <name val="Times New Roman"/>
        <scheme val="none"/>
      </font>
      <numFmt numFmtId="4" formatCode="#,##0.00"/>
    </odxf>
    <ndxf>
      <font>
        <b/>
        <sz val="14"/>
        <name val="Times New Roman"/>
        <scheme val="none"/>
      </font>
      <numFmt numFmtId="2" formatCode="0.00"/>
    </ndxf>
  </rcc>
  <rcc rId="9029" sId="9" odxf="1" dxf="1" numFmtId="4">
    <nc r="O40">
      <v>0</v>
    </nc>
    <odxf>
      <font>
        <b val="0"/>
        <sz val="14"/>
        <name val="Times New Roman"/>
        <scheme val="none"/>
      </font>
      <numFmt numFmtId="4" formatCode="#,##0.00"/>
    </odxf>
    <ndxf>
      <font>
        <b/>
        <sz val="14"/>
        <name val="Times New Roman"/>
        <scheme val="none"/>
      </font>
      <numFmt numFmtId="2" formatCode="0.00"/>
    </ndxf>
  </rcc>
  <rcc rId="9030" sId="9" odxf="1" dxf="1" numFmtId="4">
    <nc r="P40">
      <v>0</v>
    </nc>
    <odxf>
      <font>
        <b val="0"/>
        <sz val="14"/>
        <name val="Times New Roman"/>
        <scheme val="none"/>
      </font>
      <numFmt numFmtId="4" formatCode="#,##0.00"/>
    </odxf>
    <ndxf>
      <font>
        <b/>
        <sz val="14"/>
        <name val="Times New Roman"/>
        <scheme val="none"/>
      </font>
      <numFmt numFmtId="2" formatCode="0.00"/>
    </ndxf>
  </rcc>
  <rcc rId="9031" sId="9" odxf="1" dxf="1" numFmtId="4">
    <nc r="Q40">
      <v>0</v>
    </nc>
    <odxf>
      <font>
        <b val="0"/>
        <sz val="14"/>
        <name val="Times New Roman"/>
        <scheme val="none"/>
      </font>
      <numFmt numFmtId="4" formatCode="#,##0.00"/>
    </odxf>
    <ndxf>
      <font>
        <b/>
        <sz val="14"/>
        <name val="Times New Roman"/>
        <scheme val="none"/>
      </font>
      <numFmt numFmtId="2" formatCode="0.00"/>
    </ndxf>
  </rcc>
  <rcc rId="9032" sId="9" odxf="1" dxf="1" numFmtId="4">
    <nc r="R40">
      <v>0</v>
    </nc>
    <odxf>
      <font>
        <b val="0"/>
        <sz val="14"/>
        <name val="Times New Roman"/>
        <scheme val="none"/>
      </font>
      <numFmt numFmtId="4" formatCode="#,##0.00"/>
    </odxf>
    <ndxf>
      <font>
        <b/>
        <sz val="14"/>
        <name val="Times New Roman"/>
        <scheme val="none"/>
      </font>
      <numFmt numFmtId="2" formatCode="0.00"/>
    </ndxf>
  </rcc>
  <rcc rId="9033" sId="9" odxf="1" dxf="1" numFmtId="4">
    <nc r="S40">
      <v>0</v>
    </nc>
    <odxf>
      <font>
        <b val="0"/>
        <sz val="14"/>
        <name val="Times New Roman"/>
        <scheme val="none"/>
      </font>
      <numFmt numFmtId="4" formatCode="#,##0.00"/>
    </odxf>
    <ndxf>
      <font>
        <b/>
        <sz val="14"/>
        <name val="Times New Roman"/>
        <scheme val="none"/>
      </font>
      <numFmt numFmtId="2" formatCode="0.00"/>
    </ndxf>
  </rcc>
  <rcc rId="9034" sId="9" odxf="1" dxf="1" numFmtId="4">
    <nc r="T40">
      <v>0</v>
    </nc>
    <odxf>
      <font>
        <b val="0"/>
        <sz val="14"/>
        <name val="Times New Roman"/>
        <scheme val="none"/>
      </font>
      <numFmt numFmtId="4" formatCode="#,##0.00"/>
    </odxf>
    <ndxf>
      <font>
        <b/>
        <sz val="14"/>
        <name val="Times New Roman"/>
        <scheme val="none"/>
      </font>
      <numFmt numFmtId="2" formatCode="0.00"/>
    </ndxf>
  </rcc>
  <rfmt sheetId="9" sqref="U40" start="0" length="0">
    <dxf>
      <font>
        <b/>
        <sz val="14"/>
        <name val="Times New Roman"/>
        <scheme val="none"/>
      </font>
      <numFmt numFmtId="2" formatCode="0.00"/>
    </dxf>
  </rfmt>
  <rcc rId="9035" sId="9" odxf="1" dxf="1" numFmtId="4">
    <nc r="V40">
      <v>0</v>
    </nc>
    <odxf>
      <font>
        <b val="0"/>
        <sz val="14"/>
        <name val="Times New Roman"/>
        <scheme val="none"/>
      </font>
      <numFmt numFmtId="4" formatCode="#,##0.00"/>
    </odxf>
    <ndxf>
      <font>
        <b/>
        <sz val="14"/>
        <name val="Times New Roman"/>
        <scheme val="none"/>
      </font>
      <numFmt numFmtId="2" formatCode="0.00"/>
    </ndxf>
  </rcc>
  <rfmt sheetId="9" sqref="W40" start="0" length="0">
    <dxf>
      <font>
        <b/>
        <sz val="14"/>
        <name val="Times New Roman"/>
        <scheme val="none"/>
      </font>
      <numFmt numFmtId="2" formatCode="0.00"/>
    </dxf>
  </rfmt>
  <rcc rId="9036" sId="9" odxf="1" dxf="1" numFmtId="4">
    <nc r="X40">
      <v>0</v>
    </nc>
    <odxf>
      <font>
        <b val="0"/>
        <sz val="14"/>
        <name val="Times New Roman"/>
        <scheme val="none"/>
      </font>
      <numFmt numFmtId="4" formatCode="#,##0.00"/>
    </odxf>
    <ndxf>
      <font>
        <b/>
        <sz val="14"/>
        <name val="Times New Roman"/>
        <scheme val="none"/>
      </font>
      <numFmt numFmtId="2" formatCode="0.00"/>
    </ndxf>
  </rcc>
  <rfmt sheetId="9" sqref="Y40" start="0" length="0">
    <dxf>
      <font>
        <b/>
        <sz val="14"/>
        <name val="Times New Roman"/>
        <scheme val="none"/>
      </font>
      <numFmt numFmtId="2" formatCode="0.00"/>
    </dxf>
  </rfmt>
  <rcc rId="9037" sId="9" odxf="1" dxf="1" numFmtId="4">
    <nc r="Z40">
      <v>0</v>
    </nc>
    <odxf>
      <font>
        <b val="0"/>
        <sz val="14"/>
        <name val="Times New Roman"/>
        <scheme val="none"/>
      </font>
      <numFmt numFmtId="4" formatCode="#,##0.00"/>
    </odxf>
    <ndxf>
      <font>
        <b/>
        <sz val="14"/>
        <name val="Times New Roman"/>
        <scheme val="none"/>
      </font>
      <numFmt numFmtId="2" formatCode="0.00"/>
    </ndxf>
  </rcc>
  <rfmt sheetId="9" sqref="AA40" start="0" length="0">
    <dxf>
      <font>
        <b/>
        <sz val="14"/>
        <name val="Times New Roman"/>
        <scheme val="none"/>
      </font>
      <numFmt numFmtId="2" formatCode="0.00"/>
    </dxf>
  </rfmt>
  <rcc rId="9038" sId="9" odxf="1" dxf="1" numFmtId="4">
    <nc r="AB40">
      <v>0</v>
    </nc>
    <odxf>
      <font>
        <b val="0"/>
        <sz val="14"/>
        <name val="Times New Roman"/>
        <scheme val="none"/>
      </font>
      <numFmt numFmtId="4" formatCode="#,##0.00"/>
    </odxf>
    <ndxf>
      <font>
        <b/>
        <sz val="14"/>
        <name val="Times New Roman"/>
        <scheme val="none"/>
      </font>
      <numFmt numFmtId="2" formatCode="0.00"/>
    </ndxf>
  </rcc>
  <rfmt sheetId="9" sqref="AC40" start="0" length="0">
    <dxf>
      <font>
        <b/>
        <sz val="14"/>
        <name val="Times New Roman"/>
        <scheme val="none"/>
      </font>
      <numFmt numFmtId="2" formatCode="0.00"/>
    </dxf>
  </rfmt>
  <rcc rId="9039" sId="9" odxf="1" dxf="1" numFmtId="4">
    <nc r="AD40">
      <v>0</v>
    </nc>
    <odxf>
      <font>
        <b val="0"/>
        <sz val="14"/>
        <name val="Times New Roman"/>
        <scheme val="none"/>
      </font>
      <numFmt numFmtId="4" formatCode="#,##0.00"/>
    </odxf>
    <ndxf>
      <font>
        <b/>
        <sz val="14"/>
        <name val="Times New Roman"/>
        <scheme val="none"/>
      </font>
      <numFmt numFmtId="2" formatCode="0.00"/>
    </ndxf>
  </rcc>
  <rfmt sheetId="9" sqref="AE40" start="0" length="0">
    <dxf>
      <font>
        <b/>
        <sz val="14"/>
        <name val="Times New Roman"/>
        <scheme val="none"/>
      </font>
      <numFmt numFmtId="2" formatCode="0.00"/>
    </dxf>
  </rfmt>
  <rcc rId="9040" sId="9" odxf="1" dxf="1">
    <oc r="B41">
      <f>H41+J41+L41+N41+P41+R41+T41+V41+X41+Z41+AB41+AD41</f>
    </oc>
    <nc r="B41">
      <f>H41+J41+L41+N41+P41+R41+T41+V41+X41+Z41+AB41+AD41</f>
    </nc>
    <odxf>
      <font>
        <b val="0"/>
        <sz val="14"/>
        <name val="Times New Roman"/>
        <scheme val="none"/>
      </font>
      <numFmt numFmtId="4" formatCode="#,##0.00"/>
    </odxf>
    <ndxf>
      <font>
        <b/>
        <sz val="14"/>
        <name val="Times New Roman"/>
        <scheme val="none"/>
      </font>
      <numFmt numFmtId="2" formatCode="0.00"/>
    </ndxf>
  </rcc>
  <rcc rId="9041" sId="9" odxf="1" dxf="1">
    <oc r="C41">
      <f>H41+J41</f>
    </oc>
    <nc r="C41">
      <f>H41+J41+L41+N41+P41+R41</f>
    </nc>
    <odxf>
      <font>
        <b val="0"/>
        <sz val="14"/>
        <name val="Times New Roman"/>
        <scheme val="none"/>
      </font>
      <numFmt numFmtId="4" formatCode="#,##0.00"/>
      <border outline="0">
        <right style="thin">
          <color indexed="64"/>
        </right>
      </border>
    </odxf>
    <ndxf>
      <font>
        <b/>
        <sz val="14"/>
        <name val="Times New Roman"/>
        <scheme val="none"/>
      </font>
      <numFmt numFmtId="2" formatCode="0.00"/>
      <border outline="0">
        <right/>
      </border>
    </ndxf>
  </rcc>
  <rcc rId="9042" sId="9" odxf="1" dxf="1">
    <oc r="D41">
      <f>E41</f>
    </oc>
    <nc r="D41">
      <f>E41</f>
    </nc>
    <odxf>
      <font>
        <b val="0"/>
        <sz val="14"/>
        <name val="Times New Roman"/>
        <scheme val="none"/>
      </font>
      <numFmt numFmtId="4" formatCode="#,##0.00"/>
    </odxf>
    <ndxf>
      <font>
        <b/>
        <sz val="14"/>
        <name val="Times New Roman"/>
        <scheme val="none"/>
      </font>
      <numFmt numFmtId="2" formatCode="0.00"/>
    </ndxf>
  </rcc>
  <rcc rId="9043" sId="9" odxf="1" dxf="1">
    <oc r="E41">
      <f>I41</f>
    </oc>
    <nc r="E41">
      <f>I41+K41+M41+O41+Q41+S41</f>
    </nc>
    <odxf>
      <font>
        <b val="0"/>
        <sz val="14"/>
        <name val="Times New Roman"/>
        <scheme val="none"/>
      </font>
      <numFmt numFmtId="4" formatCode="#,##0.00"/>
    </odxf>
    <ndxf>
      <font>
        <b/>
        <sz val="14"/>
        <name val="Times New Roman"/>
        <scheme val="none"/>
      </font>
      <numFmt numFmtId="2" formatCode="0.00"/>
    </ndxf>
  </rcc>
  <rcc rId="9044" sId="9" odxf="1" dxf="1" numFmtId="4">
    <oc r="F41">
      <v>0</v>
    </oc>
    <nc r="F41">
      <f>E41/B41*100</f>
    </nc>
    <odxf>
      <font>
        <b val="0"/>
        <sz val="14"/>
        <name val="Times New Roman"/>
        <scheme val="none"/>
      </font>
      <numFmt numFmtId="4" formatCode="#,##0.00"/>
      <fill>
        <patternFill patternType="none">
          <bgColor indexed="65"/>
        </patternFill>
      </fill>
    </odxf>
    <ndxf>
      <font>
        <b/>
        <sz val="14"/>
        <name val="Times New Roman"/>
        <scheme val="none"/>
      </font>
      <numFmt numFmtId="2" formatCode="0.00"/>
      <fill>
        <patternFill patternType="solid">
          <bgColor theme="9" tint="0.79998168889431442"/>
        </patternFill>
      </fill>
    </ndxf>
  </rcc>
  <rcc rId="9045" sId="9" odxf="1" dxf="1" numFmtId="4">
    <oc r="G41">
      <v>0</v>
    </oc>
    <nc r="G41">
      <f>E41/C41*100</f>
    </nc>
    <odxf>
      <font>
        <b val="0"/>
        <sz val="14"/>
        <name val="Times New Roman"/>
        <scheme val="none"/>
      </font>
      <numFmt numFmtId="4" formatCode="#,##0.00"/>
      <fill>
        <patternFill patternType="none">
          <bgColor indexed="65"/>
        </patternFill>
      </fill>
    </odxf>
    <ndxf>
      <font>
        <b/>
        <sz val="14"/>
        <name val="Times New Roman"/>
        <scheme val="none"/>
      </font>
      <numFmt numFmtId="2" formatCode="0.00"/>
      <fill>
        <patternFill patternType="solid">
          <bgColor theme="9" tint="0.79998168889431442"/>
        </patternFill>
      </fill>
    </ndxf>
  </rcc>
  <rfmt sheetId="9" sqref="H41" start="0" length="0">
    <dxf>
      <font>
        <b/>
        <sz val="14"/>
        <name val="Times New Roman"/>
        <scheme val="none"/>
      </font>
      <numFmt numFmtId="2" formatCode="0.00"/>
    </dxf>
  </rfmt>
  <rcc rId="9046" sId="9" odxf="1" dxf="1" numFmtId="4">
    <oc r="I41">
      <v>59.39</v>
    </oc>
    <nc r="I41">
      <v>59.389319999999998</v>
    </nc>
    <odxf>
      <font>
        <b val="0"/>
        <sz val="14"/>
        <name val="Times New Roman"/>
        <scheme val="none"/>
      </font>
      <numFmt numFmtId="4" formatCode="#,##0.00"/>
    </odxf>
    <ndxf>
      <font>
        <b/>
        <sz val="14"/>
        <name val="Times New Roman"/>
        <scheme val="none"/>
      </font>
      <numFmt numFmtId="2" formatCode="0.00"/>
    </ndxf>
  </rcc>
  <rfmt sheetId="9" sqref="J41" start="0" length="0">
    <dxf>
      <font>
        <b/>
        <sz val="14"/>
        <name val="Times New Roman"/>
        <scheme val="none"/>
      </font>
      <numFmt numFmtId="2" formatCode="0.00"/>
    </dxf>
  </rfmt>
  <rfmt sheetId="9" sqref="K41" start="0" length="0">
    <dxf>
      <font>
        <b/>
        <sz val="14"/>
        <name val="Times New Roman"/>
        <scheme val="none"/>
      </font>
      <numFmt numFmtId="2" formatCode="0.00"/>
    </dxf>
  </rfmt>
  <rcc rId="9047" sId="9" odxf="1" dxf="1" numFmtId="4">
    <nc r="L41">
      <v>0</v>
    </nc>
    <odxf>
      <font>
        <b val="0"/>
        <sz val="14"/>
        <name val="Times New Roman"/>
        <scheme val="none"/>
      </font>
      <numFmt numFmtId="4" formatCode="#,##0.00"/>
    </odxf>
    <ndxf>
      <font>
        <b/>
        <sz val="14"/>
        <name val="Times New Roman"/>
        <scheme val="none"/>
      </font>
      <numFmt numFmtId="2" formatCode="0.00"/>
    </ndxf>
  </rcc>
  <rcc rId="9048" sId="9" odxf="1" dxf="1" numFmtId="4">
    <nc r="M41">
      <v>0</v>
    </nc>
    <odxf>
      <font>
        <b val="0"/>
        <sz val="14"/>
        <name val="Times New Roman"/>
        <scheme val="none"/>
      </font>
      <numFmt numFmtId="4" formatCode="#,##0.00"/>
    </odxf>
    <ndxf>
      <font>
        <b/>
        <sz val="14"/>
        <name val="Times New Roman"/>
        <scheme val="none"/>
      </font>
      <numFmt numFmtId="2" formatCode="0.00"/>
    </ndxf>
  </rcc>
  <rcc rId="9049" sId="9" odxf="1" dxf="1" numFmtId="4">
    <nc r="N41">
      <v>0</v>
    </nc>
    <odxf>
      <font>
        <b val="0"/>
        <sz val="14"/>
        <name val="Times New Roman"/>
        <scheme val="none"/>
      </font>
      <numFmt numFmtId="4" formatCode="#,##0.00"/>
    </odxf>
    <ndxf>
      <font>
        <b/>
        <sz val="14"/>
        <name val="Times New Roman"/>
        <scheme val="none"/>
      </font>
      <numFmt numFmtId="2" formatCode="0.00"/>
    </ndxf>
  </rcc>
  <rcc rId="9050" sId="9" odxf="1" dxf="1" numFmtId="4">
    <nc r="O41">
      <v>0</v>
    </nc>
    <odxf>
      <font>
        <b val="0"/>
        <sz val="14"/>
        <name val="Times New Roman"/>
        <scheme val="none"/>
      </font>
      <numFmt numFmtId="4" formatCode="#,##0.00"/>
    </odxf>
    <ndxf>
      <font>
        <b/>
        <sz val="14"/>
        <name val="Times New Roman"/>
        <scheme val="none"/>
      </font>
      <numFmt numFmtId="2" formatCode="0.00"/>
    </ndxf>
  </rcc>
  <rcc rId="9051" sId="9" odxf="1" dxf="1" numFmtId="4">
    <nc r="P41">
      <v>0</v>
    </nc>
    <odxf>
      <font>
        <b val="0"/>
        <sz val="14"/>
        <name val="Times New Roman"/>
        <scheme val="none"/>
      </font>
      <numFmt numFmtId="4" formatCode="#,##0.00"/>
    </odxf>
    <ndxf>
      <font>
        <b/>
        <sz val="14"/>
        <name val="Times New Roman"/>
        <scheme val="none"/>
      </font>
      <numFmt numFmtId="2" formatCode="0.00"/>
    </ndxf>
  </rcc>
  <rcc rId="9052" sId="9" odxf="1" dxf="1" numFmtId="4">
    <nc r="Q41">
      <v>0</v>
    </nc>
    <odxf>
      <font>
        <b val="0"/>
        <sz val="14"/>
        <name val="Times New Roman"/>
        <scheme val="none"/>
      </font>
      <numFmt numFmtId="4" formatCode="#,##0.00"/>
    </odxf>
    <ndxf>
      <font>
        <b/>
        <sz val="14"/>
        <name val="Times New Roman"/>
        <scheme val="none"/>
      </font>
      <numFmt numFmtId="2" formatCode="0.00"/>
    </ndxf>
  </rcc>
  <rcc rId="9053" sId="9" odxf="1" dxf="1" numFmtId="4">
    <nc r="R41">
      <v>0</v>
    </nc>
    <odxf>
      <font>
        <b val="0"/>
        <sz val="14"/>
        <name val="Times New Roman"/>
        <scheme val="none"/>
      </font>
      <numFmt numFmtId="4" formatCode="#,##0.00"/>
    </odxf>
    <ndxf>
      <font>
        <b/>
        <sz val="14"/>
        <name val="Times New Roman"/>
        <scheme val="none"/>
      </font>
      <numFmt numFmtId="2" formatCode="0.00"/>
    </ndxf>
  </rcc>
  <rcc rId="9054" sId="9" odxf="1" dxf="1" numFmtId="4">
    <nc r="S41">
      <v>0</v>
    </nc>
    <odxf>
      <font>
        <b val="0"/>
        <sz val="14"/>
        <name val="Times New Roman"/>
        <scheme val="none"/>
      </font>
      <numFmt numFmtId="4" formatCode="#,##0.00"/>
    </odxf>
    <ndxf>
      <font>
        <b/>
        <sz val="14"/>
        <name val="Times New Roman"/>
        <scheme val="none"/>
      </font>
      <numFmt numFmtId="2" formatCode="0.00"/>
    </ndxf>
  </rcc>
  <rfmt sheetId="9" sqref="T41" start="0" length="0">
    <dxf>
      <font>
        <b/>
        <sz val="14"/>
        <name val="Times New Roman"/>
        <scheme val="none"/>
      </font>
      <numFmt numFmtId="2" formatCode="0.00"/>
    </dxf>
  </rfmt>
  <rfmt sheetId="9" sqref="U41" start="0" length="0">
    <dxf>
      <font>
        <b/>
        <sz val="14"/>
        <name val="Times New Roman"/>
        <scheme val="none"/>
      </font>
      <numFmt numFmtId="2" formatCode="0.00"/>
    </dxf>
  </rfmt>
  <rcc rId="9055" sId="9" odxf="1" dxf="1" numFmtId="4">
    <nc r="V41">
      <v>0</v>
    </nc>
    <odxf>
      <font>
        <b val="0"/>
        <sz val="14"/>
        <name val="Times New Roman"/>
        <scheme val="none"/>
      </font>
      <numFmt numFmtId="4" formatCode="#,##0.00"/>
    </odxf>
    <ndxf>
      <font>
        <b/>
        <sz val="14"/>
        <name val="Times New Roman"/>
        <scheme val="none"/>
      </font>
      <numFmt numFmtId="2" formatCode="0.00"/>
    </ndxf>
  </rcc>
  <rfmt sheetId="9" sqref="W41" start="0" length="0">
    <dxf>
      <font>
        <b/>
        <sz val="14"/>
        <name val="Times New Roman"/>
        <scheme val="none"/>
      </font>
      <numFmt numFmtId="2" formatCode="0.00"/>
    </dxf>
  </rfmt>
  <rcc rId="9056" sId="9" odxf="1" dxf="1" numFmtId="4">
    <nc r="X41">
      <v>0</v>
    </nc>
    <odxf>
      <font>
        <b val="0"/>
        <sz val="14"/>
        <name val="Times New Roman"/>
        <scheme val="none"/>
      </font>
      <numFmt numFmtId="4" formatCode="#,##0.00"/>
    </odxf>
    <ndxf>
      <font>
        <b/>
        <sz val="14"/>
        <name val="Times New Roman"/>
        <scheme val="none"/>
      </font>
      <numFmt numFmtId="2" formatCode="0.00"/>
    </ndxf>
  </rcc>
  <rfmt sheetId="9" sqref="Y41" start="0" length="0">
    <dxf>
      <font>
        <b/>
        <sz val="14"/>
        <name val="Times New Roman"/>
        <scheme val="none"/>
      </font>
      <numFmt numFmtId="2" formatCode="0.00"/>
    </dxf>
  </rfmt>
  <rcc rId="9057" sId="9" odxf="1" dxf="1" numFmtId="4">
    <nc r="Z41">
      <v>0</v>
    </nc>
    <odxf>
      <font>
        <b val="0"/>
        <sz val="14"/>
        <name val="Times New Roman"/>
        <scheme val="none"/>
      </font>
      <numFmt numFmtId="4" formatCode="#,##0.00"/>
    </odxf>
    <ndxf>
      <font>
        <b/>
        <sz val="14"/>
        <name val="Times New Roman"/>
        <scheme val="none"/>
      </font>
      <numFmt numFmtId="2" formatCode="0.00"/>
    </ndxf>
  </rcc>
  <rfmt sheetId="9" sqref="AA41" start="0" length="0">
    <dxf>
      <font>
        <b/>
        <sz val="14"/>
        <name val="Times New Roman"/>
        <scheme val="none"/>
      </font>
      <numFmt numFmtId="2" formatCode="0.00"/>
    </dxf>
  </rfmt>
  <rcc rId="9058" sId="9" odxf="1" dxf="1" numFmtId="4">
    <nc r="AB41">
      <v>0</v>
    </nc>
    <odxf>
      <font>
        <b val="0"/>
        <sz val="14"/>
        <name val="Times New Roman"/>
        <scheme val="none"/>
      </font>
      <numFmt numFmtId="4" formatCode="#,##0.00"/>
    </odxf>
    <ndxf>
      <font>
        <b/>
        <sz val="14"/>
        <name val="Times New Roman"/>
        <scheme val="none"/>
      </font>
      <numFmt numFmtId="2" formatCode="0.00"/>
    </ndxf>
  </rcc>
  <rfmt sheetId="9" sqref="AC41" start="0" length="0">
    <dxf>
      <font>
        <b/>
        <sz val="14"/>
        <name val="Times New Roman"/>
        <scheme val="none"/>
      </font>
      <numFmt numFmtId="2" formatCode="0.00"/>
    </dxf>
  </rfmt>
  <rcc rId="9059" sId="9" odxf="1" dxf="1" numFmtId="4">
    <nc r="AD41">
      <v>0</v>
    </nc>
    <odxf>
      <font>
        <b val="0"/>
        <sz val="14"/>
        <name val="Times New Roman"/>
        <scheme val="none"/>
      </font>
      <numFmt numFmtId="4" formatCode="#,##0.00"/>
    </odxf>
    <ndxf>
      <font>
        <b/>
        <sz val="14"/>
        <name val="Times New Roman"/>
        <scheme val="none"/>
      </font>
      <numFmt numFmtId="2" formatCode="0.00"/>
    </ndxf>
  </rcc>
  <rfmt sheetId="9" sqref="AE41" start="0" length="0">
    <dxf>
      <font>
        <b/>
        <sz val="14"/>
        <name val="Times New Roman"/>
        <scheme val="none"/>
      </font>
      <numFmt numFmtId="2" formatCode="0.00"/>
    </dxf>
  </rfmt>
  <rcc rId="9060" sId="9" odxf="1" dxf="1">
    <oc r="B42">
      <f>H42+J42+L42+N42+P42+R42+T42+V42+X42+Z42+AB42+AD42</f>
    </oc>
    <nc r="B42">
      <f>H42+J42+L42+N42+P42+R42+T42+V42+X42+Z42+AB42+AD42</f>
    </nc>
    <odxf>
      <font>
        <b val="0"/>
        <sz val="14"/>
        <name val="Times New Roman"/>
        <scheme val="none"/>
      </font>
      <numFmt numFmtId="4" formatCode="#,##0.00"/>
    </odxf>
    <ndxf>
      <font>
        <b/>
        <sz val="14"/>
        <name val="Times New Roman"/>
        <scheme val="none"/>
      </font>
      <numFmt numFmtId="2" formatCode="0.00"/>
    </ndxf>
  </rcc>
  <rcc rId="9061" sId="9" odxf="1" dxf="1">
    <oc r="C42">
      <f>H42+J42</f>
    </oc>
    <nc r="C42">
      <f>H42</f>
    </nc>
    <odxf>
      <font>
        <b val="0"/>
        <sz val="14"/>
        <name val="Times New Roman"/>
        <scheme val="none"/>
      </font>
      <numFmt numFmtId="4" formatCode="#,##0.00"/>
    </odxf>
    <ndxf>
      <font>
        <b/>
        <sz val="14"/>
        <name val="Times New Roman"/>
        <scheme val="none"/>
      </font>
      <numFmt numFmtId="2" formatCode="0.00"/>
    </ndxf>
  </rcc>
  <rcc rId="9062" sId="9" odxf="1" dxf="1">
    <oc r="D42">
      <f>E42</f>
    </oc>
    <nc r="D42">
      <f>E42</f>
    </nc>
    <odxf>
      <font>
        <b val="0"/>
        <sz val="14"/>
        <name val="Times New Roman"/>
        <scheme val="none"/>
      </font>
      <numFmt numFmtId="4" formatCode="#,##0.00"/>
    </odxf>
    <ndxf>
      <font>
        <b/>
        <sz val="14"/>
        <name val="Times New Roman"/>
        <scheme val="none"/>
      </font>
      <numFmt numFmtId="2" formatCode="0.00"/>
    </ndxf>
  </rcc>
  <rfmt sheetId="9" sqref="E42" start="0" length="0">
    <dxf>
      <font>
        <b/>
        <sz val="14"/>
        <name val="Times New Roman"/>
        <scheme val="none"/>
      </font>
      <numFmt numFmtId="2" formatCode="0.00"/>
    </dxf>
  </rfmt>
  <rfmt sheetId="9" sqref="F42" start="0" length="0">
    <dxf>
      <font>
        <b/>
        <sz val="14"/>
        <name val="Times New Roman"/>
        <scheme val="none"/>
      </font>
      <numFmt numFmtId="2" formatCode="0.00"/>
      <fill>
        <patternFill patternType="solid">
          <bgColor theme="9" tint="0.79998168889431442"/>
        </patternFill>
      </fill>
    </dxf>
  </rfmt>
  <rfmt sheetId="9" sqref="G42" start="0" length="0">
    <dxf>
      <font>
        <b/>
        <sz val="14"/>
        <name val="Times New Roman"/>
        <scheme val="none"/>
      </font>
      <numFmt numFmtId="2" formatCode="0.00"/>
      <fill>
        <patternFill patternType="solid">
          <bgColor theme="9" tint="0.79998168889431442"/>
        </patternFill>
      </fill>
    </dxf>
  </rfmt>
  <rfmt sheetId="9" sqref="H42" start="0" length="0">
    <dxf>
      <font>
        <b/>
        <sz val="14"/>
        <name val="Times New Roman"/>
        <scheme val="none"/>
      </font>
      <numFmt numFmtId="2" formatCode="0.00"/>
    </dxf>
  </rfmt>
  <rfmt sheetId="9" sqref="I42" start="0" length="0">
    <dxf>
      <font>
        <b/>
        <sz val="14"/>
        <name val="Times New Roman"/>
        <scheme val="none"/>
      </font>
      <numFmt numFmtId="2" formatCode="0.00"/>
    </dxf>
  </rfmt>
  <rfmt sheetId="9" sqref="J42" start="0" length="0">
    <dxf>
      <font>
        <b/>
        <sz val="14"/>
        <name val="Times New Roman"/>
        <scheme val="none"/>
      </font>
      <numFmt numFmtId="2" formatCode="0.00"/>
    </dxf>
  </rfmt>
  <rfmt sheetId="9" sqref="K42" start="0" length="0">
    <dxf>
      <font>
        <b/>
        <sz val="14"/>
        <name val="Times New Roman"/>
        <scheme val="none"/>
      </font>
      <numFmt numFmtId="2" formatCode="0.00"/>
    </dxf>
  </rfmt>
  <rcc rId="9063" sId="9" odxf="1" dxf="1" numFmtId="4">
    <nc r="L42">
      <v>0</v>
    </nc>
    <odxf>
      <font>
        <b val="0"/>
        <sz val="14"/>
        <name val="Times New Roman"/>
        <scheme val="none"/>
      </font>
      <numFmt numFmtId="4" formatCode="#,##0.00"/>
    </odxf>
    <ndxf>
      <font>
        <b/>
        <sz val="14"/>
        <name val="Times New Roman"/>
        <scheme val="none"/>
      </font>
      <numFmt numFmtId="2" formatCode="0.00"/>
    </ndxf>
  </rcc>
  <rcc rId="9064" sId="9" odxf="1" dxf="1" numFmtId="4">
    <nc r="M42">
      <v>0</v>
    </nc>
    <odxf>
      <font>
        <b val="0"/>
        <sz val="14"/>
        <name val="Times New Roman"/>
        <scheme val="none"/>
      </font>
      <numFmt numFmtId="4" formatCode="#,##0.00"/>
    </odxf>
    <ndxf>
      <font>
        <b/>
        <sz val="14"/>
        <name val="Times New Roman"/>
        <scheme val="none"/>
      </font>
      <numFmt numFmtId="2" formatCode="0.00"/>
    </ndxf>
  </rcc>
  <rcc rId="9065" sId="9" odxf="1" dxf="1" numFmtId="4">
    <nc r="N42">
      <v>0</v>
    </nc>
    <odxf>
      <font>
        <b val="0"/>
        <sz val="14"/>
        <name val="Times New Roman"/>
        <scheme val="none"/>
      </font>
      <numFmt numFmtId="4" formatCode="#,##0.00"/>
    </odxf>
    <ndxf>
      <font>
        <b/>
        <sz val="14"/>
        <name val="Times New Roman"/>
        <scheme val="none"/>
      </font>
      <numFmt numFmtId="2" formatCode="0.00"/>
    </ndxf>
  </rcc>
  <rcc rId="9066" sId="9" odxf="1" dxf="1" numFmtId="4">
    <nc r="O42">
      <v>0</v>
    </nc>
    <odxf>
      <font>
        <b val="0"/>
        <sz val="14"/>
        <name val="Times New Roman"/>
        <scheme val="none"/>
      </font>
      <numFmt numFmtId="4" formatCode="#,##0.00"/>
    </odxf>
    <ndxf>
      <font>
        <b/>
        <sz val="14"/>
        <name val="Times New Roman"/>
        <scheme val="none"/>
      </font>
      <numFmt numFmtId="2" formatCode="0.00"/>
    </ndxf>
  </rcc>
  <rcc rId="9067" sId="9" odxf="1" dxf="1" numFmtId="4">
    <nc r="P42">
      <v>0</v>
    </nc>
    <odxf>
      <font>
        <b val="0"/>
        <sz val="14"/>
        <name val="Times New Roman"/>
        <scheme val="none"/>
      </font>
      <numFmt numFmtId="4" formatCode="#,##0.00"/>
    </odxf>
    <ndxf>
      <font>
        <b/>
        <sz val="14"/>
        <name val="Times New Roman"/>
        <scheme val="none"/>
      </font>
      <numFmt numFmtId="2" formatCode="0.00"/>
    </ndxf>
  </rcc>
  <rcc rId="9068" sId="9" odxf="1" dxf="1" numFmtId="4">
    <nc r="Q42">
      <v>0</v>
    </nc>
    <odxf>
      <font>
        <b val="0"/>
        <sz val="14"/>
        <name val="Times New Roman"/>
        <scheme val="none"/>
      </font>
      <numFmt numFmtId="4" formatCode="#,##0.00"/>
    </odxf>
    <ndxf>
      <font>
        <b/>
        <sz val="14"/>
        <name val="Times New Roman"/>
        <scheme val="none"/>
      </font>
      <numFmt numFmtId="2" formatCode="0.00"/>
    </ndxf>
  </rcc>
  <rcc rId="9069" sId="9" odxf="1" dxf="1" numFmtId="4">
    <nc r="R42">
      <v>0</v>
    </nc>
    <odxf>
      <font>
        <b val="0"/>
        <sz val="14"/>
        <name val="Times New Roman"/>
        <scheme val="none"/>
      </font>
      <numFmt numFmtId="4" formatCode="#,##0.00"/>
    </odxf>
    <ndxf>
      <font>
        <b/>
        <sz val="14"/>
        <name val="Times New Roman"/>
        <scheme val="none"/>
      </font>
      <numFmt numFmtId="2" formatCode="0.00"/>
    </ndxf>
  </rcc>
  <rcc rId="9070" sId="9" odxf="1" dxf="1" numFmtId="4">
    <nc r="S42">
      <v>0</v>
    </nc>
    <odxf>
      <font>
        <b val="0"/>
        <sz val="14"/>
        <name val="Times New Roman"/>
        <scheme val="none"/>
      </font>
      <numFmt numFmtId="4" formatCode="#,##0.00"/>
    </odxf>
    <ndxf>
      <font>
        <b/>
        <sz val="14"/>
        <name val="Times New Roman"/>
        <scheme val="none"/>
      </font>
      <numFmt numFmtId="2" formatCode="0.00"/>
    </ndxf>
  </rcc>
  <rcc rId="9071" sId="9" odxf="1" dxf="1" numFmtId="4">
    <nc r="T42">
      <v>0</v>
    </nc>
    <odxf>
      <font>
        <b val="0"/>
        <sz val="14"/>
        <name val="Times New Roman"/>
        <scheme val="none"/>
      </font>
      <numFmt numFmtId="4" formatCode="#,##0.00"/>
    </odxf>
    <ndxf>
      <font>
        <b/>
        <sz val="14"/>
        <name val="Times New Roman"/>
        <scheme val="none"/>
      </font>
      <numFmt numFmtId="2" formatCode="0.00"/>
    </ndxf>
  </rcc>
  <rfmt sheetId="9" sqref="U42" start="0" length="0">
    <dxf>
      <font>
        <b/>
        <sz val="14"/>
        <name val="Times New Roman"/>
        <scheme val="none"/>
      </font>
      <numFmt numFmtId="2" formatCode="0.00"/>
    </dxf>
  </rfmt>
  <rcc rId="9072" sId="9" odxf="1" dxf="1" numFmtId="4">
    <nc r="V42">
      <v>0</v>
    </nc>
    <odxf>
      <font>
        <b val="0"/>
        <sz val="14"/>
        <name val="Times New Roman"/>
        <scheme val="none"/>
      </font>
      <numFmt numFmtId="4" formatCode="#,##0.00"/>
    </odxf>
    <ndxf>
      <font>
        <b/>
        <sz val="14"/>
        <name val="Times New Roman"/>
        <scheme val="none"/>
      </font>
      <numFmt numFmtId="2" formatCode="0.00"/>
    </ndxf>
  </rcc>
  <rfmt sheetId="9" sqref="W42" start="0" length="0">
    <dxf>
      <font>
        <b/>
        <sz val="14"/>
        <name val="Times New Roman"/>
        <scheme val="none"/>
      </font>
      <numFmt numFmtId="2" formatCode="0.00"/>
    </dxf>
  </rfmt>
  <rcc rId="9073" sId="9" odxf="1" dxf="1" numFmtId="4">
    <nc r="X42">
      <v>0</v>
    </nc>
    <odxf>
      <font>
        <b val="0"/>
        <sz val="14"/>
        <name val="Times New Roman"/>
        <scheme val="none"/>
      </font>
      <numFmt numFmtId="4" formatCode="#,##0.00"/>
    </odxf>
    <ndxf>
      <font>
        <b/>
        <sz val="14"/>
        <name val="Times New Roman"/>
        <scheme val="none"/>
      </font>
      <numFmt numFmtId="2" formatCode="0.00"/>
    </ndxf>
  </rcc>
  <rfmt sheetId="9" sqref="Y42" start="0" length="0">
    <dxf>
      <font>
        <b/>
        <sz val="14"/>
        <name val="Times New Roman"/>
        <scheme val="none"/>
      </font>
      <numFmt numFmtId="2" formatCode="0.00"/>
    </dxf>
  </rfmt>
  <rcc rId="9074" sId="9" odxf="1" dxf="1" numFmtId="4">
    <nc r="Z42">
      <v>0</v>
    </nc>
    <odxf>
      <font>
        <b val="0"/>
        <sz val="14"/>
        <name val="Times New Roman"/>
        <scheme val="none"/>
      </font>
      <numFmt numFmtId="4" formatCode="#,##0.00"/>
    </odxf>
    <ndxf>
      <font>
        <b/>
        <sz val="14"/>
        <name val="Times New Roman"/>
        <scheme val="none"/>
      </font>
      <numFmt numFmtId="2" formatCode="0.00"/>
    </ndxf>
  </rcc>
  <rfmt sheetId="9" sqref="AA42" start="0" length="0">
    <dxf>
      <font>
        <b/>
        <sz val="14"/>
        <name val="Times New Roman"/>
        <scheme val="none"/>
      </font>
      <numFmt numFmtId="2" formatCode="0.00"/>
    </dxf>
  </rfmt>
  <rcc rId="9075" sId="9" odxf="1" dxf="1" numFmtId="4">
    <nc r="AB42">
      <v>0</v>
    </nc>
    <odxf>
      <font>
        <b val="0"/>
        <sz val="14"/>
        <name val="Times New Roman"/>
        <scheme val="none"/>
      </font>
      <numFmt numFmtId="4" formatCode="#,##0.00"/>
    </odxf>
    <ndxf>
      <font>
        <b/>
        <sz val="14"/>
        <name val="Times New Roman"/>
        <scheme val="none"/>
      </font>
      <numFmt numFmtId="2" formatCode="0.00"/>
    </ndxf>
  </rcc>
  <rfmt sheetId="9" sqref="AC42" start="0" length="0">
    <dxf>
      <font>
        <b/>
        <sz val="14"/>
        <name val="Times New Roman"/>
        <scheme val="none"/>
      </font>
      <numFmt numFmtId="2" formatCode="0.00"/>
    </dxf>
  </rfmt>
  <rcc rId="9076" sId="9" odxf="1" dxf="1" numFmtId="4">
    <nc r="AD42">
      <v>0</v>
    </nc>
    <odxf>
      <font>
        <b val="0"/>
        <sz val="14"/>
        <name val="Times New Roman"/>
        <scheme val="none"/>
      </font>
      <numFmt numFmtId="4" formatCode="#,##0.00"/>
    </odxf>
    <ndxf>
      <font>
        <b/>
        <sz val="14"/>
        <name val="Times New Roman"/>
        <scheme val="none"/>
      </font>
      <numFmt numFmtId="2" formatCode="0.00"/>
    </ndxf>
  </rcc>
  <rfmt sheetId="9" sqref="AE42" start="0" length="0">
    <dxf>
      <font>
        <b/>
        <sz val="14"/>
        <name val="Times New Roman"/>
        <scheme val="none"/>
      </font>
      <numFmt numFmtId="2" formatCode="0.00"/>
    </dxf>
  </rfmt>
  <rcc rId="9077" sId="9" odxf="1" dxf="1">
    <oc r="B43">
      <f>B44</f>
    </oc>
    <nc r="B43">
      <f>B44</f>
    </nc>
    <odxf>
      <font>
        <b val="0"/>
        <sz val="14"/>
        <name val="Times New Roman"/>
        <scheme val="none"/>
      </font>
      <numFmt numFmtId="4" formatCode="#,##0.00"/>
    </odxf>
    <ndxf>
      <font>
        <b/>
        <sz val="14"/>
        <name val="Times New Roman"/>
        <scheme val="none"/>
      </font>
      <numFmt numFmtId="2" formatCode="0.00"/>
    </ndxf>
  </rcc>
  <rcc rId="9078" sId="9" odxf="1" dxf="1">
    <oc r="C43">
      <f>C44</f>
    </oc>
    <nc r="C43">
      <f>C44</f>
    </nc>
    <odxf>
      <font>
        <b val="0"/>
        <sz val="14"/>
        <name val="Times New Roman"/>
        <scheme val="none"/>
      </font>
      <numFmt numFmtId="4" formatCode="#,##0.00"/>
    </odxf>
    <ndxf>
      <font>
        <b/>
        <sz val="14"/>
        <name val="Times New Roman"/>
        <scheme val="none"/>
      </font>
      <numFmt numFmtId="2" formatCode="0.00"/>
    </ndxf>
  </rcc>
  <rcc rId="9079" sId="9" odxf="1" dxf="1">
    <oc r="D43">
      <f>D44</f>
    </oc>
    <nc r="D43">
      <f>E43</f>
    </nc>
    <odxf>
      <font>
        <b val="0"/>
        <sz val="14"/>
        <name val="Times New Roman"/>
        <scheme val="none"/>
      </font>
      <numFmt numFmtId="4" formatCode="#,##0.00"/>
    </odxf>
    <ndxf>
      <font>
        <b/>
        <sz val="14"/>
        <name val="Times New Roman"/>
        <scheme val="none"/>
      </font>
      <numFmt numFmtId="2" formatCode="0.00"/>
    </ndxf>
  </rcc>
  <rcc rId="9080" sId="9" odxf="1" dxf="1">
    <oc r="E43">
      <f>E44</f>
    </oc>
    <nc r="E43">
      <f>E44</f>
    </nc>
    <odxf>
      <font>
        <b val="0"/>
        <sz val="14"/>
        <name val="Times New Roman"/>
        <scheme val="none"/>
      </font>
      <numFmt numFmtId="4" formatCode="#,##0.00"/>
      <border outline="0">
        <right style="thin">
          <color indexed="64"/>
        </right>
      </border>
      <protection hidden="0"/>
    </odxf>
    <ndxf>
      <font>
        <b/>
        <sz val="14"/>
        <name val="Times New Roman"/>
        <scheme val="none"/>
      </font>
      <numFmt numFmtId="2" formatCode="0.00"/>
      <border outline="0">
        <right/>
      </border>
      <protection hidden="1"/>
    </ndxf>
  </rcc>
  <rcc rId="9081" sId="9" odxf="1" dxf="1">
    <oc r="F43">
      <f>F44</f>
    </oc>
    <nc r="F43">
      <f>F44</f>
    </nc>
    <odxf>
      <font>
        <b val="0"/>
        <sz val="14"/>
        <name val="Times New Roman"/>
        <scheme val="none"/>
      </font>
      <numFmt numFmtId="4" formatCode="#,##0.00"/>
      <fill>
        <patternFill>
          <bgColor theme="0"/>
        </patternFill>
      </fill>
    </odxf>
    <ndxf>
      <font>
        <b/>
        <sz val="14"/>
        <name val="Times New Roman"/>
        <scheme val="none"/>
      </font>
      <numFmt numFmtId="2" formatCode="0.00"/>
      <fill>
        <patternFill>
          <bgColor theme="9" tint="0.79998168889431442"/>
        </patternFill>
      </fill>
    </ndxf>
  </rcc>
  <rcc rId="9082" sId="9" odxf="1" dxf="1">
    <oc r="G43">
      <f>G44</f>
    </oc>
    <nc r="G43">
      <f>G44</f>
    </nc>
    <odxf>
      <font>
        <b val="0"/>
        <sz val="14"/>
        <name val="Times New Roman"/>
        <scheme val="none"/>
      </font>
      <numFmt numFmtId="4" formatCode="#,##0.00"/>
      <fill>
        <patternFill>
          <bgColor theme="0"/>
        </patternFill>
      </fill>
    </odxf>
    <ndxf>
      <font>
        <b/>
        <sz val="14"/>
        <name val="Times New Roman"/>
        <scheme val="none"/>
      </font>
      <numFmt numFmtId="2" formatCode="0.00"/>
      <fill>
        <patternFill>
          <bgColor theme="9" tint="0.79998168889431442"/>
        </patternFill>
      </fill>
    </ndxf>
  </rcc>
  <rcc rId="9083" sId="9" odxf="1" dxf="1">
    <oc r="H43">
      <f>H44</f>
    </oc>
    <nc r="H43">
      <f>H44</f>
    </nc>
    <odxf>
      <font>
        <b val="0"/>
        <sz val="14"/>
        <name val="Times New Roman"/>
        <scheme val="none"/>
      </font>
      <numFmt numFmtId="4" formatCode="#,##0.00"/>
    </odxf>
    <ndxf>
      <font>
        <b/>
        <sz val="14"/>
        <name val="Times New Roman"/>
        <scheme val="none"/>
      </font>
      <numFmt numFmtId="2" formatCode="0.00"/>
    </ndxf>
  </rcc>
  <rcc rId="9084" sId="9" odxf="1" dxf="1">
    <oc r="I43">
      <f>I44</f>
    </oc>
    <nc r="I43">
      <f>I44</f>
    </nc>
    <odxf>
      <font>
        <b val="0"/>
        <sz val="14"/>
        <name val="Times New Roman"/>
        <scheme val="none"/>
      </font>
      <numFmt numFmtId="4" formatCode="#,##0.00"/>
      <border outline="0">
        <right style="thin">
          <color indexed="64"/>
        </right>
      </border>
      <protection hidden="0"/>
    </odxf>
    <ndxf>
      <font>
        <b/>
        <sz val="14"/>
        <name val="Times New Roman"/>
        <scheme val="none"/>
      </font>
      <numFmt numFmtId="2" formatCode="0.00"/>
      <border outline="0">
        <right/>
      </border>
      <protection hidden="1"/>
    </ndxf>
  </rcc>
  <rcc rId="9085" sId="9" odxf="1" dxf="1">
    <oc r="J43">
      <f>J44</f>
    </oc>
    <nc r="J43">
      <f>J44</f>
    </nc>
    <odxf>
      <font>
        <b val="0"/>
        <sz val="14"/>
        <name val="Times New Roman"/>
        <scheme val="none"/>
      </font>
      <numFmt numFmtId="4" formatCode="#,##0.00"/>
    </odxf>
    <ndxf>
      <font>
        <b/>
        <sz val="14"/>
        <name val="Times New Roman"/>
        <scheme val="none"/>
      </font>
      <numFmt numFmtId="2" formatCode="0.00"/>
    </ndxf>
  </rcc>
  <rcc rId="9086" sId="9" odxf="1" dxf="1">
    <oc r="K43">
      <f>K44</f>
    </oc>
    <nc r="K43">
      <f>K44</f>
    </nc>
    <odxf>
      <font>
        <b val="0"/>
        <sz val="14"/>
        <name val="Times New Roman"/>
        <scheme val="none"/>
      </font>
      <numFmt numFmtId="4" formatCode="#,##0.00"/>
    </odxf>
    <ndxf>
      <font>
        <b/>
        <sz val="14"/>
        <name val="Times New Roman"/>
        <scheme val="none"/>
      </font>
      <numFmt numFmtId="2" formatCode="0.00"/>
    </ndxf>
  </rcc>
  <rcc rId="9087" sId="9" odxf="1" dxf="1">
    <nc r="L43">
      <f>L44</f>
    </nc>
    <odxf>
      <font>
        <b val="0"/>
        <sz val="14"/>
        <name val="Times New Roman"/>
        <scheme val="none"/>
      </font>
      <numFmt numFmtId="4" formatCode="#,##0.00"/>
    </odxf>
    <ndxf>
      <font>
        <b/>
        <sz val="14"/>
        <name val="Times New Roman"/>
        <scheme val="none"/>
      </font>
      <numFmt numFmtId="2" formatCode="0.00"/>
    </ndxf>
  </rcc>
  <rcc rId="9088" sId="9" odxf="1" dxf="1">
    <nc r="M43">
      <f>M44</f>
    </nc>
    <odxf>
      <font>
        <b val="0"/>
        <sz val="14"/>
        <name val="Times New Roman"/>
        <scheme val="none"/>
      </font>
      <numFmt numFmtId="4" formatCode="#,##0.00"/>
      <border outline="0">
        <right/>
      </border>
      <protection hidden="1"/>
    </odxf>
    <ndxf>
      <font>
        <b/>
        <sz val="14"/>
        <name val="Times New Roman"/>
        <scheme val="none"/>
      </font>
      <numFmt numFmtId="2" formatCode="0.00"/>
      <border outline="0">
        <right style="thin">
          <color indexed="64"/>
        </right>
      </border>
      <protection hidden="0"/>
    </ndxf>
  </rcc>
  <rcc rId="9089" sId="9" odxf="1" dxf="1">
    <nc r="N43">
      <f>N44</f>
    </nc>
    <odxf>
      <font>
        <b val="0"/>
        <sz val="14"/>
        <name val="Times New Roman"/>
        <scheme val="none"/>
      </font>
      <numFmt numFmtId="4" formatCode="#,##0.00"/>
    </odxf>
    <ndxf>
      <font>
        <b/>
        <sz val="14"/>
        <name val="Times New Roman"/>
        <scheme val="none"/>
      </font>
      <numFmt numFmtId="2" formatCode="0.00"/>
    </ndxf>
  </rcc>
  <rcc rId="9090" sId="9" odxf="1" dxf="1">
    <nc r="O43">
      <f>O44</f>
    </nc>
    <odxf>
      <font>
        <b val="0"/>
        <sz val="14"/>
        <name val="Times New Roman"/>
        <scheme val="none"/>
      </font>
      <numFmt numFmtId="4" formatCode="#,##0.00"/>
      <border outline="0">
        <right/>
      </border>
      <protection hidden="1"/>
    </odxf>
    <ndxf>
      <font>
        <b/>
        <sz val="14"/>
        <name val="Times New Roman"/>
        <scheme val="none"/>
      </font>
      <numFmt numFmtId="2" formatCode="0.00"/>
      <border outline="0">
        <right style="thin">
          <color indexed="64"/>
        </right>
      </border>
      <protection hidden="0"/>
    </ndxf>
  </rcc>
  <rcc rId="9091" sId="9" odxf="1" dxf="1">
    <nc r="P43">
      <f>P44</f>
    </nc>
    <odxf>
      <font>
        <b val="0"/>
        <sz val="14"/>
        <name val="Times New Roman"/>
        <scheme val="none"/>
      </font>
      <numFmt numFmtId="4" formatCode="#,##0.00"/>
    </odxf>
    <ndxf>
      <font>
        <b/>
        <sz val="14"/>
        <name val="Times New Roman"/>
        <scheme val="none"/>
      </font>
      <numFmt numFmtId="2" formatCode="0.00"/>
    </ndxf>
  </rcc>
  <rcc rId="9092" sId="9" odxf="1" dxf="1">
    <nc r="Q43">
      <f>Q44</f>
    </nc>
    <odxf>
      <font>
        <b val="0"/>
        <sz val="14"/>
        <name val="Times New Roman"/>
        <scheme val="none"/>
      </font>
      <numFmt numFmtId="4" formatCode="#,##0.00"/>
      <border outline="0">
        <right/>
      </border>
      <protection hidden="1"/>
    </odxf>
    <ndxf>
      <font>
        <b/>
        <sz val="14"/>
        <name val="Times New Roman"/>
        <scheme val="none"/>
      </font>
      <numFmt numFmtId="2" formatCode="0.00"/>
      <border outline="0">
        <right style="thin">
          <color indexed="64"/>
        </right>
      </border>
      <protection hidden="0"/>
    </ndxf>
  </rcc>
  <rcc rId="9093" sId="9" odxf="1" dxf="1">
    <nc r="R43">
      <f>R44</f>
    </nc>
    <odxf>
      <font>
        <b val="0"/>
        <sz val="14"/>
        <name val="Times New Roman"/>
        <scheme val="none"/>
      </font>
      <numFmt numFmtId="4" formatCode="#,##0.00"/>
    </odxf>
    <ndxf>
      <font>
        <b/>
        <sz val="14"/>
        <name val="Times New Roman"/>
        <scheme val="none"/>
      </font>
      <numFmt numFmtId="2" formatCode="0.00"/>
    </ndxf>
  </rcc>
  <rcc rId="9094" sId="9" odxf="1" dxf="1">
    <nc r="S43">
      <f>S44</f>
    </nc>
    <odxf>
      <font>
        <b val="0"/>
        <sz val="14"/>
        <name val="Times New Roman"/>
        <scheme val="none"/>
      </font>
      <numFmt numFmtId="4" formatCode="#,##0.00"/>
      <border outline="0">
        <right/>
      </border>
      <protection hidden="1"/>
    </odxf>
    <ndxf>
      <font>
        <b/>
        <sz val="14"/>
        <name val="Times New Roman"/>
        <scheme val="none"/>
      </font>
      <numFmt numFmtId="2" formatCode="0.00"/>
      <border outline="0">
        <right style="thin">
          <color indexed="64"/>
        </right>
      </border>
      <protection hidden="0"/>
    </ndxf>
  </rcc>
  <rcc rId="9095" sId="9" odxf="1" dxf="1">
    <nc r="T43">
      <f>T44</f>
    </nc>
    <odxf>
      <font>
        <b val="0"/>
        <sz val="14"/>
        <name val="Times New Roman"/>
        <scheme val="none"/>
      </font>
      <numFmt numFmtId="4" formatCode="#,##0.00"/>
    </odxf>
    <ndxf>
      <font>
        <b/>
        <sz val="14"/>
        <name val="Times New Roman"/>
        <scheme val="none"/>
      </font>
      <numFmt numFmtId="2" formatCode="0.00"/>
    </ndxf>
  </rcc>
  <rfmt sheetId="9" sqref="U43" start="0" length="0">
    <dxf>
      <font>
        <b/>
        <sz val="14"/>
        <name val="Times New Roman"/>
        <scheme val="none"/>
      </font>
      <numFmt numFmtId="2" formatCode="0.00"/>
    </dxf>
  </rfmt>
  <rcc rId="9096" sId="9" odxf="1" dxf="1">
    <nc r="V43">
      <f>V44</f>
    </nc>
    <odxf>
      <font>
        <b val="0"/>
        <sz val="14"/>
        <name val="Times New Roman"/>
        <scheme val="none"/>
      </font>
      <numFmt numFmtId="4" formatCode="#,##0.00"/>
    </odxf>
    <ndxf>
      <font>
        <b/>
        <sz val="14"/>
        <name val="Times New Roman"/>
        <scheme val="none"/>
      </font>
      <numFmt numFmtId="2" formatCode="0.00"/>
    </ndxf>
  </rcc>
  <rfmt sheetId="9" sqref="W43" start="0" length="0">
    <dxf>
      <font>
        <b/>
        <sz val="14"/>
        <name val="Times New Roman"/>
        <scheme val="none"/>
      </font>
      <numFmt numFmtId="2" formatCode="0.00"/>
    </dxf>
  </rfmt>
  <rcc rId="9097" sId="9" odxf="1" dxf="1">
    <nc r="X43">
      <f>X44</f>
    </nc>
    <odxf>
      <font>
        <b val="0"/>
        <sz val="14"/>
        <name val="Times New Roman"/>
        <scheme val="none"/>
      </font>
      <numFmt numFmtId="4" formatCode="#,##0.00"/>
    </odxf>
    <ndxf>
      <font>
        <b/>
        <sz val="14"/>
        <name val="Times New Roman"/>
        <scheme val="none"/>
      </font>
      <numFmt numFmtId="2" formatCode="0.00"/>
    </ndxf>
  </rcc>
  <rfmt sheetId="9" sqref="Y43" start="0" length="0">
    <dxf>
      <font>
        <b/>
        <sz val="14"/>
        <name val="Times New Roman"/>
        <scheme val="none"/>
      </font>
      <numFmt numFmtId="2" formatCode="0.00"/>
    </dxf>
  </rfmt>
  <rcc rId="9098" sId="9" odxf="1" dxf="1">
    <nc r="Z43">
      <f>Z44</f>
    </nc>
    <odxf>
      <font>
        <b val="0"/>
        <sz val="14"/>
        <name val="Times New Roman"/>
        <scheme val="none"/>
      </font>
      <numFmt numFmtId="4" formatCode="#,##0.00"/>
    </odxf>
    <ndxf>
      <font>
        <b/>
        <sz val="14"/>
        <name val="Times New Roman"/>
        <scheme val="none"/>
      </font>
      <numFmt numFmtId="2" formatCode="0.00"/>
    </ndxf>
  </rcc>
  <rfmt sheetId="9" sqref="AA43" start="0" length="0">
    <dxf>
      <font>
        <b/>
        <sz val="14"/>
        <name val="Times New Roman"/>
        <scheme val="none"/>
      </font>
      <numFmt numFmtId="2" formatCode="0.00"/>
    </dxf>
  </rfmt>
  <rcc rId="9099" sId="9" odxf="1" dxf="1">
    <nc r="AB43">
      <f>AB44</f>
    </nc>
    <odxf>
      <font>
        <b val="0"/>
        <sz val="14"/>
        <name val="Times New Roman"/>
        <scheme val="none"/>
      </font>
      <numFmt numFmtId="4" formatCode="#,##0.00"/>
    </odxf>
    <ndxf>
      <font>
        <b/>
        <sz val="14"/>
        <name val="Times New Roman"/>
        <scheme val="none"/>
      </font>
      <numFmt numFmtId="2" formatCode="0.00"/>
    </ndxf>
  </rcc>
  <rfmt sheetId="9" sqref="AC43" start="0" length="0">
    <dxf>
      <font>
        <b/>
        <sz val="14"/>
        <name val="Times New Roman"/>
        <scheme val="none"/>
      </font>
      <numFmt numFmtId="2" formatCode="0.00"/>
    </dxf>
  </rfmt>
  <rcc rId="9100" sId="9" odxf="1" dxf="1">
    <nc r="AD43">
      <f>AD44</f>
    </nc>
    <odxf>
      <font>
        <b val="0"/>
        <sz val="14"/>
        <name val="Times New Roman"/>
        <scheme val="none"/>
      </font>
      <numFmt numFmtId="4" formatCode="#,##0.00"/>
    </odxf>
    <ndxf>
      <font>
        <b/>
        <sz val="14"/>
        <name val="Times New Roman"/>
        <scheme val="none"/>
      </font>
      <numFmt numFmtId="2" formatCode="0.00"/>
    </ndxf>
  </rcc>
  <rfmt sheetId="9" sqref="AE43" start="0" length="0">
    <dxf>
      <font>
        <b/>
        <sz val="14"/>
        <name val="Times New Roman"/>
        <scheme val="none"/>
      </font>
      <numFmt numFmtId="2" formatCode="0.00"/>
    </dxf>
  </rfmt>
  <rcc rId="9101" sId="9" odxf="1" dxf="1">
    <oc r="B44">
      <f>B45+B46+B47+B48</f>
    </oc>
    <nc r="B44">
      <f>B45+B46+B47+B48</f>
    </nc>
    <odxf>
      <numFmt numFmtId="4" formatCode="#,##0.00"/>
    </odxf>
    <ndxf>
      <numFmt numFmtId="2" formatCode="0.00"/>
    </ndxf>
  </rcc>
  <rcc rId="9102" sId="9" odxf="1" dxf="1">
    <oc r="C44">
      <f>C45+C46+C47+C48</f>
    </oc>
    <nc r="C44">
      <f>C45+C46+C47+C48</f>
    </nc>
    <odxf>
      <numFmt numFmtId="4" formatCode="#,##0.00"/>
    </odxf>
    <ndxf>
      <numFmt numFmtId="2" formatCode="0.00"/>
    </ndxf>
  </rcc>
  <rcc rId="9103" sId="9" odxf="1" dxf="1">
    <oc r="D44">
      <f>D45+D46+D47+D48</f>
    </oc>
    <nc r="D44">
      <f>E44</f>
    </nc>
    <odxf>
      <numFmt numFmtId="4" formatCode="#,##0.00"/>
    </odxf>
    <ndxf>
      <numFmt numFmtId="2" formatCode="0.00"/>
    </ndxf>
  </rcc>
  <rcc rId="9104" sId="9" odxf="1" dxf="1">
    <oc r="E44">
      <f>E45+E46+E47+E48</f>
    </oc>
    <nc r="E44">
      <f>E45+E46+E47+E48</f>
    </nc>
    <odxf>
      <numFmt numFmtId="4" formatCode="#,##0.00"/>
    </odxf>
    <ndxf>
      <numFmt numFmtId="2" formatCode="0.00"/>
    </ndxf>
  </rcc>
  <rcc rId="9105" sId="9" odxf="1" dxf="1">
    <oc r="F44">
      <f>F45+F46+F47+F48</f>
    </oc>
    <nc r="F44">
      <f>F45+F46+F47+F48</f>
    </nc>
    <odxf>
      <numFmt numFmtId="4" formatCode="#,##0.00"/>
      <fill>
        <patternFill patternType="none">
          <bgColor indexed="65"/>
        </patternFill>
      </fill>
    </odxf>
    <ndxf>
      <numFmt numFmtId="2" formatCode="0.00"/>
      <fill>
        <patternFill patternType="solid">
          <bgColor theme="9" tint="0.79998168889431442"/>
        </patternFill>
      </fill>
    </ndxf>
  </rcc>
  <rcc rId="9106" sId="9" odxf="1" dxf="1">
    <oc r="G44">
      <f>E44/C44*100</f>
    </oc>
    <nc r="G44">
      <f>E44/C44*100</f>
    </nc>
    <odxf>
      <numFmt numFmtId="4" formatCode="#,##0.00"/>
      <fill>
        <patternFill patternType="none">
          <bgColor indexed="65"/>
        </patternFill>
      </fill>
    </odxf>
    <ndxf>
      <numFmt numFmtId="2" formatCode="0.00"/>
      <fill>
        <patternFill patternType="solid">
          <bgColor theme="9" tint="0.79998168889431442"/>
        </patternFill>
      </fill>
    </ndxf>
  </rcc>
  <rcc rId="9107" sId="9" odxf="1" dxf="1">
    <oc r="H44">
      <f>H45+H46+H47+H48</f>
    </oc>
    <nc r="H44">
      <f>H45+H46+H47+H48</f>
    </nc>
    <odxf>
      <numFmt numFmtId="4" formatCode="#,##0.00"/>
    </odxf>
    <ndxf>
      <numFmt numFmtId="2" formatCode="0.00"/>
    </ndxf>
  </rcc>
  <rcc rId="9108" sId="9" odxf="1" dxf="1">
    <oc r="I44">
      <f>I45+I46+I47+I48</f>
    </oc>
    <nc r="I44">
      <f>I45+I46+I47+I48</f>
    </nc>
    <odxf>
      <numFmt numFmtId="4" formatCode="#,##0.00"/>
    </odxf>
    <ndxf>
      <numFmt numFmtId="2" formatCode="0.00"/>
    </ndxf>
  </rcc>
  <rcc rId="9109" sId="9" odxf="1" dxf="1">
    <oc r="J44">
      <f>J45+J46+J47+J48</f>
    </oc>
    <nc r="J44">
      <f>J45+J46+J47+J48</f>
    </nc>
    <odxf>
      <numFmt numFmtId="4" formatCode="#,##0.00"/>
    </odxf>
    <ndxf>
      <numFmt numFmtId="2" formatCode="0.00"/>
    </ndxf>
  </rcc>
  <rcc rId="9110" sId="9" odxf="1" dxf="1">
    <oc r="K44">
      <f>K45+K46+K47+K48</f>
    </oc>
    <nc r="K44">
      <f>K45+K46+K47+K48</f>
    </nc>
    <odxf>
      <numFmt numFmtId="4" formatCode="#,##0.00"/>
    </odxf>
    <ndxf>
      <numFmt numFmtId="2" formatCode="0.00"/>
    </ndxf>
  </rcc>
  <rcc rId="9111" sId="9" odxf="1" dxf="1">
    <oc r="L44">
      <f>L45+L46+L47+L48</f>
    </oc>
    <nc r="L44">
      <f>L45+L46+L47+L48</f>
    </nc>
    <odxf>
      <numFmt numFmtId="4" formatCode="#,##0.00"/>
    </odxf>
    <ndxf>
      <numFmt numFmtId="2" formatCode="0.00"/>
    </ndxf>
  </rcc>
  <rcc rId="9112" sId="9" odxf="1" dxf="1">
    <nc r="M44">
      <f>M45+M46+M47+M48</f>
    </nc>
    <odxf>
      <numFmt numFmtId="4" formatCode="#,##0.00"/>
    </odxf>
    <ndxf>
      <numFmt numFmtId="2" formatCode="0.00"/>
    </ndxf>
  </rcc>
  <rcc rId="9113" sId="9" odxf="1" dxf="1">
    <oc r="N44">
      <f>N45+N46+N47+N48</f>
    </oc>
    <nc r="N44">
      <f>N45+N46+N47+N48</f>
    </nc>
    <odxf>
      <numFmt numFmtId="4" formatCode="#,##0.00"/>
    </odxf>
    <ndxf>
      <numFmt numFmtId="2" formatCode="0.00"/>
    </ndxf>
  </rcc>
  <rcc rId="9114" sId="9" odxf="1" dxf="1">
    <nc r="O44">
      <f>O45+O46+O47+O48</f>
    </nc>
    <odxf>
      <numFmt numFmtId="4" formatCode="#,##0.00"/>
    </odxf>
    <ndxf>
      <numFmt numFmtId="2" formatCode="0.00"/>
    </ndxf>
  </rcc>
  <rcc rId="9115" sId="9" odxf="1" dxf="1">
    <oc r="P44">
      <f>P45+P46+P47+P48</f>
    </oc>
    <nc r="P44">
      <f>P45+P46+P47+P48</f>
    </nc>
    <odxf>
      <numFmt numFmtId="4" formatCode="#,##0.00"/>
    </odxf>
    <ndxf>
      <numFmt numFmtId="2" formatCode="0.00"/>
    </ndxf>
  </rcc>
  <rcc rId="9116" sId="9" odxf="1" dxf="1">
    <nc r="Q44">
      <f>Q45+Q46+Q47+Q48</f>
    </nc>
    <odxf>
      <numFmt numFmtId="4" formatCode="#,##0.00"/>
    </odxf>
    <ndxf>
      <numFmt numFmtId="2" formatCode="0.00"/>
    </ndxf>
  </rcc>
  <rcc rId="9117" sId="9" odxf="1" dxf="1">
    <oc r="R44">
      <f>R45+R46+R47+R48</f>
    </oc>
    <nc r="R44">
      <f>R45+R46+R47+R48</f>
    </nc>
    <odxf>
      <numFmt numFmtId="4" formatCode="#,##0.00"/>
    </odxf>
    <ndxf>
      <numFmt numFmtId="2" formatCode="0.00"/>
    </ndxf>
  </rcc>
  <rcc rId="9118" sId="9" odxf="1" dxf="1">
    <nc r="S44">
      <f>S45+S46+S47+S48</f>
    </nc>
    <odxf>
      <numFmt numFmtId="4" formatCode="#,##0.00"/>
    </odxf>
    <ndxf>
      <numFmt numFmtId="2" formatCode="0.00"/>
    </ndxf>
  </rcc>
  <rcc rId="9119" sId="9" odxf="1" dxf="1">
    <oc r="T44">
      <f>T45+T46+T47+T48</f>
    </oc>
    <nc r="T44">
      <f>T45+T46+T47+T48</f>
    </nc>
    <odxf>
      <numFmt numFmtId="4" formatCode="#,##0.00"/>
    </odxf>
    <ndxf>
      <numFmt numFmtId="2" formatCode="0.00"/>
    </ndxf>
  </rcc>
  <rfmt sheetId="9" sqref="U44" start="0" length="0">
    <dxf>
      <numFmt numFmtId="2" formatCode="0.00"/>
    </dxf>
  </rfmt>
  <rcc rId="9120" sId="9" odxf="1" dxf="1">
    <oc r="V44">
      <f>V45+V46+V47+V48</f>
    </oc>
    <nc r="V44">
      <f>V45+V46+V47+V48</f>
    </nc>
    <odxf>
      <numFmt numFmtId="4" formatCode="#,##0.00"/>
    </odxf>
    <ndxf>
      <numFmt numFmtId="2" formatCode="0.00"/>
    </ndxf>
  </rcc>
  <rfmt sheetId="9" sqref="W44" start="0" length="0">
    <dxf>
      <numFmt numFmtId="2" formatCode="0.00"/>
    </dxf>
  </rfmt>
  <rcc rId="9121" sId="9" odxf="1" dxf="1">
    <oc r="X44">
      <f>X45+X46+X47+X48</f>
    </oc>
    <nc r="X44">
      <f>X45+X46+X47+X48</f>
    </nc>
    <odxf>
      <numFmt numFmtId="4" formatCode="#,##0.00"/>
    </odxf>
    <ndxf>
      <numFmt numFmtId="2" formatCode="0.00"/>
    </ndxf>
  </rcc>
  <rfmt sheetId="9" sqref="Y44" start="0" length="0">
    <dxf>
      <numFmt numFmtId="2" formatCode="0.00"/>
    </dxf>
  </rfmt>
  <rcc rId="9122" sId="9" odxf="1" dxf="1">
    <oc r="Z44">
      <f>Z45+Z46+Z47+Z48</f>
    </oc>
    <nc r="Z44">
      <f>Z45+Z46+Z47+Z48</f>
    </nc>
    <odxf>
      <numFmt numFmtId="4" formatCode="#,##0.00"/>
    </odxf>
    <ndxf>
      <numFmt numFmtId="2" formatCode="0.00"/>
    </ndxf>
  </rcc>
  <rfmt sheetId="9" sqref="AA44" start="0" length="0">
    <dxf>
      <numFmt numFmtId="2" formatCode="0.00"/>
    </dxf>
  </rfmt>
  <rcc rId="9123" sId="9" odxf="1" dxf="1">
    <oc r="AB44">
      <f>AB45+AB46+AB47+AB48</f>
    </oc>
    <nc r="AB44">
      <f>AB45+AB46+AB47+AB48</f>
    </nc>
    <odxf>
      <numFmt numFmtId="4" formatCode="#,##0.00"/>
    </odxf>
    <ndxf>
      <numFmt numFmtId="2" formatCode="0.00"/>
    </ndxf>
  </rcc>
  <rfmt sheetId="9" sqref="AC44" start="0" length="0">
    <dxf>
      <numFmt numFmtId="2" formatCode="0.00"/>
    </dxf>
  </rfmt>
  <rcc rId="9124" sId="9" odxf="1" dxf="1">
    <oc r="AD44">
      <f>AD45+AD46+AD47+AD48</f>
    </oc>
    <nc r="AD44">
      <f>AD45+AD46+AD47+AD48</f>
    </nc>
    <odxf>
      <numFmt numFmtId="4" formatCode="#,##0.00"/>
    </odxf>
    <ndxf>
      <numFmt numFmtId="2" formatCode="0.00"/>
    </ndxf>
  </rcc>
  <rfmt sheetId="9" sqref="AE44" start="0" length="0">
    <dxf>
      <numFmt numFmtId="2" formatCode="0.00"/>
    </dxf>
  </rfmt>
  <rcc rId="9125" sId="9" odxf="1" dxf="1">
    <oc r="B45">
      <f>H45+J45+L45+N45+P45+R45+T45+V45+X45+Z45+AB45+AD45</f>
    </oc>
    <nc r="B45">
      <f>H45+J45+L45+N45+P45+R45+T45+V45+X45+Z45+AB45+AD45</f>
    </nc>
    <odxf>
      <font>
        <b val="0"/>
        <sz val="14"/>
        <name val="Times New Roman"/>
        <scheme val="none"/>
      </font>
      <numFmt numFmtId="4" formatCode="#,##0.00"/>
    </odxf>
    <ndxf>
      <font>
        <b/>
        <sz val="14"/>
        <name val="Times New Roman"/>
        <scheme val="none"/>
      </font>
      <numFmt numFmtId="2" formatCode="0.00"/>
    </ndxf>
  </rcc>
  <rcc rId="9126" sId="9" odxf="1" dxf="1">
    <oc r="C45">
      <f>H45+J45</f>
    </oc>
    <nc r="C45">
      <f>H45</f>
    </nc>
    <odxf>
      <font>
        <b val="0"/>
        <sz val="14"/>
        <name val="Times New Roman"/>
        <scheme val="none"/>
      </font>
      <numFmt numFmtId="4" formatCode="#,##0.00"/>
    </odxf>
    <ndxf>
      <font>
        <b/>
        <sz val="14"/>
        <name val="Times New Roman"/>
        <scheme val="none"/>
      </font>
      <numFmt numFmtId="2" formatCode="0.00"/>
    </ndxf>
  </rcc>
  <rcc rId="9127" sId="9" odxf="1" dxf="1">
    <oc r="D45">
      <f>E45</f>
    </oc>
    <nc r="D45">
      <f>E45</f>
    </nc>
    <odxf>
      <font>
        <b val="0"/>
        <sz val="14"/>
        <name val="Times New Roman"/>
        <scheme val="none"/>
      </font>
      <numFmt numFmtId="4" formatCode="#,##0.00"/>
    </odxf>
    <ndxf>
      <font>
        <b/>
        <sz val="14"/>
        <name val="Times New Roman"/>
        <scheme val="none"/>
      </font>
      <numFmt numFmtId="2" formatCode="0.00"/>
    </ndxf>
  </rcc>
  <rfmt sheetId="9" sqref="E45" start="0" length="0">
    <dxf>
      <font>
        <b/>
        <sz val="14"/>
        <name val="Times New Roman"/>
        <scheme val="none"/>
      </font>
      <numFmt numFmtId="2" formatCode="0.00"/>
    </dxf>
  </rfmt>
  <rfmt sheetId="9" sqref="F45" start="0" length="0">
    <dxf>
      <font>
        <b/>
        <sz val="14"/>
        <name val="Times New Roman"/>
        <scheme val="none"/>
      </font>
      <numFmt numFmtId="2" formatCode="0.00"/>
      <fill>
        <patternFill patternType="solid">
          <bgColor theme="9" tint="0.79998168889431442"/>
        </patternFill>
      </fill>
    </dxf>
  </rfmt>
  <rfmt sheetId="9" sqref="G45" start="0" length="0">
    <dxf>
      <font>
        <b/>
        <sz val="14"/>
        <name val="Times New Roman"/>
        <scheme val="none"/>
      </font>
      <numFmt numFmtId="2" formatCode="0.00"/>
      <fill>
        <patternFill patternType="solid">
          <bgColor theme="9" tint="0.79998168889431442"/>
        </patternFill>
      </fill>
    </dxf>
  </rfmt>
  <rfmt sheetId="9" sqref="H45" start="0" length="0">
    <dxf>
      <font>
        <b/>
        <sz val="14"/>
        <name val="Times New Roman"/>
        <scheme val="none"/>
      </font>
      <numFmt numFmtId="2" formatCode="0.00"/>
    </dxf>
  </rfmt>
  <rfmt sheetId="9" sqref="I45" start="0" length="0">
    <dxf>
      <font>
        <b/>
        <sz val="14"/>
        <name val="Times New Roman"/>
        <scheme val="none"/>
      </font>
      <numFmt numFmtId="2" formatCode="0.00"/>
    </dxf>
  </rfmt>
  <rfmt sheetId="9" sqref="J45" start="0" length="0">
    <dxf>
      <font>
        <b/>
        <sz val="14"/>
        <name val="Times New Roman"/>
        <scheme val="none"/>
      </font>
      <numFmt numFmtId="2" formatCode="0.00"/>
    </dxf>
  </rfmt>
  <rfmt sheetId="9" sqref="K45" start="0" length="0">
    <dxf>
      <font>
        <b/>
        <sz val="14"/>
        <name val="Times New Roman"/>
        <scheme val="none"/>
      </font>
      <numFmt numFmtId="2" formatCode="0.00"/>
    </dxf>
  </rfmt>
  <rcc rId="9128" sId="9" odxf="1" dxf="1" numFmtId="4">
    <nc r="L45">
      <v>0</v>
    </nc>
    <odxf>
      <font>
        <b val="0"/>
        <sz val="14"/>
        <name val="Times New Roman"/>
        <scheme val="none"/>
      </font>
      <numFmt numFmtId="4" formatCode="#,##0.00"/>
    </odxf>
    <ndxf>
      <font>
        <b/>
        <sz val="14"/>
        <name val="Times New Roman"/>
        <scheme val="none"/>
      </font>
      <numFmt numFmtId="2" formatCode="0.00"/>
    </ndxf>
  </rcc>
  <rcc rId="9129" sId="9" odxf="1" dxf="1" numFmtId="4">
    <nc r="M45">
      <v>0</v>
    </nc>
    <odxf>
      <font>
        <b val="0"/>
        <sz val="14"/>
        <name val="Times New Roman"/>
        <scheme val="none"/>
      </font>
      <numFmt numFmtId="4" formatCode="#,##0.00"/>
    </odxf>
    <ndxf>
      <font>
        <b/>
        <sz val="14"/>
        <name val="Times New Roman"/>
        <scheme val="none"/>
      </font>
      <numFmt numFmtId="2" formatCode="0.00"/>
    </ndxf>
  </rcc>
  <rcc rId="9130" sId="9" odxf="1" dxf="1" numFmtId="4">
    <nc r="N45">
      <v>0</v>
    </nc>
    <odxf>
      <font>
        <b val="0"/>
        <sz val="14"/>
        <name val="Times New Roman"/>
        <scheme val="none"/>
      </font>
      <numFmt numFmtId="4" formatCode="#,##0.00"/>
    </odxf>
    <ndxf>
      <font>
        <b/>
        <sz val="14"/>
        <name val="Times New Roman"/>
        <scheme val="none"/>
      </font>
      <numFmt numFmtId="2" formatCode="0.00"/>
    </ndxf>
  </rcc>
  <rcc rId="9131" sId="9" odxf="1" dxf="1" numFmtId="4">
    <nc r="O45">
      <v>0</v>
    </nc>
    <odxf>
      <font>
        <b val="0"/>
        <sz val="14"/>
        <name val="Times New Roman"/>
        <scheme val="none"/>
      </font>
      <numFmt numFmtId="4" formatCode="#,##0.00"/>
    </odxf>
    <ndxf>
      <font>
        <b/>
        <sz val="14"/>
        <name val="Times New Roman"/>
        <scheme val="none"/>
      </font>
      <numFmt numFmtId="2" formatCode="0.00"/>
    </ndxf>
  </rcc>
  <rcc rId="9132" sId="9" odxf="1" dxf="1" numFmtId="4">
    <nc r="P45">
      <v>0</v>
    </nc>
    <odxf>
      <font>
        <b val="0"/>
        <sz val="14"/>
        <name val="Times New Roman"/>
        <scheme val="none"/>
      </font>
      <numFmt numFmtId="4" formatCode="#,##0.00"/>
    </odxf>
    <ndxf>
      <font>
        <b/>
        <sz val="14"/>
        <name val="Times New Roman"/>
        <scheme val="none"/>
      </font>
      <numFmt numFmtId="2" formatCode="0.00"/>
    </ndxf>
  </rcc>
  <rcc rId="9133" sId="9" odxf="1" dxf="1" numFmtId="4">
    <nc r="Q45">
      <v>0</v>
    </nc>
    <odxf>
      <font>
        <b val="0"/>
        <sz val="14"/>
        <name val="Times New Roman"/>
        <scheme val="none"/>
      </font>
      <numFmt numFmtId="4" formatCode="#,##0.00"/>
    </odxf>
    <ndxf>
      <font>
        <b/>
        <sz val="14"/>
        <name val="Times New Roman"/>
        <scheme val="none"/>
      </font>
      <numFmt numFmtId="2" formatCode="0.00"/>
    </ndxf>
  </rcc>
  <rcc rId="9134" sId="9" odxf="1" dxf="1" numFmtId="4">
    <nc r="R45">
      <v>0</v>
    </nc>
    <odxf>
      <font>
        <b val="0"/>
        <sz val="14"/>
        <name val="Times New Roman"/>
        <scheme val="none"/>
      </font>
      <numFmt numFmtId="4" formatCode="#,##0.00"/>
    </odxf>
    <ndxf>
      <font>
        <b/>
        <sz val="14"/>
        <name val="Times New Roman"/>
        <scheme val="none"/>
      </font>
      <numFmt numFmtId="2" formatCode="0.00"/>
    </ndxf>
  </rcc>
  <rcc rId="9135" sId="9" odxf="1" dxf="1" numFmtId="4">
    <nc r="S45">
      <v>0</v>
    </nc>
    <odxf>
      <font>
        <b val="0"/>
        <sz val="14"/>
        <name val="Times New Roman"/>
        <scheme val="none"/>
      </font>
      <numFmt numFmtId="4" formatCode="#,##0.00"/>
    </odxf>
    <ndxf>
      <font>
        <b/>
        <sz val="14"/>
        <name val="Times New Roman"/>
        <scheme val="none"/>
      </font>
      <numFmt numFmtId="2" formatCode="0.00"/>
    </ndxf>
  </rcc>
  <rcc rId="9136" sId="9" odxf="1" dxf="1" numFmtId="4">
    <nc r="T45">
      <v>0</v>
    </nc>
    <odxf>
      <font>
        <b val="0"/>
        <sz val="14"/>
        <name val="Times New Roman"/>
        <scheme val="none"/>
      </font>
      <numFmt numFmtId="4" formatCode="#,##0.00"/>
    </odxf>
    <ndxf>
      <font>
        <b/>
        <sz val="14"/>
        <name val="Times New Roman"/>
        <scheme val="none"/>
      </font>
      <numFmt numFmtId="2" formatCode="0.00"/>
    </ndxf>
  </rcc>
  <rfmt sheetId="9" sqref="U45" start="0" length="0">
    <dxf>
      <font>
        <b/>
        <sz val="14"/>
        <name val="Times New Roman"/>
        <scheme val="none"/>
      </font>
      <numFmt numFmtId="2" formatCode="0.00"/>
    </dxf>
  </rfmt>
  <rcc rId="9137" sId="9" odxf="1" dxf="1" numFmtId="4">
    <nc r="V45">
      <v>0</v>
    </nc>
    <odxf>
      <font>
        <b val="0"/>
        <sz val="14"/>
        <name val="Times New Roman"/>
        <scheme val="none"/>
      </font>
      <numFmt numFmtId="4" formatCode="#,##0.00"/>
    </odxf>
    <ndxf>
      <font>
        <b/>
        <sz val="14"/>
        <name val="Times New Roman"/>
        <scheme val="none"/>
      </font>
      <numFmt numFmtId="2" formatCode="0.00"/>
    </ndxf>
  </rcc>
  <rfmt sheetId="9" sqref="W45" start="0" length="0">
    <dxf>
      <font>
        <b/>
        <sz val="14"/>
        <name val="Times New Roman"/>
        <scheme val="none"/>
      </font>
      <numFmt numFmtId="2" formatCode="0.00"/>
    </dxf>
  </rfmt>
  <rcc rId="9138" sId="9" odxf="1" dxf="1" numFmtId="4">
    <nc r="X45">
      <v>0</v>
    </nc>
    <odxf>
      <font>
        <b val="0"/>
        <sz val="14"/>
        <name val="Times New Roman"/>
        <scheme val="none"/>
      </font>
      <numFmt numFmtId="4" formatCode="#,##0.00"/>
    </odxf>
    <ndxf>
      <font>
        <b/>
        <sz val="14"/>
        <name val="Times New Roman"/>
        <scheme val="none"/>
      </font>
      <numFmt numFmtId="2" formatCode="0.00"/>
    </ndxf>
  </rcc>
  <rfmt sheetId="9" sqref="Y45" start="0" length="0">
    <dxf>
      <font>
        <b/>
        <sz val="14"/>
        <name val="Times New Roman"/>
        <scheme val="none"/>
      </font>
      <numFmt numFmtId="2" formatCode="0.00"/>
    </dxf>
  </rfmt>
  <rcc rId="9139" sId="9" odxf="1" dxf="1" numFmtId="4">
    <nc r="Z45">
      <v>0</v>
    </nc>
    <odxf>
      <font>
        <b val="0"/>
        <sz val="14"/>
        <name val="Times New Roman"/>
        <scheme val="none"/>
      </font>
      <numFmt numFmtId="4" formatCode="#,##0.00"/>
    </odxf>
    <ndxf>
      <font>
        <b/>
        <sz val="14"/>
        <name val="Times New Roman"/>
        <scheme val="none"/>
      </font>
      <numFmt numFmtId="2" formatCode="0.00"/>
    </ndxf>
  </rcc>
  <rfmt sheetId="9" sqref="AA45" start="0" length="0">
    <dxf>
      <font>
        <b/>
        <sz val="14"/>
        <name val="Times New Roman"/>
        <scheme val="none"/>
      </font>
      <numFmt numFmtId="2" formatCode="0.00"/>
    </dxf>
  </rfmt>
  <rcc rId="9140" sId="9" odxf="1" dxf="1" numFmtId="4">
    <nc r="AB45">
      <v>0</v>
    </nc>
    <odxf>
      <font>
        <b val="0"/>
        <sz val="14"/>
        <name val="Times New Roman"/>
        <scheme val="none"/>
      </font>
      <numFmt numFmtId="4" formatCode="#,##0.00"/>
    </odxf>
    <ndxf>
      <font>
        <b/>
        <sz val="14"/>
        <name val="Times New Roman"/>
        <scheme val="none"/>
      </font>
      <numFmt numFmtId="2" formatCode="0.00"/>
    </ndxf>
  </rcc>
  <rfmt sheetId="9" sqref="AC45" start="0" length="0">
    <dxf>
      <font>
        <b/>
        <sz val="14"/>
        <name val="Times New Roman"/>
        <scheme val="none"/>
      </font>
      <numFmt numFmtId="2" formatCode="0.00"/>
    </dxf>
  </rfmt>
  <rcc rId="9141" sId="9" odxf="1" dxf="1" numFmtId="4">
    <nc r="AD45">
      <v>0</v>
    </nc>
    <odxf>
      <font>
        <b val="0"/>
        <sz val="14"/>
        <name val="Times New Roman"/>
        <scheme val="none"/>
      </font>
      <numFmt numFmtId="4" formatCode="#,##0.00"/>
    </odxf>
    <ndxf>
      <font>
        <b/>
        <sz val="14"/>
        <name val="Times New Roman"/>
        <scheme val="none"/>
      </font>
      <numFmt numFmtId="2" formatCode="0.00"/>
    </ndxf>
  </rcc>
  <rfmt sheetId="9" sqref="AE45" start="0" length="0">
    <dxf>
      <font>
        <b/>
        <sz val="14"/>
        <name val="Times New Roman"/>
        <scheme val="none"/>
      </font>
      <numFmt numFmtId="2" formatCode="0.00"/>
    </dxf>
  </rfmt>
  <rcc rId="9142" sId="9" odxf="1" dxf="1">
    <oc r="B46">
      <f>H46+J46+L46+N46+P46+R46+T46+V46+X46+Z46+AB46+AD46</f>
    </oc>
    <nc r="B46">
      <f>H46+J46+L46+N46+P46+R46+T46+V46+X46+Z46+AB46+AD46</f>
    </nc>
    <odxf>
      <font>
        <b val="0"/>
        <sz val="14"/>
        <name val="Times New Roman"/>
        <scheme val="none"/>
      </font>
      <numFmt numFmtId="4" formatCode="#,##0.00"/>
    </odxf>
    <ndxf>
      <font>
        <b/>
        <sz val="14"/>
        <name val="Times New Roman"/>
        <scheme val="none"/>
      </font>
      <numFmt numFmtId="2" formatCode="0.00"/>
    </ndxf>
  </rcc>
  <rcc rId="9143" sId="9" odxf="1" dxf="1">
    <oc r="C46">
      <f>H46+J46</f>
    </oc>
    <nc r="C46">
      <f>H46</f>
    </nc>
    <odxf>
      <font>
        <b val="0"/>
        <sz val="14"/>
        <name val="Times New Roman"/>
        <scheme val="none"/>
      </font>
      <numFmt numFmtId="4" formatCode="#,##0.00"/>
    </odxf>
    <ndxf>
      <font>
        <b/>
        <sz val="14"/>
        <name val="Times New Roman"/>
        <scheme val="none"/>
      </font>
      <numFmt numFmtId="2" formatCode="0.00"/>
    </ndxf>
  </rcc>
  <rcc rId="9144" sId="9" odxf="1" dxf="1">
    <oc r="D46">
      <f>E46</f>
    </oc>
    <nc r="D46">
      <f>E46</f>
    </nc>
    <odxf>
      <font>
        <b val="0"/>
        <sz val="14"/>
        <name val="Times New Roman"/>
        <scheme val="none"/>
      </font>
      <numFmt numFmtId="4" formatCode="#,##0.00"/>
    </odxf>
    <ndxf>
      <font>
        <b/>
        <sz val="14"/>
        <name val="Times New Roman"/>
        <scheme val="none"/>
      </font>
      <numFmt numFmtId="2" formatCode="0.00"/>
    </ndxf>
  </rcc>
  <rfmt sheetId="9" sqref="E46" start="0" length="0">
    <dxf>
      <font>
        <b/>
        <sz val="14"/>
        <name val="Times New Roman"/>
        <scheme val="none"/>
      </font>
      <numFmt numFmtId="2" formatCode="0.00"/>
    </dxf>
  </rfmt>
  <rfmt sheetId="9" sqref="F46" start="0" length="0">
    <dxf>
      <font>
        <b/>
        <sz val="14"/>
        <name val="Times New Roman"/>
        <scheme val="none"/>
      </font>
      <numFmt numFmtId="2" formatCode="0.00"/>
      <fill>
        <patternFill patternType="solid">
          <bgColor theme="9" tint="0.79998168889431442"/>
        </patternFill>
      </fill>
    </dxf>
  </rfmt>
  <rfmt sheetId="9" sqref="G46" start="0" length="0">
    <dxf>
      <font>
        <b/>
        <sz val="14"/>
        <name val="Times New Roman"/>
        <scheme val="none"/>
      </font>
      <numFmt numFmtId="2" formatCode="0.00"/>
      <fill>
        <patternFill patternType="solid">
          <bgColor theme="9" tint="0.79998168889431442"/>
        </patternFill>
      </fill>
    </dxf>
  </rfmt>
  <rfmt sheetId="9" sqref="H46" start="0" length="0">
    <dxf>
      <font>
        <b/>
        <sz val="14"/>
        <name val="Times New Roman"/>
        <scheme val="none"/>
      </font>
      <numFmt numFmtId="2" formatCode="0.00"/>
    </dxf>
  </rfmt>
  <rfmt sheetId="9" sqref="I46" start="0" length="0">
    <dxf>
      <font>
        <b/>
        <sz val="14"/>
        <name val="Times New Roman"/>
        <scheme val="none"/>
      </font>
      <numFmt numFmtId="2" formatCode="0.00"/>
    </dxf>
  </rfmt>
  <rfmt sheetId="9" sqref="J46" start="0" length="0">
    <dxf>
      <font>
        <b/>
        <sz val="14"/>
        <name val="Times New Roman"/>
        <scheme val="none"/>
      </font>
      <numFmt numFmtId="2" formatCode="0.00"/>
    </dxf>
  </rfmt>
  <rfmt sheetId="9" sqref="K46" start="0" length="0">
    <dxf>
      <font>
        <b/>
        <sz val="14"/>
        <name val="Times New Roman"/>
        <scheme val="none"/>
      </font>
      <numFmt numFmtId="2" formatCode="0.00"/>
    </dxf>
  </rfmt>
  <rcc rId="9145" sId="9" odxf="1" dxf="1" numFmtId="4">
    <nc r="L46">
      <v>0</v>
    </nc>
    <odxf>
      <font>
        <b val="0"/>
        <sz val="14"/>
        <name val="Times New Roman"/>
        <scheme val="none"/>
      </font>
      <numFmt numFmtId="4" formatCode="#,##0.00"/>
    </odxf>
    <ndxf>
      <font>
        <b/>
        <sz val="14"/>
        <name val="Times New Roman"/>
        <scheme val="none"/>
      </font>
      <numFmt numFmtId="2" formatCode="0.00"/>
    </ndxf>
  </rcc>
  <rcc rId="9146" sId="9" odxf="1" dxf="1" numFmtId="4">
    <nc r="M46">
      <v>0</v>
    </nc>
    <odxf>
      <font>
        <b val="0"/>
        <sz val="14"/>
        <name val="Times New Roman"/>
        <scheme val="none"/>
      </font>
      <numFmt numFmtId="4" formatCode="#,##0.00"/>
    </odxf>
    <ndxf>
      <font>
        <b/>
        <sz val="14"/>
        <name val="Times New Roman"/>
        <scheme val="none"/>
      </font>
      <numFmt numFmtId="2" formatCode="0.00"/>
    </ndxf>
  </rcc>
  <rcc rId="9147" sId="9" odxf="1" dxf="1" numFmtId="4">
    <nc r="N46">
      <v>0</v>
    </nc>
    <odxf>
      <font>
        <b val="0"/>
        <sz val="14"/>
        <name val="Times New Roman"/>
        <scheme val="none"/>
      </font>
      <numFmt numFmtId="4" formatCode="#,##0.00"/>
    </odxf>
    <ndxf>
      <font>
        <b/>
        <sz val="14"/>
        <name val="Times New Roman"/>
        <scheme val="none"/>
      </font>
      <numFmt numFmtId="2" formatCode="0.00"/>
    </ndxf>
  </rcc>
  <rcc rId="9148" sId="9" odxf="1" dxf="1" numFmtId="4">
    <nc r="O46">
      <v>0</v>
    </nc>
    <odxf>
      <font>
        <b val="0"/>
        <sz val="14"/>
        <name val="Times New Roman"/>
        <scheme val="none"/>
      </font>
      <numFmt numFmtId="4" formatCode="#,##0.00"/>
    </odxf>
    <ndxf>
      <font>
        <b/>
        <sz val="14"/>
        <name val="Times New Roman"/>
        <scheme val="none"/>
      </font>
      <numFmt numFmtId="2" formatCode="0.00"/>
    </ndxf>
  </rcc>
  <rcc rId="9149" sId="9" odxf="1" dxf="1" numFmtId="4">
    <nc r="P46">
      <v>0</v>
    </nc>
    <odxf>
      <font>
        <b val="0"/>
        <sz val="14"/>
        <name val="Times New Roman"/>
        <scheme val="none"/>
      </font>
      <numFmt numFmtId="4" formatCode="#,##0.00"/>
    </odxf>
    <ndxf>
      <font>
        <b/>
        <sz val="14"/>
        <name val="Times New Roman"/>
        <scheme val="none"/>
      </font>
      <numFmt numFmtId="2" formatCode="0.00"/>
    </ndxf>
  </rcc>
  <rcc rId="9150" sId="9" odxf="1" dxf="1" numFmtId="4">
    <nc r="Q46">
      <v>0</v>
    </nc>
    <odxf>
      <font>
        <b val="0"/>
        <sz val="14"/>
        <name val="Times New Roman"/>
        <scheme val="none"/>
      </font>
      <numFmt numFmtId="4" formatCode="#,##0.00"/>
    </odxf>
    <ndxf>
      <font>
        <b/>
        <sz val="14"/>
        <name val="Times New Roman"/>
        <scheme val="none"/>
      </font>
      <numFmt numFmtId="2" formatCode="0.00"/>
    </ndxf>
  </rcc>
  <rcc rId="9151" sId="9" odxf="1" dxf="1" numFmtId="4">
    <nc r="R46">
      <v>0</v>
    </nc>
    <odxf>
      <font>
        <b val="0"/>
        <sz val="14"/>
        <name val="Times New Roman"/>
        <scheme val="none"/>
      </font>
      <numFmt numFmtId="4" formatCode="#,##0.00"/>
    </odxf>
    <ndxf>
      <font>
        <b/>
        <sz val="14"/>
        <name val="Times New Roman"/>
        <scheme val="none"/>
      </font>
      <numFmt numFmtId="2" formatCode="0.00"/>
    </ndxf>
  </rcc>
  <rcc rId="9152" sId="9" odxf="1" dxf="1" numFmtId="4">
    <nc r="S46">
      <v>0</v>
    </nc>
    <odxf>
      <font>
        <b val="0"/>
        <sz val="14"/>
        <name val="Times New Roman"/>
        <scheme val="none"/>
      </font>
      <numFmt numFmtId="4" formatCode="#,##0.00"/>
    </odxf>
    <ndxf>
      <font>
        <b/>
        <sz val="14"/>
        <name val="Times New Roman"/>
        <scheme val="none"/>
      </font>
      <numFmt numFmtId="2" formatCode="0.00"/>
    </ndxf>
  </rcc>
  <rcc rId="9153" sId="9" odxf="1" dxf="1" numFmtId="4">
    <nc r="T46">
      <v>0</v>
    </nc>
    <odxf>
      <font>
        <b val="0"/>
        <sz val="14"/>
        <name val="Times New Roman"/>
        <scheme val="none"/>
      </font>
      <numFmt numFmtId="4" formatCode="#,##0.00"/>
    </odxf>
    <ndxf>
      <font>
        <b/>
        <sz val="14"/>
        <name val="Times New Roman"/>
        <scheme val="none"/>
      </font>
      <numFmt numFmtId="2" formatCode="0.00"/>
    </ndxf>
  </rcc>
  <rfmt sheetId="9" sqref="U46" start="0" length="0">
    <dxf>
      <font>
        <b/>
        <sz val="14"/>
        <name val="Times New Roman"/>
        <scheme val="none"/>
      </font>
      <numFmt numFmtId="2" formatCode="0.00"/>
    </dxf>
  </rfmt>
  <rcc rId="9154" sId="9" odxf="1" dxf="1" numFmtId="4">
    <nc r="V46">
      <v>0</v>
    </nc>
    <odxf>
      <font>
        <b val="0"/>
        <sz val="14"/>
        <name val="Times New Roman"/>
        <scheme val="none"/>
      </font>
      <numFmt numFmtId="4" formatCode="#,##0.00"/>
    </odxf>
    <ndxf>
      <font>
        <b/>
        <sz val="14"/>
        <name val="Times New Roman"/>
        <scheme val="none"/>
      </font>
      <numFmt numFmtId="2" formatCode="0.00"/>
    </ndxf>
  </rcc>
  <rfmt sheetId="9" sqref="W46" start="0" length="0">
    <dxf>
      <font>
        <b/>
        <sz val="14"/>
        <name val="Times New Roman"/>
        <scheme val="none"/>
      </font>
      <numFmt numFmtId="2" formatCode="0.00"/>
    </dxf>
  </rfmt>
  <rcc rId="9155" sId="9" odxf="1" dxf="1" numFmtId="4">
    <nc r="X46">
      <v>0</v>
    </nc>
    <odxf>
      <font>
        <b val="0"/>
        <sz val="14"/>
        <name val="Times New Roman"/>
        <scheme val="none"/>
      </font>
      <numFmt numFmtId="4" formatCode="#,##0.00"/>
    </odxf>
    <ndxf>
      <font>
        <b/>
        <sz val="14"/>
        <name val="Times New Roman"/>
        <scheme val="none"/>
      </font>
      <numFmt numFmtId="2" formatCode="0.00"/>
    </ndxf>
  </rcc>
  <rfmt sheetId="9" sqref="Y46" start="0" length="0">
    <dxf>
      <font>
        <b/>
        <sz val="14"/>
        <name val="Times New Roman"/>
        <scheme val="none"/>
      </font>
      <numFmt numFmtId="2" formatCode="0.00"/>
    </dxf>
  </rfmt>
  <rcc rId="9156" sId="9" odxf="1" dxf="1" numFmtId="4">
    <nc r="Z46">
      <v>0</v>
    </nc>
    <odxf>
      <font>
        <b val="0"/>
        <sz val="14"/>
        <name val="Times New Roman"/>
        <scheme val="none"/>
      </font>
      <numFmt numFmtId="4" formatCode="#,##0.00"/>
    </odxf>
    <ndxf>
      <font>
        <b/>
        <sz val="14"/>
        <name val="Times New Roman"/>
        <scheme val="none"/>
      </font>
      <numFmt numFmtId="2" formatCode="0.00"/>
    </ndxf>
  </rcc>
  <rfmt sheetId="9" sqref="AA46" start="0" length="0">
    <dxf>
      <font>
        <b/>
        <sz val="14"/>
        <name val="Times New Roman"/>
        <scheme val="none"/>
      </font>
      <numFmt numFmtId="2" formatCode="0.00"/>
    </dxf>
  </rfmt>
  <rcc rId="9157" sId="9" odxf="1" dxf="1" numFmtId="4">
    <nc r="AB46">
      <v>0</v>
    </nc>
    <odxf>
      <font>
        <b val="0"/>
        <sz val="14"/>
        <name val="Times New Roman"/>
        <scheme val="none"/>
      </font>
      <numFmt numFmtId="4" formatCode="#,##0.00"/>
    </odxf>
    <ndxf>
      <font>
        <b/>
        <sz val="14"/>
        <name val="Times New Roman"/>
        <scheme val="none"/>
      </font>
      <numFmt numFmtId="2" formatCode="0.00"/>
    </ndxf>
  </rcc>
  <rfmt sheetId="9" sqref="AC46" start="0" length="0">
    <dxf>
      <font>
        <b/>
        <sz val="14"/>
        <name val="Times New Roman"/>
        <scheme val="none"/>
      </font>
      <numFmt numFmtId="2" formatCode="0.00"/>
    </dxf>
  </rfmt>
  <rcc rId="9158" sId="9" odxf="1" dxf="1" numFmtId="4">
    <nc r="AD46">
      <v>0</v>
    </nc>
    <odxf>
      <font>
        <b val="0"/>
        <sz val="14"/>
        <name val="Times New Roman"/>
        <scheme val="none"/>
      </font>
      <numFmt numFmtId="4" formatCode="#,##0.00"/>
    </odxf>
    <ndxf>
      <font>
        <b/>
        <sz val="14"/>
        <name val="Times New Roman"/>
        <scheme val="none"/>
      </font>
      <numFmt numFmtId="2" formatCode="0.00"/>
    </ndxf>
  </rcc>
  <rfmt sheetId="9" sqref="AE46" start="0" length="0">
    <dxf>
      <font>
        <b/>
        <sz val="14"/>
        <name val="Times New Roman"/>
        <scheme val="none"/>
      </font>
      <numFmt numFmtId="2" formatCode="0.00"/>
    </dxf>
  </rfmt>
  <rcc rId="9159" sId="9" odxf="1" dxf="1">
    <oc r="B47">
      <f>H47+J47+L47+N47+P47+R47+T47+V47+X47+Z47+AB47+AD47</f>
    </oc>
    <nc r="B47">
      <f>H47+J47+L47+N47+P47+R47+T47+V47+X47+Z47+AB47+AD47</f>
    </nc>
    <odxf>
      <font>
        <b val="0"/>
        <sz val="14"/>
        <name val="Times New Roman"/>
        <scheme val="none"/>
      </font>
      <numFmt numFmtId="4" formatCode="#,##0.00"/>
    </odxf>
    <ndxf>
      <font>
        <b/>
        <sz val="14"/>
        <name val="Times New Roman"/>
        <scheme val="none"/>
      </font>
      <numFmt numFmtId="2" formatCode="0.00"/>
    </ndxf>
  </rcc>
  <rcc rId="9160" sId="9" odxf="1" dxf="1">
    <oc r="C47">
      <f>H47+J47</f>
    </oc>
    <nc r="C47">
      <f>H47+J47+L47+N47+P47+R47</f>
    </nc>
    <odxf>
      <font>
        <b val="0"/>
        <sz val="14"/>
        <name val="Times New Roman"/>
        <scheme val="none"/>
      </font>
      <numFmt numFmtId="4" formatCode="#,##0.00"/>
      <border outline="0">
        <right style="thin">
          <color indexed="64"/>
        </right>
      </border>
    </odxf>
    <ndxf>
      <font>
        <b/>
        <sz val="14"/>
        <name val="Times New Roman"/>
        <scheme val="none"/>
      </font>
      <numFmt numFmtId="2" formatCode="0.00"/>
      <border outline="0">
        <right/>
      </border>
    </ndxf>
  </rcc>
  <rcc rId="9161" sId="9" odxf="1" dxf="1">
    <oc r="D47">
      <f>E47</f>
    </oc>
    <nc r="D47">
      <f>E47</f>
    </nc>
    <odxf>
      <font>
        <b val="0"/>
        <sz val="14"/>
        <name val="Times New Roman"/>
        <scheme val="none"/>
      </font>
      <numFmt numFmtId="4" formatCode="#,##0.00"/>
    </odxf>
    <ndxf>
      <font>
        <b/>
        <sz val="14"/>
        <name val="Times New Roman"/>
        <scheme val="none"/>
      </font>
      <numFmt numFmtId="2" formatCode="0.00"/>
    </ndxf>
  </rcc>
  <rcc rId="9162" sId="9" odxf="1" dxf="1">
    <oc r="E47">
      <f>I47</f>
    </oc>
    <nc r="E47">
      <f>I47+K47+M47+O47+Q47+S47</f>
    </nc>
    <odxf>
      <font>
        <b val="0"/>
        <sz val="14"/>
        <name val="Times New Roman"/>
        <scheme val="none"/>
      </font>
      <numFmt numFmtId="4" formatCode="#,##0.00"/>
    </odxf>
    <ndxf>
      <font>
        <b/>
        <sz val="14"/>
        <name val="Times New Roman"/>
        <scheme val="none"/>
      </font>
      <numFmt numFmtId="2" formatCode="0.00"/>
    </ndxf>
  </rcc>
  <rcc rId="9163" sId="9" odxf="1" dxf="1">
    <oc r="F47">
      <f>E47/B47*100</f>
    </oc>
    <nc r="F47">
      <f>E47/B47*100</f>
    </nc>
    <odxf>
      <font>
        <b val="0"/>
        <sz val="14"/>
        <name val="Times New Roman"/>
        <scheme val="none"/>
      </font>
      <numFmt numFmtId="4" formatCode="#,##0.00"/>
      <fill>
        <patternFill patternType="none">
          <bgColor indexed="65"/>
        </patternFill>
      </fill>
    </odxf>
    <ndxf>
      <font>
        <b/>
        <sz val="14"/>
        <name val="Times New Roman"/>
        <scheme val="none"/>
      </font>
      <numFmt numFmtId="2" formatCode="0.00"/>
      <fill>
        <patternFill patternType="solid">
          <bgColor theme="9" tint="0.79998168889431442"/>
        </patternFill>
      </fill>
    </ndxf>
  </rcc>
  <rcc rId="9164" sId="9" odxf="1" dxf="1">
    <oc r="G47">
      <f>E47/C47*100</f>
    </oc>
    <nc r="G47">
      <f>E47/C47*100</f>
    </nc>
    <odxf>
      <font>
        <b val="0"/>
        <sz val="14"/>
        <name val="Times New Roman"/>
        <scheme val="none"/>
      </font>
      <numFmt numFmtId="4" formatCode="#,##0.00"/>
      <fill>
        <patternFill patternType="none">
          <bgColor indexed="65"/>
        </patternFill>
      </fill>
    </odxf>
    <ndxf>
      <font>
        <b/>
        <sz val="14"/>
        <name val="Times New Roman"/>
        <scheme val="none"/>
      </font>
      <numFmt numFmtId="2" formatCode="0.00"/>
      <fill>
        <patternFill patternType="solid">
          <bgColor theme="9" tint="0.79998168889431442"/>
        </patternFill>
      </fill>
    </ndxf>
  </rcc>
  <rfmt sheetId="9" sqref="H47" start="0" length="0">
    <dxf>
      <font>
        <b/>
        <sz val="14"/>
        <name val="Times New Roman"/>
        <scheme val="none"/>
      </font>
      <numFmt numFmtId="2" formatCode="0.00"/>
    </dxf>
  </rfmt>
  <rcc rId="9165" sId="9" odxf="1" dxf="1" numFmtId="4">
    <oc r="I47">
      <v>320.79000000000002</v>
    </oc>
    <nc r="I47">
      <v>320.78701999999998</v>
    </nc>
    <odxf>
      <font>
        <b val="0"/>
        <sz val="14"/>
        <name val="Times New Roman"/>
        <scheme val="none"/>
      </font>
      <numFmt numFmtId="4" formatCode="#,##0.00"/>
    </odxf>
    <ndxf>
      <font>
        <b/>
        <sz val="14"/>
        <name val="Times New Roman"/>
        <scheme val="none"/>
      </font>
      <numFmt numFmtId="2" formatCode="0.00"/>
    </ndxf>
  </rcc>
  <rcc rId="9166" sId="9" odxf="1" dxf="1" numFmtId="4">
    <oc r="J47">
      <v>49.066000000000003</v>
    </oc>
    <nc r="J47">
      <v>75.465999999999994</v>
    </nc>
    <odxf>
      <font>
        <b val="0"/>
        <sz val="14"/>
        <name val="Times New Roman"/>
        <scheme val="none"/>
      </font>
      <numFmt numFmtId="4" formatCode="#,##0.00"/>
    </odxf>
    <ndxf>
      <font>
        <b/>
        <sz val="14"/>
        <name val="Times New Roman"/>
        <scheme val="none"/>
      </font>
      <numFmt numFmtId="2" formatCode="0.00"/>
    </ndxf>
  </rcc>
  <rcc rId="9167" sId="9" odxf="1" dxf="1" numFmtId="4">
    <oc r="K47">
      <v>89.85</v>
    </oc>
    <nc r="K47">
      <v>89.850470000000001</v>
    </nc>
    <odxf>
      <font>
        <b val="0"/>
        <sz val="14"/>
        <name val="Times New Roman"/>
        <scheme val="none"/>
      </font>
      <numFmt numFmtId="4" formatCode="#,##0.00"/>
    </odxf>
    <ndxf>
      <font>
        <b/>
        <sz val="14"/>
        <name val="Times New Roman"/>
        <scheme val="none"/>
      </font>
      <numFmt numFmtId="2" formatCode="0.00"/>
    </ndxf>
  </rcc>
  <rcc rId="9168" sId="9" odxf="1" dxf="1" numFmtId="4">
    <oc r="L47">
      <v>308.96600000000001</v>
    </oc>
    <nc r="L47">
      <v>287.96600000000001</v>
    </nc>
    <odxf>
      <font>
        <b val="0"/>
        <sz val="14"/>
        <name val="Times New Roman"/>
        <scheme val="none"/>
      </font>
      <numFmt numFmtId="4" formatCode="#,##0.00"/>
    </odxf>
    <ndxf>
      <font>
        <b/>
        <sz val="14"/>
        <name val="Times New Roman"/>
        <scheme val="none"/>
      </font>
      <numFmt numFmtId="2" formatCode="0.00"/>
    </ndxf>
  </rcc>
  <rcc rId="9169" sId="9" odxf="1" dxf="1" numFmtId="4">
    <nc r="M47">
      <v>181.53813</v>
    </nc>
    <odxf>
      <font>
        <b val="0"/>
        <sz val="14"/>
        <name val="Times New Roman"/>
        <scheme val="none"/>
      </font>
      <numFmt numFmtId="4" formatCode="#,##0.00"/>
    </odxf>
    <ndxf>
      <font>
        <b/>
        <sz val="14"/>
        <name val="Times New Roman"/>
        <scheme val="none"/>
      </font>
      <numFmt numFmtId="2" formatCode="0.00"/>
    </ndxf>
  </rcc>
  <rcc rId="9170" sId="9" odxf="1" dxf="1" numFmtId="4">
    <oc r="N47">
      <v>108.26600000000001</v>
    </oc>
    <nc r="N47">
      <v>217.05199999999999</v>
    </nc>
    <odxf>
      <font>
        <b val="0"/>
        <sz val="14"/>
        <name val="Times New Roman"/>
        <scheme val="none"/>
      </font>
      <numFmt numFmtId="4" formatCode="#,##0.00"/>
    </odxf>
    <ndxf>
      <font>
        <b/>
        <sz val="14"/>
        <name val="Times New Roman"/>
        <scheme val="none"/>
      </font>
      <numFmt numFmtId="2" formatCode="0.00"/>
    </ndxf>
  </rcc>
  <rcc rId="9171" sId="9" odxf="1" dxf="1" numFmtId="4">
    <nc r="O47">
      <v>315.71589</v>
    </nc>
    <odxf>
      <font>
        <b val="0"/>
        <sz val="14"/>
        <name val="Times New Roman"/>
        <scheme val="none"/>
      </font>
      <numFmt numFmtId="4" formatCode="#,##0.00"/>
    </odxf>
    <ndxf>
      <font>
        <b/>
        <sz val="14"/>
        <name val="Times New Roman"/>
        <scheme val="none"/>
      </font>
      <numFmt numFmtId="2" formatCode="0.00"/>
    </ndxf>
  </rcc>
  <rcc rId="9172" sId="9" odxf="1" dxf="1" numFmtId="4">
    <oc r="P47">
      <v>254.96600000000001</v>
    </oc>
    <nc r="P47">
      <v>171.68</v>
    </nc>
    <odxf>
      <font>
        <b val="0"/>
        <sz val="14"/>
        <name val="Times New Roman"/>
        <scheme val="none"/>
      </font>
      <numFmt numFmtId="4" formatCode="#,##0.00"/>
    </odxf>
    <ndxf>
      <font>
        <b/>
        <sz val="14"/>
        <name val="Times New Roman"/>
        <scheme val="none"/>
      </font>
      <numFmt numFmtId="2" formatCode="0.00"/>
    </ndxf>
  </rcc>
  <rcc rId="9173" sId="9" odxf="1" dxf="1" numFmtId="4">
    <nc r="Q47">
      <v>109.69092000000001</v>
    </nc>
    <odxf>
      <font>
        <b val="0"/>
        <sz val="14"/>
        <name val="Times New Roman"/>
        <scheme val="none"/>
      </font>
      <numFmt numFmtId="4" formatCode="#,##0.00"/>
    </odxf>
    <ndxf>
      <font>
        <b/>
        <sz val="14"/>
        <name val="Times New Roman"/>
        <scheme val="none"/>
      </font>
      <numFmt numFmtId="2" formatCode="0.00"/>
    </ndxf>
  </rcc>
  <rfmt sheetId="9" sqref="R47" start="0" length="0">
    <dxf>
      <font>
        <b/>
        <sz val="14"/>
        <name val="Times New Roman"/>
        <scheme val="none"/>
      </font>
      <numFmt numFmtId="2" formatCode="0.00"/>
    </dxf>
  </rfmt>
  <rcc rId="9174" sId="9" odxf="1" dxf="1" numFmtId="4">
    <nc r="S47">
      <v>198.24113</v>
    </nc>
    <odxf>
      <font>
        <b val="0"/>
        <sz val="14"/>
        <name val="Times New Roman"/>
        <scheme val="none"/>
      </font>
      <numFmt numFmtId="4" formatCode="#,##0.00"/>
    </odxf>
    <ndxf>
      <font>
        <b/>
        <sz val="14"/>
        <name val="Times New Roman"/>
        <scheme val="none"/>
      </font>
      <numFmt numFmtId="2" formatCode="0.00"/>
    </ndxf>
  </rcc>
  <rfmt sheetId="9" sqref="T47" start="0" length="0">
    <dxf>
      <font>
        <b/>
        <sz val="14"/>
        <name val="Times New Roman"/>
        <scheme val="none"/>
      </font>
      <numFmt numFmtId="2" formatCode="0.00"/>
    </dxf>
  </rfmt>
  <rfmt sheetId="9" sqref="U47" start="0" length="0">
    <dxf>
      <font>
        <b/>
        <sz val="14"/>
        <name val="Times New Roman"/>
        <scheme val="none"/>
      </font>
      <numFmt numFmtId="2" formatCode="0.00"/>
    </dxf>
  </rfmt>
  <rfmt sheetId="9" sqref="V47" start="0" length="0">
    <dxf>
      <font>
        <b/>
        <sz val="14"/>
        <name val="Times New Roman"/>
        <scheme val="none"/>
      </font>
      <numFmt numFmtId="2" formatCode="0.00"/>
    </dxf>
  </rfmt>
  <rfmt sheetId="9" sqref="W47" start="0" length="0">
    <dxf>
      <font>
        <b/>
        <sz val="14"/>
        <name val="Times New Roman"/>
        <scheme val="none"/>
      </font>
      <numFmt numFmtId="2" formatCode="0.00"/>
    </dxf>
  </rfmt>
  <rfmt sheetId="9" sqref="X47" start="0" length="0">
    <dxf>
      <font>
        <b/>
        <sz val="14"/>
        <name val="Times New Roman"/>
        <scheme val="none"/>
      </font>
      <numFmt numFmtId="2" formatCode="0.00"/>
    </dxf>
  </rfmt>
  <rfmt sheetId="9" sqref="Y47" start="0" length="0">
    <dxf>
      <font>
        <b/>
        <sz val="14"/>
        <name val="Times New Roman"/>
        <scheme val="none"/>
      </font>
      <numFmt numFmtId="2" formatCode="0.00"/>
    </dxf>
  </rfmt>
  <rcc rId="9175" sId="9" odxf="1" dxf="1" numFmtId="4">
    <oc r="Z47">
      <v>49.066000000000003</v>
    </oc>
    <nc r="Z47">
      <v>43.665999999999997</v>
    </nc>
    <odxf>
      <font>
        <b val="0"/>
        <sz val="14"/>
        <name val="Times New Roman"/>
        <scheme val="none"/>
      </font>
      <numFmt numFmtId="4" formatCode="#,##0.00"/>
    </odxf>
    <ndxf>
      <font>
        <b/>
        <sz val="14"/>
        <name val="Times New Roman"/>
        <scheme val="none"/>
      </font>
      <numFmt numFmtId="2" formatCode="0.00"/>
    </ndxf>
  </rcc>
  <rfmt sheetId="9" sqref="AA47" start="0" length="0">
    <dxf>
      <font>
        <b/>
        <sz val="14"/>
        <name val="Times New Roman"/>
        <scheme val="none"/>
      </font>
      <numFmt numFmtId="2" formatCode="0.00"/>
    </dxf>
  </rfmt>
  <rfmt sheetId="9" sqref="AB47" start="0" length="0">
    <dxf>
      <font>
        <b/>
        <sz val="14"/>
        <name val="Times New Roman"/>
        <scheme val="none"/>
      </font>
      <numFmt numFmtId="2" formatCode="0.00"/>
    </dxf>
  </rfmt>
  <rfmt sheetId="9" sqref="AC47" start="0" length="0">
    <dxf>
      <font>
        <b/>
        <sz val="14"/>
        <name val="Times New Roman"/>
        <scheme val="none"/>
      </font>
      <numFmt numFmtId="2" formatCode="0.00"/>
    </dxf>
  </rfmt>
  <rcc rId="9176" sId="9" odxf="1" dxf="1" numFmtId="4">
    <oc r="AD47">
      <v>60.573999999999998</v>
    </oc>
    <nc r="AD47">
      <v>35.073999999999998</v>
    </nc>
    <odxf>
      <font>
        <b val="0"/>
        <sz val="14"/>
        <name val="Times New Roman"/>
        <scheme val="none"/>
      </font>
      <numFmt numFmtId="4" formatCode="#,##0.00"/>
    </odxf>
    <ndxf>
      <font>
        <b/>
        <sz val="14"/>
        <name val="Times New Roman"/>
        <scheme val="none"/>
      </font>
      <numFmt numFmtId="2" formatCode="0.00"/>
    </ndxf>
  </rcc>
  <rfmt sheetId="9" sqref="AE47" start="0" length="0">
    <dxf>
      <font>
        <b/>
        <sz val="14"/>
        <name val="Times New Roman"/>
        <scheme val="none"/>
      </font>
      <numFmt numFmtId="2" formatCode="0.00"/>
    </dxf>
  </rfmt>
  <rcc rId="9177" sId="9" odxf="1" dxf="1">
    <oc r="B48">
      <f>H48+J48+L48+N48+P48+R48+T48+V48+X48+Z48+AB48+AD48</f>
    </oc>
    <nc r="B48">
      <f>H48+J48+L48+N48+P48+R48+T48+V48+X48+Z48+AB48+AD48</f>
    </nc>
    <odxf>
      <font>
        <b val="0"/>
        <sz val="14"/>
        <name val="Times New Roman"/>
        <scheme val="none"/>
      </font>
      <numFmt numFmtId="4" formatCode="#,##0.00"/>
    </odxf>
    <ndxf>
      <font>
        <b/>
        <sz val="14"/>
        <name val="Times New Roman"/>
        <scheme val="none"/>
      </font>
      <numFmt numFmtId="2" formatCode="0.00"/>
    </ndxf>
  </rcc>
  <rcc rId="9178" sId="9" odxf="1" dxf="1">
    <oc r="C48">
      <f>H48+J48</f>
    </oc>
    <nc r="C48">
      <f>H48</f>
    </nc>
    <odxf>
      <font>
        <b val="0"/>
        <sz val="14"/>
        <name val="Times New Roman"/>
        <scheme val="none"/>
      </font>
      <numFmt numFmtId="4" formatCode="#,##0.00"/>
    </odxf>
    <ndxf>
      <font>
        <b/>
        <sz val="14"/>
        <name val="Times New Roman"/>
        <scheme val="none"/>
      </font>
      <numFmt numFmtId="2" formatCode="0.00"/>
    </ndxf>
  </rcc>
  <rcc rId="9179" sId="9" odxf="1" dxf="1">
    <oc r="D48">
      <f>E48</f>
    </oc>
    <nc r="D48">
      <f>E48</f>
    </nc>
    <odxf>
      <font>
        <b val="0"/>
        <sz val="14"/>
        <name val="Times New Roman"/>
        <scheme val="none"/>
      </font>
      <numFmt numFmtId="4" formatCode="#,##0.00"/>
    </odxf>
    <ndxf>
      <font>
        <b/>
        <sz val="14"/>
        <name val="Times New Roman"/>
        <scheme val="none"/>
      </font>
      <numFmt numFmtId="2" formatCode="0.00"/>
    </ndxf>
  </rcc>
  <rfmt sheetId="9" sqref="E48" start="0" length="0">
    <dxf>
      <font>
        <b/>
        <sz val="14"/>
        <name val="Times New Roman"/>
        <scheme val="none"/>
      </font>
      <numFmt numFmtId="2" formatCode="0.00"/>
    </dxf>
  </rfmt>
  <rfmt sheetId="9" sqref="F48" start="0" length="0">
    <dxf>
      <font>
        <b/>
        <sz val="14"/>
        <name val="Times New Roman"/>
        <scheme val="none"/>
      </font>
      <numFmt numFmtId="2" formatCode="0.00"/>
      <fill>
        <patternFill patternType="solid">
          <bgColor theme="9" tint="0.79998168889431442"/>
        </patternFill>
      </fill>
    </dxf>
  </rfmt>
  <rfmt sheetId="9" sqref="G48" start="0" length="0">
    <dxf>
      <font>
        <b/>
        <sz val="14"/>
        <name val="Times New Roman"/>
        <scheme val="none"/>
      </font>
      <numFmt numFmtId="2" formatCode="0.00"/>
      <fill>
        <patternFill patternType="solid">
          <bgColor theme="9" tint="0.79998168889431442"/>
        </patternFill>
      </fill>
    </dxf>
  </rfmt>
  <rfmt sheetId="9" sqref="H48" start="0" length="0">
    <dxf>
      <font>
        <b/>
        <sz val="14"/>
        <name val="Times New Roman"/>
        <scheme val="none"/>
      </font>
      <numFmt numFmtId="2" formatCode="0.00"/>
    </dxf>
  </rfmt>
  <rfmt sheetId="9" sqref="I48" start="0" length="0">
    <dxf>
      <font>
        <b/>
        <sz val="14"/>
        <name val="Times New Roman"/>
        <scheme val="none"/>
      </font>
      <numFmt numFmtId="2" formatCode="0.00"/>
    </dxf>
  </rfmt>
  <rfmt sheetId="9" sqref="J48" start="0" length="0">
    <dxf>
      <font>
        <b/>
        <sz val="14"/>
        <name val="Times New Roman"/>
        <scheme val="none"/>
      </font>
      <numFmt numFmtId="2" formatCode="0.00"/>
    </dxf>
  </rfmt>
  <rfmt sheetId="9" sqref="K48" start="0" length="0">
    <dxf>
      <font>
        <b/>
        <sz val="14"/>
        <name val="Times New Roman"/>
        <scheme val="none"/>
      </font>
      <numFmt numFmtId="2" formatCode="0.00"/>
    </dxf>
  </rfmt>
  <rcc rId="9180" sId="9" odxf="1" dxf="1" numFmtId="4">
    <nc r="L48">
      <v>0</v>
    </nc>
    <odxf>
      <font>
        <b val="0"/>
        <sz val="14"/>
        <name val="Times New Roman"/>
        <scheme val="none"/>
      </font>
      <numFmt numFmtId="4" formatCode="#,##0.00"/>
    </odxf>
    <ndxf>
      <font>
        <b/>
        <sz val="14"/>
        <name val="Times New Roman"/>
        <scheme val="none"/>
      </font>
      <numFmt numFmtId="2" formatCode="0.00"/>
    </ndxf>
  </rcc>
  <rcc rId="9181" sId="9" odxf="1" dxf="1" numFmtId="4">
    <nc r="M48">
      <v>0</v>
    </nc>
    <odxf>
      <font>
        <b val="0"/>
        <sz val="14"/>
        <name val="Times New Roman"/>
        <scheme val="none"/>
      </font>
      <numFmt numFmtId="4" formatCode="#,##0.00"/>
    </odxf>
    <ndxf>
      <font>
        <b/>
        <sz val="14"/>
        <name val="Times New Roman"/>
        <scheme val="none"/>
      </font>
      <numFmt numFmtId="2" formatCode="0.00"/>
    </ndxf>
  </rcc>
  <rcc rId="9182" sId="9" odxf="1" dxf="1" numFmtId="4">
    <nc r="N48">
      <v>0</v>
    </nc>
    <odxf>
      <font>
        <b val="0"/>
        <sz val="14"/>
        <name val="Times New Roman"/>
        <scheme val="none"/>
      </font>
      <numFmt numFmtId="4" formatCode="#,##0.00"/>
    </odxf>
    <ndxf>
      <font>
        <b/>
        <sz val="14"/>
        <name val="Times New Roman"/>
        <scheme val="none"/>
      </font>
      <numFmt numFmtId="2" formatCode="0.00"/>
    </ndxf>
  </rcc>
  <rcc rId="9183" sId="9" odxf="1" dxf="1" numFmtId="4">
    <nc r="O48">
      <v>0</v>
    </nc>
    <odxf>
      <font>
        <b val="0"/>
        <sz val="14"/>
        <name val="Times New Roman"/>
        <scheme val="none"/>
      </font>
      <numFmt numFmtId="4" formatCode="#,##0.00"/>
    </odxf>
    <ndxf>
      <font>
        <b/>
        <sz val="14"/>
        <name val="Times New Roman"/>
        <scheme val="none"/>
      </font>
      <numFmt numFmtId="2" formatCode="0.00"/>
    </ndxf>
  </rcc>
  <rcc rId="9184" sId="9" odxf="1" dxf="1" numFmtId="4">
    <nc r="P48">
      <v>0</v>
    </nc>
    <odxf>
      <font>
        <b val="0"/>
        <sz val="14"/>
        <name val="Times New Roman"/>
        <scheme val="none"/>
      </font>
      <numFmt numFmtId="4" formatCode="#,##0.00"/>
    </odxf>
    <ndxf>
      <font>
        <b/>
        <sz val="14"/>
        <name val="Times New Roman"/>
        <scheme val="none"/>
      </font>
      <numFmt numFmtId="2" formatCode="0.00"/>
    </ndxf>
  </rcc>
  <rcc rId="9185" sId="9" odxf="1" dxf="1" numFmtId="4">
    <nc r="Q48">
      <v>0</v>
    </nc>
    <odxf>
      <font>
        <b val="0"/>
        <sz val="14"/>
        <name val="Times New Roman"/>
        <scheme val="none"/>
      </font>
      <numFmt numFmtId="4" formatCode="#,##0.00"/>
    </odxf>
    <ndxf>
      <font>
        <b/>
        <sz val="14"/>
        <name val="Times New Roman"/>
        <scheme val="none"/>
      </font>
      <numFmt numFmtId="2" formatCode="0.00"/>
    </ndxf>
  </rcc>
  <rcc rId="9186" sId="9" odxf="1" dxf="1" numFmtId="4">
    <nc r="R48">
      <v>0</v>
    </nc>
    <odxf>
      <font>
        <b val="0"/>
        <sz val="14"/>
        <name val="Times New Roman"/>
        <scheme val="none"/>
      </font>
      <numFmt numFmtId="4" formatCode="#,##0.00"/>
    </odxf>
    <ndxf>
      <font>
        <b/>
        <sz val="14"/>
        <name val="Times New Roman"/>
        <scheme val="none"/>
      </font>
      <numFmt numFmtId="2" formatCode="0.00"/>
    </ndxf>
  </rcc>
  <rcc rId="9187" sId="9" odxf="1" dxf="1" numFmtId="4">
    <nc r="S48">
      <v>0</v>
    </nc>
    <odxf>
      <font>
        <b val="0"/>
        <sz val="14"/>
        <name val="Times New Roman"/>
        <scheme val="none"/>
      </font>
      <numFmt numFmtId="4" formatCode="#,##0.00"/>
    </odxf>
    <ndxf>
      <font>
        <b/>
        <sz val="14"/>
        <name val="Times New Roman"/>
        <scheme val="none"/>
      </font>
      <numFmt numFmtId="2" formatCode="0.00"/>
    </ndxf>
  </rcc>
  <rcc rId="9188" sId="9" odxf="1" dxf="1" numFmtId="4">
    <nc r="T48">
      <v>0</v>
    </nc>
    <odxf>
      <font>
        <b val="0"/>
        <sz val="14"/>
        <name val="Times New Roman"/>
        <scheme val="none"/>
      </font>
      <numFmt numFmtId="4" formatCode="#,##0.00"/>
    </odxf>
    <ndxf>
      <font>
        <b/>
        <sz val="14"/>
        <name val="Times New Roman"/>
        <scheme val="none"/>
      </font>
      <numFmt numFmtId="2" formatCode="0.00"/>
    </ndxf>
  </rcc>
  <rfmt sheetId="9" sqref="U48" start="0" length="0">
    <dxf>
      <font>
        <b/>
        <sz val="14"/>
        <name val="Times New Roman"/>
        <scheme val="none"/>
      </font>
      <numFmt numFmtId="2" formatCode="0.00"/>
    </dxf>
  </rfmt>
  <rcc rId="9189" sId="9" odxf="1" dxf="1" numFmtId="4">
    <nc r="V48">
      <v>0</v>
    </nc>
    <odxf>
      <font>
        <b val="0"/>
        <sz val="14"/>
        <name val="Times New Roman"/>
        <scheme val="none"/>
      </font>
      <numFmt numFmtId="4" formatCode="#,##0.00"/>
    </odxf>
    <ndxf>
      <font>
        <b/>
        <sz val="14"/>
        <name val="Times New Roman"/>
        <scheme val="none"/>
      </font>
      <numFmt numFmtId="2" formatCode="0.00"/>
    </ndxf>
  </rcc>
  <rfmt sheetId="9" sqref="W48" start="0" length="0">
    <dxf>
      <font>
        <b/>
        <sz val="14"/>
        <name val="Times New Roman"/>
        <scheme val="none"/>
      </font>
      <numFmt numFmtId="2" formatCode="0.00"/>
    </dxf>
  </rfmt>
  <rcc rId="9190" sId="9" odxf="1" dxf="1" numFmtId="4">
    <nc r="X48">
      <v>0</v>
    </nc>
    <odxf>
      <font>
        <b val="0"/>
        <sz val="14"/>
        <name val="Times New Roman"/>
        <scheme val="none"/>
      </font>
      <numFmt numFmtId="4" formatCode="#,##0.00"/>
    </odxf>
    <ndxf>
      <font>
        <b/>
        <sz val="14"/>
        <name val="Times New Roman"/>
        <scheme val="none"/>
      </font>
      <numFmt numFmtId="2" formatCode="0.00"/>
    </ndxf>
  </rcc>
  <rfmt sheetId="9" sqref="Y48" start="0" length="0">
    <dxf>
      <font>
        <b/>
        <sz val="14"/>
        <name val="Times New Roman"/>
        <scheme val="none"/>
      </font>
      <numFmt numFmtId="2" formatCode="0.00"/>
    </dxf>
  </rfmt>
  <rcc rId="9191" sId="9" odxf="1" dxf="1" numFmtId="4">
    <nc r="Z48">
      <v>0</v>
    </nc>
    <odxf>
      <font>
        <b val="0"/>
        <sz val="14"/>
        <name val="Times New Roman"/>
        <scheme val="none"/>
      </font>
      <numFmt numFmtId="4" formatCode="#,##0.00"/>
    </odxf>
    <ndxf>
      <font>
        <b/>
        <sz val="14"/>
        <name val="Times New Roman"/>
        <scheme val="none"/>
      </font>
      <numFmt numFmtId="2" formatCode="0.00"/>
    </ndxf>
  </rcc>
  <rfmt sheetId="9" sqref="AA48" start="0" length="0">
    <dxf>
      <font>
        <b/>
        <sz val="14"/>
        <name val="Times New Roman"/>
        <scheme val="none"/>
      </font>
      <numFmt numFmtId="2" formatCode="0.00"/>
    </dxf>
  </rfmt>
  <rcc rId="9192" sId="9" odxf="1" dxf="1" numFmtId="4">
    <nc r="AB48">
      <v>0</v>
    </nc>
    <odxf>
      <font>
        <b val="0"/>
        <sz val="14"/>
        <name val="Times New Roman"/>
        <scheme val="none"/>
      </font>
      <numFmt numFmtId="4" formatCode="#,##0.00"/>
    </odxf>
    <ndxf>
      <font>
        <b/>
        <sz val="14"/>
        <name val="Times New Roman"/>
        <scheme val="none"/>
      </font>
      <numFmt numFmtId="2" formatCode="0.00"/>
    </ndxf>
  </rcc>
  <rfmt sheetId="9" sqref="AC48" start="0" length="0">
    <dxf>
      <font>
        <b/>
        <sz val="14"/>
        <name val="Times New Roman"/>
        <scheme val="none"/>
      </font>
      <numFmt numFmtId="2" formatCode="0.00"/>
    </dxf>
  </rfmt>
  <rcc rId="9193" sId="9" odxf="1" dxf="1" numFmtId="4">
    <nc r="AD48">
      <v>0</v>
    </nc>
    <odxf>
      <font>
        <b val="0"/>
        <sz val="14"/>
        <name val="Times New Roman"/>
        <scheme val="none"/>
      </font>
      <numFmt numFmtId="4" formatCode="#,##0.00"/>
    </odxf>
    <ndxf>
      <font>
        <b/>
        <sz val="14"/>
        <name val="Times New Roman"/>
        <scheme val="none"/>
      </font>
      <numFmt numFmtId="2" formatCode="0.00"/>
    </ndxf>
  </rcc>
  <rfmt sheetId="9" sqref="AE48" start="0" length="0">
    <dxf>
      <font>
        <b/>
        <sz val="14"/>
        <name val="Times New Roman"/>
        <scheme val="none"/>
      </font>
      <numFmt numFmtId="2" formatCode="0.00"/>
    </dxf>
  </rfmt>
  <rcc rId="9194" sId="9" odxf="1" dxf="1">
    <oc r="B49">
      <f>B50</f>
    </oc>
    <nc r="B49">
      <f>B50</f>
    </nc>
    <odxf>
      <font>
        <b val="0"/>
        <sz val="14"/>
        <name val="Times New Roman"/>
        <scheme val="none"/>
      </font>
      <numFmt numFmtId="4" formatCode="#,##0.00"/>
    </odxf>
    <ndxf>
      <font>
        <b/>
        <sz val="14"/>
        <name val="Times New Roman"/>
        <scheme val="none"/>
      </font>
      <numFmt numFmtId="2" formatCode="0.00"/>
    </ndxf>
  </rcc>
  <rcc rId="9195" sId="9" odxf="1" dxf="1">
    <oc r="C49">
      <f>C50</f>
    </oc>
    <nc r="C49">
      <f>C50</f>
    </nc>
    <odxf>
      <font>
        <b val="0"/>
        <sz val="14"/>
        <name val="Times New Roman"/>
        <scheme val="none"/>
      </font>
      <numFmt numFmtId="4" formatCode="#,##0.00"/>
    </odxf>
    <ndxf>
      <font>
        <b/>
        <sz val="14"/>
        <name val="Times New Roman"/>
        <scheme val="none"/>
      </font>
      <numFmt numFmtId="2" formatCode="0.00"/>
    </ndxf>
  </rcc>
  <rcc rId="9196" sId="9" odxf="1" dxf="1">
    <oc r="D49">
      <f>D50</f>
    </oc>
    <nc r="D49">
      <f>E49</f>
    </nc>
    <odxf>
      <font>
        <b val="0"/>
        <sz val="14"/>
        <name val="Times New Roman"/>
        <scheme val="none"/>
      </font>
      <numFmt numFmtId="4" formatCode="#,##0.00"/>
    </odxf>
    <ndxf>
      <font>
        <b/>
        <sz val="14"/>
        <name val="Times New Roman"/>
        <scheme val="none"/>
      </font>
      <numFmt numFmtId="2" formatCode="0.00"/>
    </ndxf>
  </rcc>
  <rcc rId="9197" sId="9" odxf="1" dxf="1">
    <oc r="E49">
      <f>E50</f>
    </oc>
    <nc r="E49">
      <f>E50</f>
    </nc>
    <odxf>
      <font>
        <b val="0"/>
        <sz val="14"/>
        <name val="Times New Roman"/>
        <scheme val="none"/>
      </font>
      <numFmt numFmtId="4" formatCode="#,##0.00"/>
      <border outline="0">
        <right style="thin">
          <color indexed="64"/>
        </right>
      </border>
      <protection hidden="0"/>
    </odxf>
    <ndxf>
      <font>
        <b/>
        <sz val="14"/>
        <name val="Times New Roman"/>
        <scheme val="none"/>
      </font>
      <numFmt numFmtId="2" formatCode="0.00"/>
      <border outline="0">
        <right/>
      </border>
      <protection hidden="1"/>
    </ndxf>
  </rcc>
  <rcc rId="9198" sId="9" odxf="1" dxf="1">
    <oc r="F49">
      <f>F50</f>
    </oc>
    <nc r="F49">
      <f>F50</f>
    </nc>
    <odxf>
      <font>
        <b val="0"/>
        <sz val="14"/>
        <name val="Times New Roman"/>
        <scheme val="none"/>
      </font>
      <numFmt numFmtId="4" formatCode="#,##0.00"/>
      <fill>
        <patternFill>
          <bgColor theme="0"/>
        </patternFill>
      </fill>
    </odxf>
    <ndxf>
      <font>
        <b/>
        <sz val="14"/>
        <name val="Times New Roman"/>
        <scheme val="none"/>
      </font>
      <numFmt numFmtId="2" formatCode="0.00"/>
      <fill>
        <patternFill>
          <bgColor theme="9" tint="0.79998168889431442"/>
        </patternFill>
      </fill>
    </ndxf>
  </rcc>
  <rcc rId="9199" sId="9" odxf="1" dxf="1">
    <oc r="G49">
      <f>G50</f>
    </oc>
    <nc r="G49">
      <f>G50</f>
    </nc>
    <odxf>
      <font>
        <b val="0"/>
        <sz val="14"/>
        <name val="Times New Roman"/>
        <scheme val="none"/>
      </font>
      <numFmt numFmtId="4" formatCode="#,##0.00"/>
      <fill>
        <patternFill>
          <bgColor theme="0"/>
        </patternFill>
      </fill>
    </odxf>
    <ndxf>
      <font>
        <b/>
        <sz val="14"/>
        <name val="Times New Roman"/>
        <scheme val="none"/>
      </font>
      <numFmt numFmtId="2" formatCode="0.00"/>
      <fill>
        <patternFill>
          <bgColor theme="9" tint="0.79998168889431442"/>
        </patternFill>
      </fill>
    </ndxf>
  </rcc>
  <rcc rId="9200" sId="9" odxf="1" dxf="1">
    <oc r="H49">
      <f>H50</f>
    </oc>
    <nc r="H49">
      <f>H50</f>
    </nc>
    <odxf>
      <font>
        <b val="0"/>
        <sz val="14"/>
        <name val="Times New Roman"/>
        <scheme val="none"/>
      </font>
      <numFmt numFmtId="4" formatCode="#,##0.00"/>
    </odxf>
    <ndxf>
      <font>
        <b/>
        <sz val="14"/>
        <name val="Times New Roman"/>
        <scheme val="none"/>
      </font>
      <numFmt numFmtId="2" formatCode="0.00"/>
    </ndxf>
  </rcc>
  <rcc rId="9201" sId="9" odxf="1" dxf="1">
    <oc r="I49">
      <f>I50</f>
    </oc>
    <nc r="I49">
      <f>I50</f>
    </nc>
    <odxf>
      <font>
        <b val="0"/>
        <sz val="14"/>
        <name val="Times New Roman"/>
        <scheme val="none"/>
      </font>
      <numFmt numFmtId="4" formatCode="#,##0.00"/>
      <border outline="0">
        <right style="thin">
          <color indexed="64"/>
        </right>
      </border>
      <protection hidden="0"/>
    </odxf>
    <ndxf>
      <font>
        <b/>
        <sz val="14"/>
        <name val="Times New Roman"/>
        <scheme val="none"/>
      </font>
      <numFmt numFmtId="2" formatCode="0.00"/>
      <border outline="0">
        <right/>
      </border>
      <protection hidden="1"/>
    </ndxf>
  </rcc>
  <rcc rId="9202" sId="9" odxf="1" dxf="1">
    <oc r="J49">
      <f>J50</f>
    </oc>
    <nc r="J49">
      <f>J50</f>
    </nc>
    <odxf>
      <font>
        <b val="0"/>
        <sz val="14"/>
        <name val="Times New Roman"/>
        <scheme val="none"/>
      </font>
      <numFmt numFmtId="4" formatCode="#,##0.00"/>
    </odxf>
    <ndxf>
      <font>
        <b/>
        <sz val="14"/>
        <name val="Times New Roman"/>
        <scheme val="none"/>
      </font>
      <numFmt numFmtId="2" formatCode="0.00"/>
    </ndxf>
  </rcc>
  <rcc rId="9203" sId="9" odxf="1" dxf="1">
    <oc r="K49">
      <f>K50</f>
    </oc>
    <nc r="K49">
      <f>K50</f>
    </nc>
    <odxf>
      <font>
        <b val="0"/>
        <sz val="14"/>
        <name val="Times New Roman"/>
        <scheme val="none"/>
      </font>
      <numFmt numFmtId="4" formatCode="#,##0.00"/>
    </odxf>
    <ndxf>
      <font>
        <b/>
        <sz val="14"/>
        <name val="Times New Roman"/>
        <scheme val="none"/>
      </font>
      <numFmt numFmtId="2" formatCode="0.00"/>
    </ndxf>
  </rcc>
  <rcc rId="9204" sId="9" odxf="1" dxf="1">
    <nc r="L49">
      <f>L50</f>
    </nc>
    <odxf>
      <font>
        <b val="0"/>
        <sz val="14"/>
        <name val="Times New Roman"/>
        <scheme val="none"/>
      </font>
      <numFmt numFmtId="4" formatCode="#,##0.00"/>
    </odxf>
    <ndxf>
      <font>
        <b/>
        <sz val="14"/>
        <name val="Times New Roman"/>
        <scheme val="none"/>
      </font>
      <numFmt numFmtId="2" formatCode="0.00"/>
    </ndxf>
  </rcc>
  <rcc rId="9205" sId="9" odxf="1" dxf="1">
    <nc r="M49">
      <f>M50</f>
    </nc>
    <odxf>
      <font>
        <b val="0"/>
        <sz val="14"/>
        <name val="Times New Roman"/>
        <scheme val="none"/>
      </font>
      <numFmt numFmtId="4" formatCode="#,##0.00"/>
      <border outline="0">
        <right/>
      </border>
      <protection hidden="1"/>
    </odxf>
    <ndxf>
      <font>
        <b/>
        <sz val="14"/>
        <name val="Times New Roman"/>
        <scheme val="none"/>
      </font>
      <numFmt numFmtId="2" formatCode="0.00"/>
      <border outline="0">
        <right style="thin">
          <color indexed="64"/>
        </right>
      </border>
      <protection hidden="0"/>
    </ndxf>
  </rcc>
  <rcc rId="9206" sId="9" odxf="1" dxf="1">
    <nc r="N49">
      <f>N50</f>
    </nc>
    <odxf>
      <font>
        <b val="0"/>
        <sz val="14"/>
        <name val="Times New Roman"/>
        <scheme val="none"/>
      </font>
      <numFmt numFmtId="4" formatCode="#,##0.00"/>
    </odxf>
    <ndxf>
      <font>
        <b/>
        <sz val="14"/>
        <name val="Times New Roman"/>
        <scheme val="none"/>
      </font>
      <numFmt numFmtId="2" formatCode="0.00"/>
    </ndxf>
  </rcc>
  <rcc rId="9207" sId="9" odxf="1" dxf="1">
    <nc r="O49">
      <f>O50</f>
    </nc>
    <odxf>
      <font>
        <b val="0"/>
        <sz val="14"/>
        <name val="Times New Roman"/>
        <scheme val="none"/>
      </font>
      <numFmt numFmtId="4" formatCode="#,##0.00"/>
      <border outline="0">
        <right/>
      </border>
      <protection hidden="1"/>
    </odxf>
    <ndxf>
      <font>
        <b/>
        <sz val="14"/>
        <name val="Times New Roman"/>
        <scheme val="none"/>
      </font>
      <numFmt numFmtId="2" formatCode="0.00"/>
      <border outline="0">
        <right style="thin">
          <color indexed="64"/>
        </right>
      </border>
      <protection hidden="0"/>
    </ndxf>
  </rcc>
  <rcc rId="9208" sId="9" odxf="1" dxf="1">
    <nc r="P49">
      <f>P50</f>
    </nc>
    <odxf>
      <font>
        <b val="0"/>
        <sz val="14"/>
        <name val="Times New Roman"/>
        <scheme val="none"/>
      </font>
      <numFmt numFmtId="4" formatCode="#,##0.00"/>
    </odxf>
    <ndxf>
      <font>
        <b/>
        <sz val="14"/>
        <name val="Times New Roman"/>
        <scheme val="none"/>
      </font>
      <numFmt numFmtId="2" formatCode="0.00"/>
    </ndxf>
  </rcc>
  <rcc rId="9209" sId="9" odxf="1" dxf="1">
    <nc r="Q49">
      <f>Q50</f>
    </nc>
    <odxf>
      <font>
        <b val="0"/>
        <sz val="14"/>
        <name val="Times New Roman"/>
        <scheme val="none"/>
      </font>
      <numFmt numFmtId="4" formatCode="#,##0.00"/>
      <border outline="0">
        <right/>
      </border>
      <protection hidden="1"/>
    </odxf>
    <ndxf>
      <font>
        <b/>
        <sz val="14"/>
        <name val="Times New Roman"/>
        <scheme val="none"/>
      </font>
      <numFmt numFmtId="2" formatCode="0.00"/>
      <border outline="0">
        <right style="thin">
          <color indexed="64"/>
        </right>
      </border>
      <protection hidden="0"/>
    </ndxf>
  </rcc>
  <rcc rId="9210" sId="9" odxf="1" dxf="1">
    <nc r="R49">
      <f>R50</f>
    </nc>
    <odxf>
      <font>
        <b val="0"/>
        <sz val="14"/>
        <name val="Times New Roman"/>
        <scheme val="none"/>
      </font>
      <numFmt numFmtId="4" formatCode="#,##0.00"/>
    </odxf>
    <ndxf>
      <font>
        <b/>
        <sz val="14"/>
        <name val="Times New Roman"/>
        <scheme val="none"/>
      </font>
      <numFmt numFmtId="2" formatCode="0.00"/>
    </ndxf>
  </rcc>
  <rcc rId="9211" sId="9" odxf="1" dxf="1">
    <nc r="S49">
      <f>S50</f>
    </nc>
    <odxf>
      <font>
        <b val="0"/>
        <sz val="14"/>
        <name val="Times New Roman"/>
        <scheme val="none"/>
      </font>
      <numFmt numFmtId="4" formatCode="#,##0.00"/>
      <border outline="0">
        <right/>
      </border>
      <protection hidden="1"/>
    </odxf>
    <ndxf>
      <font>
        <b/>
        <sz val="14"/>
        <name val="Times New Roman"/>
        <scheme val="none"/>
      </font>
      <numFmt numFmtId="2" formatCode="0.00"/>
      <border outline="0">
        <right style="thin">
          <color indexed="64"/>
        </right>
      </border>
      <protection hidden="0"/>
    </ndxf>
  </rcc>
  <rcc rId="9212" sId="9" odxf="1" dxf="1">
    <nc r="T49">
      <f>T50</f>
    </nc>
    <odxf>
      <font>
        <b val="0"/>
        <sz val="14"/>
        <name val="Times New Roman"/>
        <scheme val="none"/>
      </font>
      <numFmt numFmtId="4" formatCode="#,##0.00"/>
    </odxf>
    <ndxf>
      <font>
        <b/>
        <sz val="14"/>
        <name val="Times New Roman"/>
        <scheme val="none"/>
      </font>
      <numFmt numFmtId="2" formatCode="0.00"/>
    </ndxf>
  </rcc>
  <rfmt sheetId="9" sqref="U49" start="0" length="0">
    <dxf>
      <font>
        <b/>
        <sz val="14"/>
        <name val="Times New Roman"/>
        <scheme val="none"/>
      </font>
      <numFmt numFmtId="2" formatCode="0.00"/>
    </dxf>
  </rfmt>
  <rcc rId="9213" sId="9" odxf="1" dxf="1">
    <nc r="V49">
      <f>V50</f>
    </nc>
    <odxf>
      <font>
        <b val="0"/>
        <sz val="14"/>
        <name val="Times New Roman"/>
        <scheme val="none"/>
      </font>
      <numFmt numFmtId="4" formatCode="#,##0.00"/>
    </odxf>
    <ndxf>
      <font>
        <b/>
        <sz val="14"/>
        <name val="Times New Roman"/>
        <scheme val="none"/>
      </font>
      <numFmt numFmtId="2" formatCode="0.00"/>
    </ndxf>
  </rcc>
  <rfmt sheetId="9" sqref="W49" start="0" length="0">
    <dxf>
      <font>
        <b/>
        <sz val="14"/>
        <name val="Times New Roman"/>
        <scheme val="none"/>
      </font>
      <numFmt numFmtId="2" formatCode="0.00"/>
    </dxf>
  </rfmt>
  <rcc rId="9214" sId="9" odxf="1" dxf="1">
    <nc r="X49">
      <f>X50</f>
    </nc>
    <odxf>
      <font>
        <b val="0"/>
        <sz val="14"/>
        <name val="Times New Roman"/>
        <scheme val="none"/>
      </font>
      <numFmt numFmtId="4" formatCode="#,##0.00"/>
    </odxf>
    <ndxf>
      <font>
        <b/>
        <sz val="14"/>
        <name val="Times New Roman"/>
        <scheme val="none"/>
      </font>
      <numFmt numFmtId="2" formatCode="0.00"/>
    </ndxf>
  </rcc>
  <rfmt sheetId="9" sqref="Y49" start="0" length="0">
    <dxf>
      <font>
        <b/>
        <sz val="14"/>
        <name val="Times New Roman"/>
        <scheme val="none"/>
      </font>
      <numFmt numFmtId="2" formatCode="0.00"/>
    </dxf>
  </rfmt>
  <rcc rId="9215" sId="9" odxf="1" dxf="1">
    <nc r="Z49">
      <f>Z50</f>
    </nc>
    <odxf>
      <font>
        <b val="0"/>
        <sz val="14"/>
        <name val="Times New Roman"/>
        <scheme val="none"/>
      </font>
      <numFmt numFmtId="4" formatCode="#,##0.00"/>
    </odxf>
    <ndxf>
      <font>
        <b/>
        <sz val="14"/>
        <name val="Times New Roman"/>
        <scheme val="none"/>
      </font>
      <numFmt numFmtId="2" formatCode="0.00"/>
    </ndxf>
  </rcc>
  <rfmt sheetId="9" sqref="AA49" start="0" length="0">
    <dxf>
      <font>
        <b/>
        <sz val="14"/>
        <name val="Times New Roman"/>
        <scheme val="none"/>
      </font>
      <numFmt numFmtId="2" formatCode="0.00"/>
    </dxf>
  </rfmt>
  <rcc rId="9216" sId="9" odxf="1" dxf="1">
    <nc r="AB49">
      <f>AB50</f>
    </nc>
    <odxf>
      <font>
        <b val="0"/>
        <sz val="14"/>
        <name val="Times New Roman"/>
        <scheme val="none"/>
      </font>
      <numFmt numFmtId="4" formatCode="#,##0.00"/>
    </odxf>
    <ndxf>
      <font>
        <b/>
        <sz val="14"/>
        <name val="Times New Roman"/>
        <scheme val="none"/>
      </font>
      <numFmt numFmtId="2" formatCode="0.00"/>
    </ndxf>
  </rcc>
  <rfmt sheetId="9" sqref="AC49" start="0" length="0">
    <dxf>
      <font>
        <b/>
        <sz val="14"/>
        <name val="Times New Roman"/>
        <scheme val="none"/>
      </font>
      <numFmt numFmtId="2" formatCode="0.00"/>
    </dxf>
  </rfmt>
  <rcc rId="9217" sId="9" odxf="1" dxf="1">
    <nc r="AD49">
      <f>AD50</f>
    </nc>
    <odxf>
      <font>
        <b val="0"/>
        <sz val="14"/>
        <name val="Times New Roman"/>
        <scheme val="none"/>
      </font>
      <numFmt numFmtId="4" formatCode="#,##0.00"/>
    </odxf>
    <ndxf>
      <font>
        <b/>
        <sz val="14"/>
        <name val="Times New Roman"/>
        <scheme val="none"/>
      </font>
      <numFmt numFmtId="2" formatCode="0.00"/>
    </ndxf>
  </rcc>
  <rfmt sheetId="9" sqref="AE49" start="0" length="0">
    <dxf>
      <font>
        <b/>
        <sz val="14"/>
        <name val="Times New Roman"/>
        <scheme val="none"/>
      </font>
      <numFmt numFmtId="2" formatCode="0.00"/>
    </dxf>
  </rfmt>
  <rcc rId="9218" sId="9" odxf="1" dxf="1">
    <oc r="B50">
      <f>B51+B52+B53+B54</f>
    </oc>
    <nc r="B50">
      <f>B51+B52+B53+B54</f>
    </nc>
    <odxf>
      <numFmt numFmtId="4" formatCode="#,##0.00"/>
    </odxf>
    <ndxf>
      <numFmt numFmtId="2" formatCode="0.00"/>
    </ndxf>
  </rcc>
  <rcc rId="9219" sId="9" odxf="1" dxf="1">
    <oc r="C50">
      <f>C51+C52+C53+C54</f>
    </oc>
    <nc r="C50">
      <f>C51+C52+C53+C54</f>
    </nc>
    <odxf>
      <numFmt numFmtId="4" formatCode="#,##0.00"/>
    </odxf>
    <ndxf>
      <numFmt numFmtId="2" formatCode="0.00"/>
    </ndxf>
  </rcc>
  <rcc rId="9220" sId="9" odxf="1" dxf="1">
    <oc r="D50">
      <f>D51+D52+D53+D54</f>
    </oc>
    <nc r="D50">
      <f>E50</f>
    </nc>
    <odxf>
      <numFmt numFmtId="4" formatCode="#,##0.00"/>
    </odxf>
    <ndxf>
      <numFmt numFmtId="2" formatCode="0.00"/>
    </ndxf>
  </rcc>
  <rcc rId="9221" sId="9" odxf="1" dxf="1">
    <oc r="E50">
      <f>E51+E52+E53+E54</f>
    </oc>
    <nc r="E50">
      <f>E51+E52+E53+E54</f>
    </nc>
    <odxf>
      <numFmt numFmtId="4" formatCode="#,##0.00"/>
    </odxf>
    <ndxf>
      <numFmt numFmtId="2" formatCode="0.00"/>
    </ndxf>
  </rcc>
  <rcc rId="9222" sId="9" odxf="1" dxf="1">
    <oc r="F50">
      <f>F51+F52+F53+F54</f>
    </oc>
    <nc r="F50">
      <f>F51+F52+F53+F54</f>
    </nc>
    <odxf>
      <numFmt numFmtId="4" formatCode="#,##0.00"/>
      <fill>
        <patternFill patternType="none">
          <bgColor indexed="65"/>
        </patternFill>
      </fill>
    </odxf>
    <ndxf>
      <numFmt numFmtId="2" formatCode="0.00"/>
      <fill>
        <patternFill patternType="solid">
          <bgColor theme="9" tint="0.79998168889431442"/>
        </patternFill>
      </fill>
    </ndxf>
  </rcc>
  <rcc rId="9223" sId="9" odxf="1" dxf="1">
    <oc r="G50">
      <f>E50/C50*100</f>
    </oc>
    <nc r="G50">
      <f>E50/C50*100</f>
    </nc>
    <odxf>
      <numFmt numFmtId="4" formatCode="#,##0.00"/>
      <fill>
        <patternFill patternType="none">
          <bgColor indexed="65"/>
        </patternFill>
      </fill>
    </odxf>
    <ndxf>
      <numFmt numFmtId="2" formatCode="0.00"/>
      <fill>
        <patternFill patternType="solid">
          <bgColor theme="9" tint="0.79998168889431442"/>
        </patternFill>
      </fill>
    </ndxf>
  </rcc>
  <rcc rId="9224" sId="9" odxf="1" dxf="1">
    <oc r="H50">
      <f>H51+H52+H53+H54</f>
    </oc>
    <nc r="H50">
      <f>H51+H52+H53+H54</f>
    </nc>
    <odxf>
      <numFmt numFmtId="4" formatCode="#,##0.00"/>
    </odxf>
    <ndxf>
      <numFmt numFmtId="2" formatCode="0.00"/>
    </ndxf>
  </rcc>
  <rcc rId="9225" sId="9" odxf="1" dxf="1">
    <oc r="I50">
      <f>I51+I52+I53+I54</f>
    </oc>
    <nc r="I50">
      <f>I51+I52+I53+I54</f>
    </nc>
    <odxf>
      <numFmt numFmtId="4" formatCode="#,##0.00"/>
    </odxf>
    <ndxf>
      <numFmt numFmtId="2" formatCode="0.00"/>
    </ndxf>
  </rcc>
  <rcc rId="9226" sId="9" odxf="1" dxf="1">
    <oc r="J50">
      <f>J51+J52+J53+J54</f>
    </oc>
    <nc r="J50">
      <f>J51+J52+J53+J54</f>
    </nc>
    <odxf>
      <numFmt numFmtId="4" formatCode="#,##0.00"/>
    </odxf>
    <ndxf>
      <numFmt numFmtId="2" formatCode="0.00"/>
    </ndxf>
  </rcc>
  <rcc rId="9227" sId="9" odxf="1" dxf="1">
    <oc r="K50">
      <f>K51+K52+K53+K54</f>
    </oc>
    <nc r="K50">
      <f>K51+K52+K53+K54</f>
    </nc>
    <odxf>
      <numFmt numFmtId="4" formatCode="#,##0.00"/>
    </odxf>
    <ndxf>
      <numFmt numFmtId="2" formatCode="0.00"/>
    </ndxf>
  </rcc>
  <rcc rId="9228" sId="9" odxf="1" dxf="1">
    <oc r="L50">
      <f>L51+L52+L53+L54</f>
    </oc>
    <nc r="L50">
      <f>L51+L52+L53+L54</f>
    </nc>
    <odxf>
      <numFmt numFmtId="4" formatCode="#,##0.00"/>
    </odxf>
    <ndxf>
      <numFmt numFmtId="2" formatCode="0.00"/>
    </ndxf>
  </rcc>
  <rcc rId="9229" sId="9" odxf="1" dxf="1">
    <nc r="M50">
      <f>M51+M52+M53+M54</f>
    </nc>
    <odxf>
      <numFmt numFmtId="4" formatCode="#,##0.00"/>
    </odxf>
    <ndxf>
      <numFmt numFmtId="2" formatCode="0.00"/>
    </ndxf>
  </rcc>
  <rcc rId="9230" sId="9" odxf="1" dxf="1">
    <oc r="N50">
      <f>N51+N52+N53+N54</f>
    </oc>
    <nc r="N50">
      <f>N51+N52+N53+N54</f>
    </nc>
    <odxf>
      <numFmt numFmtId="4" formatCode="#,##0.00"/>
    </odxf>
    <ndxf>
      <numFmt numFmtId="2" formatCode="0.00"/>
    </ndxf>
  </rcc>
  <rcc rId="9231" sId="9" odxf="1" dxf="1">
    <nc r="O50">
      <f>O51+O52+O53+O54</f>
    </nc>
    <odxf>
      <numFmt numFmtId="4" formatCode="#,##0.00"/>
    </odxf>
    <ndxf>
      <numFmt numFmtId="2" formatCode="0.00"/>
    </ndxf>
  </rcc>
  <rcc rId="9232" sId="9" odxf="1" dxf="1">
    <oc r="P50">
      <f>P51+P52+P53+P54</f>
    </oc>
    <nc r="P50">
      <f>P51+P52+P53+P54</f>
    </nc>
    <odxf>
      <numFmt numFmtId="4" formatCode="#,##0.00"/>
    </odxf>
    <ndxf>
      <numFmt numFmtId="2" formatCode="0.00"/>
    </ndxf>
  </rcc>
  <rcc rId="9233" sId="9" odxf="1" dxf="1">
    <nc r="Q50">
      <f>Q51+Q52+Q53+Q54</f>
    </nc>
    <odxf>
      <numFmt numFmtId="4" formatCode="#,##0.00"/>
    </odxf>
    <ndxf>
      <numFmt numFmtId="2" formatCode="0.00"/>
    </ndxf>
  </rcc>
  <rcc rId="9234" sId="9" odxf="1" dxf="1">
    <oc r="R50">
      <f>R51+R52+R53+R54</f>
    </oc>
    <nc r="R50">
      <f>R51+R52+R53+R54</f>
    </nc>
    <odxf>
      <numFmt numFmtId="4" formatCode="#,##0.00"/>
    </odxf>
    <ndxf>
      <numFmt numFmtId="2" formatCode="0.00"/>
    </ndxf>
  </rcc>
  <rcc rId="9235" sId="9" odxf="1" dxf="1">
    <nc r="S50">
      <f>S51+S52+S53+S54</f>
    </nc>
    <odxf>
      <numFmt numFmtId="4" formatCode="#,##0.00"/>
    </odxf>
    <ndxf>
      <numFmt numFmtId="2" formatCode="0.00"/>
    </ndxf>
  </rcc>
  <rcc rId="9236" sId="9" odxf="1" dxf="1">
    <oc r="T50">
      <f>T51+T52+T53+T54</f>
    </oc>
    <nc r="T50">
      <f>T51+T52+T53+T54</f>
    </nc>
    <odxf>
      <numFmt numFmtId="4" formatCode="#,##0.00"/>
    </odxf>
    <ndxf>
      <numFmt numFmtId="2" formatCode="0.00"/>
    </ndxf>
  </rcc>
  <rfmt sheetId="9" sqref="U50" start="0" length="0">
    <dxf>
      <numFmt numFmtId="2" formatCode="0.00"/>
    </dxf>
  </rfmt>
  <rcc rId="9237" sId="9" odxf="1" dxf="1">
    <oc r="V50">
      <f>V51+V52+V53+V54</f>
    </oc>
    <nc r="V50">
      <f>V51+V52+V53+V54</f>
    </nc>
    <odxf>
      <numFmt numFmtId="4" formatCode="#,##0.00"/>
    </odxf>
    <ndxf>
      <numFmt numFmtId="2" formatCode="0.00"/>
    </ndxf>
  </rcc>
  <rfmt sheetId="9" sqref="W50" start="0" length="0">
    <dxf>
      <numFmt numFmtId="2" formatCode="0.00"/>
    </dxf>
  </rfmt>
  <rcc rId="9238" sId="9" odxf="1" dxf="1">
    <oc r="X50">
      <f>X51+X52+X53+X54</f>
    </oc>
    <nc r="X50">
      <f>X51+X52+X53+X54</f>
    </nc>
    <odxf>
      <numFmt numFmtId="4" formatCode="#,##0.00"/>
    </odxf>
    <ndxf>
      <numFmt numFmtId="2" formatCode="0.00"/>
    </ndxf>
  </rcc>
  <rfmt sheetId="9" sqref="Y50" start="0" length="0">
    <dxf>
      <numFmt numFmtId="2" formatCode="0.00"/>
    </dxf>
  </rfmt>
  <rcc rId="9239" sId="9" odxf="1" dxf="1">
    <oc r="Z50">
      <f>Z51+Z52+Z53+Z54</f>
    </oc>
    <nc r="Z50">
      <f>Z51+Z52+Z53+Z54</f>
    </nc>
    <odxf>
      <numFmt numFmtId="4" formatCode="#,##0.00"/>
    </odxf>
    <ndxf>
      <numFmt numFmtId="2" formatCode="0.00"/>
    </ndxf>
  </rcc>
  <rfmt sheetId="9" sqref="AA50" start="0" length="0">
    <dxf>
      <numFmt numFmtId="2" formatCode="0.00"/>
    </dxf>
  </rfmt>
  <rcc rId="9240" sId="9" odxf="1" dxf="1">
    <oc r="AB50">
      <f>AB51+AB52+AB53+AB54</f>
    </oc>
    <nc r="AB50">
      <f>AB51+AB52+AB53+AB54</f>
    </nc>
    <odxf>
      <numFmt numFmtId="4" formatCode="#,##0.00"/>
    </odxf>
    <ndxf>
      <numFmt numFmtId="2" formatCode="0.00"/>
    </ndxf>
  </rcc>
  <rfmt sheetId="9" sqref="AC50" start="0" length="0">
    <dxf>
      <numFmt numFmtId="2" formatCode="0.00"/>
    </dxf>
  </rfmt>
  <rcc rId="9241" sId="9" odxf="1" dxf="1">
    <oc r="AD50">
      <f>AD51+AD52+AD53+AD54</f>
    </oc>
    <nc r="AD50">
      <f>AD51+AD52+AD53+AD54</f>
    </nc>
    <odxf>
      <numFmt numFmtId="4" formatCode="#,##0.00"/>
    </odxf>
    <ndxf>
      <numFmt numFmtId="2" formatCode="0.00"/>
    </ndxf>
  </rcc>
  <rfmt sheetId="9" sqref="AE50" start="0" length="0">
    <dxf>
      <numFmt numFmtId="2" formatCode="0.00"/>
    </dxf>
  </rfmt>
  <rcc rId="9242" sId="9" odxf="1" dxf="1">
    <oc r="B51">
      <f>H51+J51+L51+N51+P51+R51+T51+V51+X51+Z51+AB51+AD51</f>
    </oc>
    <nc r="B51">
      <f>H51+J51+L51+N51+P51+R51+T51+V51+X51+Z51+AB51+AD51</f>
    </nc>
    <odxf>
      <font>
        <b val="0"/>
        <sz val="14"/>
        <name val="Times New Roman"/>
        <scheme val="none"/>
      </font>
      <numFmt numFmtId="4" formatCode="#,##0.00"/>
    </odxf>
    <ndxf>
      <font>
        <b/>
        <sz val="14"/>
        <name val="Times New Roman"/>
        <scheme val="none"/>
      </font>
      <numFmt numFmtId="2" formatCode="0.00"/>
    </ndxf>
  </rcc>
  <rcc rId="9243" sId="9" odxf="1" dxf="1">
    <oc r="C51">
      <f>H51+J51</f>
    </oc>
    <nc r="C51">
      <f>H51</f>
    </nc>
    <odxf>
      <font>
        <b val="0"/>
        <sz val="14"/>
        <name val="Times New Roman"/>
        <scheme val="none"/>
      </font>
      <numFmt numFmtId="4" formatCode="#,##0.00"/>
    </odxf>
    <ndxf>
      <font>
        <b/>
        <sz val="14"/>
        <name val="Times New Roman"/>
        <scheme val="none"/>
      </font>
      <numFmt numFmtId="2" formatCode="0.00"/>
    </ndxf>
  </rcc>
  <rcc rId="9244" sId="9" odxf="1" dxf="1">
    <oc r="D51">
      <f>E51</f>
    </oc>
    <nc r="D51">
      <f>E51</f>
    </nc>
    <odxf>
      <font>
        <b val="0"/>
        <sz val="14"/>
        <name val="Times New Roman"/>
        <scheme val="none"/>
      </font>
      <numFmt numFmtId="4" formatCode="#,##0.00"/>
    </odxf>
    <ndxf>
      <font>
        <b/>
        <sz val="14"/>
        <name val="Times New Roman"/>
        <scheme val="none"/>
      </font>
      <numFmt numFmtId="2" formatCode="0.00"/>
    </ndxf>
  </rcc>
  <rfmt sheetId="9" sqref="E51" start="0" length="0">
    <dxf>
      <font>
        <b/>
        <sz val="14"/>
        <name val="Times New Roman"/>
        <scheme val="none"/>
      </font>
      <numFmt numFmtId="2" formatCode="0.00"/>
    </dxf>
  </rfmt>
  <rfmt sheetId="9" sqref="F51" start="0" length="0">
    <dxf>
      <font>
        <b/>
        <sz val="14"/>
        <name val="Times New Roman"/>
        <scheme val="none"/>
      </font>
      <numFmt numFmtId="2" formatCode="0.00"/>
      <fill>
        <patternFill patternType="solid">
          <bgColor theme="9" tint="0.79998168889431442"/>
        </patternFill>
      </fill>
    </dxf>
  </rfmt>
  <rfmt sheetId="9" sqref="G51" start="0" length="0">
    <dxf>
      <font>
        <b/>
        <sz val="14"/>
        <name val="Times New Roman"/>
        <scheme val="none"/>
      </font>
      <numFmt numFmtId="2" formatCode="0.00"/>
      <fill>
        <patternFill patternType="solid">
          <bgColor theme="9" tint="0.79998168889431442"/>
        </patternFill>
      </fill>
    </dxf>
  </rfmt>
  <rfmt sheetId="9" sqref="H51" start="0" length="0">
    <dxf>
      <font>
        <b/>
        <sz val="14"/>
        <name val="Times New Roman"/>
        <scheme val="none"/>
      </font>
      <numFmt numFmtId="2" formatCode="0.00"/>
    </dxf>
  </rfmt>
  <rfmt sheetId="9" sqref="I51" start="0" length="0">
    <dxf>
      <font>
        <b/>
        <sz val="14"/>
        <name val="Times New Roman"/>
        <scheme val="none"/>
      </font>
      <numFmt numFmtId="2" formatCode="0.00"/>
    </dxf>
  </rfmt>
  <rfmt sheetId="9" sqref="J51" start="0" length="0">
    <dxf>
      <font>
        <b/>
        <sz val="14"/>
        <name val="Times New Roman"/>
        <scheme val="none"/>
      </font>
      <numFmt numFmtId="2" formatCode="0.00"/>
    </dxf>
  </rfmt>
  <rfmt sheetId="9" sqref="K51" start="0" length="0">
    <dxf>
      <font>
        <b/>
        <sz val="14"/>
        <name val="Times New Roman"/>
        <scheme val="none"/>
      </font>
      <numFmt numFmtId="2" formatCode="0.00"/>
    </dxf>
  </rfmt>
  <rcc rId="9245" sId="9" odxf="1" dxf="1" numFmtId="4">
    <nc r="L51">
      <v>0</v>
    </nc>
    <odxf>
      <font>
        <b val="0"/>
        <sz val="14"/>
        <name val="Times New Roman"/>
        <scheme val="none"/>
      </font>
      <numFmt numFmtId="4" formatCode="#,##0.00"/>
    </odxf>
    <ndxf>
      <font>
        <b/>
        <sz val="14"/>
        <name val="Times New Roman"/>
        <scheme val="none"/>
      </font>
      <numFmt numFmtId="2" formatCode="0.00"/>
    </ndxf>
  </rcc>
  <rcc rId="9246" sId="9" odxf="1" dxf="1" numFmtId="4">
    <nc r="M51">
      <v>0</v>
    </nc>
    <odxf>
      <font>
        <b val="0"/>
        <sz val="14"/>
        <name val="Times New Roman"/>
        <scheme val="none"/>
      </font>
      <numFmt numFmtId="4" formatCode="#,##0.00"/>
    </odxf>
    <ndxf>
      <font>
        <b/>
        <sz val="14"/>
        <name val="Times New Roman"/>
        <scheme val="none"/>
      </font>
      <numFmt numFmtId="2" formatCode="0.00"/>
    </ndxf>
  </rcc>
  <rcc rId="9247" sId="9" odxf="1" dxf="1" numFmtId="4">
    <nc r="N51">
      <v>0</v>
    </nc>
    <odxf>
      <font>
        <b val="0"/>
        <sz val="14"/>
        <name val="Times New Roman"/>
        <scheme val="none"/>
      </font>
      <numFmt numFmtId="4" formatCode="#,##0.00"/>
    </odxf>
    <ndxf>
      <font>
        <b/>
        <sz val="14"/>
        <name val="Times New Roman"/>
        <scheme val="none"/>
      </font>
      <numFmt numFmtId="2" formatCode="0.00"/>
    </ndxf>
  </rcc>
  <rcc rId="9248" sId="9" odxf="1" dxf="1" numFmtId="4">
    <nc r="O51">
      <v>0</v>
    </nc>
    <odxf>
      <font>
        <b val="0"/>
        <sz val="14"/>
        <name val="Times New Roman"/>
        <scheme val="none"/>
      </font>
      <numFmt numFmtId="4" formatCode="#,##0.00"/>
    </odxf>
    <ndxf>
      <font>
        <b/>
        <sz val="14"/>
        <name val="Times New Roman"/>
        <scheme val="none"/>
      </font>
      <numFmt numFmtId="2" formatCode="0.00"/>
    </ndxf>
  </rcc>
  <rcc rId="9249" sId="9" odxf="1" dxf="1" numFmtId="4">
    <nc r="P51">
      <v>0</v>
    </nc>
    <odxf>
      <font>
        <b val="0"/>
        <sz val="14"/>
        <name val="Times New Roman"/>
        <scheme val="none"/>
      </font>
      <numFmt numFmtId="4" formatCode="#,##0.00"/>
    </odxf>
    <ndxf>
      <font>
        <b/>
        <sz val="14"/>
        <name val="Times New Roman"/>
        <scheme val="none"/>
      </font>
      <numFmt numFmtId="2" formatCode="0.00"/>
    </ndxf>
  </rcc>
  <rcc rId="9250" sId="9" odxf="1" dxf="1" numFmtId="4">
    <nc r="Q51">
      <v>0</v>
    </nc>
    <odxf>
      <font>
        <b val="0"/>
        <sz val="14"/>
        <name val="Times New Roman"/>
        <scheme val="none"/>
      </font>
      <numFmt numFmtId="4" formatCode="#,##0.00"/>
    </odxf>
    <ndxf>
      <font>
        <b/>
        <sz val="14"/>
        <name val="Times New Roman"/>
        <scheme val="none"/>
      </font>
      <numFmt numFmtId="2" formatCode="0.00"/>
    </ndxf>
  </rcc>
  <rcc rId="9251" sId="9" odxf="1" dxf="1" numFmtId="4">
    <nc r="R51">
      <v>0</v>
    </nc>
    <odxf>
      <font>
        <b val="0"/>
        <sz val="14"/>
        <name val="Times New Roman"/>
        <scheme val="none"/>
      </font>
      <numFmt numFmtId="4" formatCode="#,##0.00"/>
    </odxf>
    <ndxf>
      <font>
        <b/>
        <sz val="14"/>
        <name val="Times New Roman"/>
        <scheme val="none"/>
      </font>
      <numFmt numFmtId="2" formatCode="0.00"/>
    </ndxf>
  </rcc>
  <rcc rId="9252" sId="9" odxf="1" dxf="1" numFmtId="4">
    <nc r="S51">
      <v>0</v>
    </nc>
    <odxf>
      <font>
        <b val="0"/>
        <sz val="14"/>
        <name val="Times New Roman"/>
        <scheme val="none"/>
      </font>
      <numFmt numFmtId="4" formatCode="#,##0.00"/>
    </odxf>
    <ndxf>
      <font>
        <b/>
        <sz val="14"/>
        <name val="Times New Roman"/>
        <scheme val="none"/>
      </font>
      <numFmt numFmtId="2" formatCode="0.00"/>
    </ndxf>
  </rcc>
  <rcc rId="9253" sId="9" odxf="1" dxf="1" numFmtId="4">
    <nc r="T51">
      <v>0</v>
    </nc>
    <odxf>
      <font>
        <b val="0"/>
        <sz val="14"/>
        <name val="Times New Roman"/>
        <scheme val="none"/>
      </font>
      <numFmt numFmtId="4" formatCode="#,##0.00"/>
    </odxf>
    <ndxf>
      <font>
        <b/>
        <sz val="14"/>
        <name val="Times New Roman"/>
        <scheme val="none"/>
      </font>
      <numFmt numFmtId="2" formatCode="0.00"/>
    </ndxf>
  </rcc>
  <rfmt sheetId="9" sqref="U51" start="0" length="0">
    <dxf>
      <font>
        <b/>
        <sz val="14"/>
        <name val="Times New Roman"/>
        <scheme val="none"/>
      </font>
      <numFmt numFmtId="2" formatCode="0.00"/>
    </dxf>
  </rfmt>
  <rcc rId="9254" sId="9" odxf="1" dxf="1" numFmtId="4">
    <nc r="V51">
      <v>0</v>
    </nc>
    <odxf>
      <font>
        <b val="0"/>
        <sz val="14"/>
        <name val="Times New Roman"/>
        <scheme val="none"/>
      </font>
      <numFmt numFmtId="4" formatCode="#,##0.00"/>
    </odxf>
    <ndxf>
      <font>
        <b/>
        <sz val="14"/>
        <name val="Times New Roman"/>
        <scheme val="none"/>
      </font>
      <numFmt numFmtId="2" formatCode="0.00"/>
    </ndxf>
  </rcc>
  <rfmt sheetId="9" sqref="W51" start="0" length="0">
    <dxf>
      <font>
        <b/>
        <sz val="14"/>
        <name val="Times New Roman"/>
        <scheme val="none"/>
      </font>
      <numFmt numFmtId="2" formatCode="0.00"/>
    </dxf>
  </rfmt>
  <rcc rId="9255" sId="9" odxf="1" dxf="1" numFmtId="4">
    <nc r="X51">
      <v>0</v>
    </nc>
    <odxf>
      <font>
        <b val="0"/>
        <sz val="14"/>
        <name val="Times New Roman"/>
        <scheme val="none"/>
      </font>
      <numFmt numFmtId="4" formatCode="#,##0.00"/>
    </odxf>
    <ndxf>
      <font>
        <b/>
        <sz val="14"/>
        <name val="Times New Roman"/>
        <scheme val="none"/>
      </font>
      <numFmt numFmtId="2" formatCode="0.00"/>
    </ndxf>
  </rcc>
  <rfmt sheetId="9" sqref="Y51" start="0" length="0">
    <dxf>
      <font>
        <b/>
        <sz val="14"/>
        <name val="Times New Roman"/>
        <scheme val="none"/>
      </font>
      <numFmt numFmtId="2" formatCode="0.00"/>
    </dxf>
  </rfmt>
  <rcc rId="9256" sId="9" odxf="1" dxf="1" numFmtId="4">
    <nc r="Z51">
      <v>0</v>
    </nc>
    <odxf>
      <font>
        <b val="0"/>
        <sz val="14"/>
        <name val="Times New Roman"/>
        <scheme val="none"/>
      </font>
      <numFmt numFmtId="4" formatCode="#,##0.00"/>
    </odxf>
    <ndxf>
      <font>
        <b/>
        <sz val="14"/>
        <name val="Times New Roman"/>
        <scheme val="none"/>
      </font>
      <numFmt numFmtId="2" formatCode="0.00"/>
    </ndxf>
  </rcc>
  <rfmt sheetId="9" sqref="AA51" start="0" length="0">
    <dxf>
      <font>
        <b/>
        <sz val="14"/>
        <name val="Times New Roman"/>
        <scheme val="none"/>
      </font>
      <numFmt numFmtId="2" formatCode="0.00"/>
    </dxf>
  </rfmt>
  <rcc rId="9257" sId="9" odxf="1" dxf="1" numFmtId="4">
    <nc r="AB51">
      <v>0</v>
    </nc>
    <odxf>
      <font>
        <b val="0"/>
        <sz val="14"/>
        <name val="Times New Roman"/>
        <scheme val="none"/>
      </font>
      <numFmt numFmtId="4" formatCode="#,##0.00"/>
    </odxf>
    <ndxf>
      <font>
        <b/>
        <sz val="14"/>
        <name val="Times New Roman"/>
        <scheme val="none"/>
      </font>
      <numFmt numFmtId="2" formatCode="0.00"/>
    </ndxf>
  </rcc>
  <rfmt sheetId="9" sqref="AC51" start="0" length="0">
    <dxf>
      <font>
        <b/>
        <sz val="14"/>
        <name val="Times New Roman"/>
        <scheme val="none"/>
      </font>
      <numFmt numFmtId="2" formatCode="0.00"/>
    </dxf>
  </rfmt>
  <rcc rId="9258" sId="9" odxf="1" dxf="1" numFmtId="4">
    <nc r="AD51">
      <v>0</v>
    </nc>
    <odxf>
      <font>
        <b val="0"/>
        <sz val="14"/>
        <name val="Times New Roman"/>
        <scheme val="none"/>
      </font>
      <numFmt numFmtId="4" formatCode="#,##0.00"/>
    </odxf>
    <ndxf>
      <font>
        <b/>
        <sz val="14"/>
        <name val="Times New Roman"/>
        <scheme val="none"/>
      </font>
      <numFmt numFmtId="2" formatCode="0.00"/>
    </ndxf>
  </rcc>
  <rfmt sheetId="9" sqref="AE51" start="0" length="0">
    <dxf>
      <font>
        <b/>
        <sz val="14"/>
        <name val="Times New Roman"/>
        <scheme val="none"/>
      </font>
      <numFmt numFmtId="2" formatCode="0.00"/>
    </dxf>
  </rfmt>
  <rcc rId="9259" sId="9" odxf="1" dxf="1">
    <oc r="B52">
      <f>H52+J52+L52+N52+P52+R52+T52+V52+X52+Z52+AB52+AD52</f>
    </oc>
    <nc r="B52">
      <f>H52+J52+L52+N52+P52+R52+T52+V52+X52+Z52+AB52+AD52</f>
    </nc>
    <odxf>
      <font>
        <b val="0"/>
        <sz val="14"/>
        <name val="Times New Roman"/>
        <scheme val="none"/>
      </font>
      <numFmt numFmtId="4" formatCode="#,##0.00"/>
    </odxf>
    <ndxf>
      <font>
        <b/>
        <sz val="14"/>
        <name val="Times New Roman"/>
        <scheme val="none"/>
      </font>
      <numFmt numFmtId="2" formatCode="0.00"/>
    </ndxf>
  </rcc>
  <rcc rId="9260" sId="9" odxf="1" dxf="1">
    <oc r="C52">
      <f>H52+J52</f>
    </oc>
    <nc r="C52">
      <f>H52</f>
    </nc>
    <odxf>
      <font>
        <b val="0"/>
        <sz val="14"/>
        <name val="Times New Roman"/>
        <scheme val="none"/>
      </font>
      <numFmt numFmtId="4" formatCode="#,##0.00"/>
    </odxf>
    <ndxf>
      <font>
        <b/>
        <sz val="14"/>
        <name val="Times New Roman"/>
        <scheme val="none"/>
      </font>
      <numFmt numFmtId="2" formatCode="0.00"/>
    </ndxf>
  </rcc>
  <rcc rId="9261" sId="9" odxf="1" dxf="1">
    <oc r="D52">
      <f>E52</f>
    </oc>
    <nc r="D52">
      <f>E52</f>
    </nc>
    <odxf>
      <font>
        <b val="0"/>
        <sz val="14"/>
        <name val="Times New Roman"/>
        <scheme val="none"/>
      </font>
      <numFmt numFmtId="4" formatCode="#,##0.00"/>
    </odxf>
    <ndxf>
      <font>
        <b/>
        <sz val="14"/>
        <name val="Times New Roman"/>
        <scheme val="none"/>
      </font>
      <numFmt numFmtId="2" formatCode="0.00"/>
    </ndxf>
  </rcc>
  <rfmt sheetId="9" sqref="E52" start="0" length="0">
    <dxf>
      <font>
        <b/>
        <sz val="14"/>
        <name val="Times New Roman"/>
        <scheme val="none"/>
      </font>
      <numFmt numFmtId="2" formatCode="0.00"/>
    </dxf>
  </rfmt>
  <rfmt sheetId="9" sqref="F52" start="0" length="0">
    <dxf>
      <font>
        <b/>
        <sz val="14"/>
        <name val="Times New Roman"/>
        <scheme val="none"/>
      </font>
      <numFmt numFmtId="2" formatCode="0.00"/>
      <fill>
        <patternFill patternType="solid">
          <bgColor theme="9" tint="0.79998168889431442"/>
        </patternFill>
      </fill>
    </dxf>
  </rfmt>
  <rfmt sheetId="9" sqref="G52" start="0" length="0">
    <dxf>
      <font>
        <b/>
        <sz val="14"/>
        <name val="Times New Roman"/>
        <scheme val="none"/>
      </font>
      <numFmt numFmtId="2" formatCode="0.00"/>
      <fill>
        <patternFill patternType="solid">
          <bgColor theme="9" tint="0.79998168889431442"/>
        </patternFill>
      </fill>
    </dxf>
  </rfmt>
  <rfmt sheetId="9" sqref="H52" start="0" length="0">
    <dxf>
      <font>
        <b/>
        <sz val="14"/>
        <name val="Times New Roman"/>
        <scheme val="none"/>
      </font>
      <numFmt numFmtId="2" formatCode="0.00"/>
    </dxf>
  </rfmt>
  <rfmt sheetId="9" sqref="I52" start="0" length="0">
    <dxf>
      <font>
        <b/>
        <sz val="14"/>
        <name val="Times New Roman"/>
        <scheme val="none"/>
      </font>
      <numFmt numFmtId="2" formatCode="0.00"/>
    </dxf>
  </rfmt>
  <rfmt sheetId="9" sqref="J52" start="0" length="0">
    <dxf>
      <font>
        <b/>
        <sz val="14"/>
        <name val="Times New Roman"/>
        <scheme val="none"/>
      </font>
      <numFmt numFmtId="2" formatCode="0.00"/>
    </dxf>
  </rfmt>
  <rfmt sheetId="9" sqref="K52" start="0" length="0">
    <dxf>
      <font>
        <b/>
        <sz val="14"/>
        <name val="Times New Roman"/>
        <scheme val="none"/>
      </font>
      <numFmt numFmtId="2" formatCode="0.00"/>
    </dxf>
  </rfmt>
  <rcc rId="9262" sId="9" odxf="1" dxf="1" numFmtId="4">
    <nc r="L52">
      <v>0</v>
    </nc>
    <odxf>
      <font>
        <b val="0"/>
        <sz val="14"/>
        <name val="Times New Roman"/>
        <scheme val="none"/>
      </font>
      <numFmt numFmtId="4" formatCode="#,##0.00"/>
    </odxf>
    <ndxf>
      <font>
        <b/>
        <sz val="14"/>
        <name val="Times New Roman"/>
        <scheme val="none"/>
      </font>
      <numFmt numFmtId="2" formatCode="0.00"/>
    </ndxf>
  </rcc>
  <rcc rId="9263" sId="9" odxf="1" dxf="1" numFmtId="4">
    <nc r="M52">
      <v>0</v>
    </nc>
    <odxf>
      <font>
        <b val="0"/>
        <sz val="14"/>
        <name val="Times New Roman"/>
        <scheme val="none"/>
      </font>
      <numFmt numFmtId="4" formatCode="#,##0.00"/>
    </odxf>
    <ndxf>
      <font>
        <b/>
        <sz val="14"/>
        <name val="Times New Roman"/>
        <scheme val="none"/>
      </font>
      <numFmt numFmtId="2" formatCode="0.00"/>
    </ndxf>
  </rcc>
  <rcc rId="9264" sId="9" odxf="1" dxf="1" numFmtId="4">
    <nc r="N52">
      <v>0</v>
    </nc>
    <odxf>
      <font>
        <b val="0"/>
        <sz val="14"/>
        <name val="Times New Roman"/>
        <scheme val="none"/>
      </font>
      <numFmt numFmtId="4" formatCode="#,##0.00"/>
    </odxf>
    <ndxf>
      <font>
        <b/>
        <sz val="14"/>
        <name val="Times New Roman"/>
        <scheme val="none"/>
      </font>
      <numFmt numFmtId="2" formatCode="0.00"/>
    </ndxf>
  </rcc>
  <rcc rId="9265" sId="9" odxf="1" dxf="1" numFmtId="4">
    <nc r="O52">
      <v>0</v>
    </nc>
    <odxf>
      <font>
        <b val="0"/>
        <sz val="14"/>
        <name val="Times New Roman"/>
        <scheme val="none"/>
      </font>
      <numFmt numFmtId="4" formatCode="#,##0.00"/>
    </odxf>
    <ndxf>
      <font>
        <b/>
        <sz val="14"/>
        <name val="Times New Roman"/>
        <scheme val="none"/>
      </font>
      <numFmt numFmtId="2" formatCode="0.00"/>
    </ndxf>
  </rcc>
  <rcc rId="9266" sId="9" odxf="1" dxf="1" numFmtId="4">
    <nc r="P52">
      <v>0</v>
    </nc>
    <odxf>
      <font>
        <b val="0"/>
        <sz val="14"/>
        <name val="Times New Roman"/>
        <scheme val="none"/>
      </font>
      <numFmt numFmtId="4" formatCode="#,##0.00"/>
    </odxf>
    <ndxf>
      <font>
        <b/>
        <sz val="14"/>
        <name val="Times New Roman"/>
        <scheme val="none"/>
      </font>
      <numFmt numFmtId="2" formatCode="0.00"/>
    </ndxf>
  </rcc>
  <rcc rId="9267" sId="9" odxf="1" dxf="1" numFmtId="4">
    <nc r="Q52">
      <v>0</v>
    </nc>
    <odxf>
      <font>
        <b val="0"/>
        <sz val="14"/>
        <name val="Times New Roman"/>
        <scheme val="none"/>
      </font>
      <numFmt numFmtId="4" formatCode="#,##0.00"/>
    </odxf>
    <ndxf>
      <font>
        <b/>
        <sz val="14"/>
        <name val="Times New Roman"/>
        <scheme val="none"/>
      </font>
      <numFmt numFmtId="2" formatCode="0.00"/>
    </ndxf>
  </rcc>
  <rcc rId="9268" sId="9" odxf="1" dxf="1" numFmtId="4">
    <nc r="R52">
      <v>0</v>
    </nc>
    <odxf>
      <font>
        <b val="0"/>
        <sz val="14"/>
        <name val="Times New Roman"/>
        <scheme val="none"/>
      </font>
      <numFmt numFmtId="4" formatCode="#,##0.00"/>
    </odxf>
    <ndxf>
      <font>
        <b/>
        <sz val="14"/>
        <name val="Times New Roman"/>
        <scheme val="none"/>
      </font>
      <numFmt numFmtId="2" formatCode="0.00"/>
    </ndxf>
  </rcc>
  <rcc rId="9269" sId="9" odxf="1" dxf="1" numFmtId="4">
    <nc r="S52">
      <v>0</v>
    </nc>
    <odxf>
      <font>
        <b val="0"/>
        <sz val="14"/>
        <name val="Times New Roman"/>
        <scheme val="none"/>
      </font>
      <numFmt numFmtId="4" formatCode="#,##0.00"/>
    </odxf>
    <ndxf>
      <font>
        <b/>
        <sz val="14"/>
        <name val="Times New Roman"/>
        <scheme val="none"/>
      </font>
      <numFmt numFmtId="2" formatCode="0.00"/>
    </ndxf>
  </rcc>
  <rcc rId="9270" sId="9" odxf="1" dxf="1" numFmtId="4">
    <nc r="T52">
      <v>0</v>
    </nc>
    <odxf>
      <font>
        <b val="0"/>
        <sz val="14"/>
        <name val="Times New Roman"/>
        <scheme val="none"/>
      </font>
      <numFmt numFmtId="4" formatCode="#,##0.00"/>
    </odxf>
    <ndxf>
      <font>
        <b/>
        <sz val="14"/>
        <name val="Times New Roman"/>
        <scheme val="none"/>
      </font>
      <numFmt numFmtId="2" formatCode="0.00"/>
    </ndxf>
  </rcc>
  <rfmt sheetId="9" sqref="U52" start="0" length="0">
    <dxf>
      <font>
        <b/>
        <sz val="14"/>
        <name val="Times New Roman"/>
        <scheme val="none"/>
      </font>
      <numFmt numFmtId="2" formatCode="0.00"/>
    </dxf>
  </rfmt>
  <rcc rId="9271" sId="9" odxf="1" dxf="1" numFmtId="4">
    <nc r="V52">
      <v>0</v>
    </nc>
    <odxf>
      <font>
        <b val="0"/>
        <sz val="14"/>
        <name val="Times New Roman"/>
        <scheme val="none"/>
      </font>
      <numFmt numFmtId="4" formatCode="#,##0.00"/>
    </odxf>
    <ndxf>
      <font>
        <b/>
        <sz val="14"/>
        <name val="Times New Roman"/>
        <scheme val="none"/>
      </font>
      <numFmt numFmtId="2" formatCode="0.00"/>
    </ndxf>
  </rcc>
  <rfmt sheetId="9" sqref="W52" start="0" length="0">
    <dxf>
      <font>
        <b/>
        <sz val="14"/>
        <name val="Times New Roman"/>
        <scheme val="none"/>
      </font>
      <numFmt numFmtId="2" formatCode="0.00"/>
    </dxf>
  </rfmt>
  <rcc rId="9272" sId="9" odxf="1" dxf="1" numFmtId="4">
    <nc r="X52">
      <v>0</v>
    </nc>
    <odxf>
      <font>
        <b val="0"/>
        <sz val="14"/>
        <name val="Times New Roman"/>
        <scheme val="none"/>
      </font>
      <numFmt numFmtId="4" formatCode="#,##0.00"/>
    </odxf>
    <ndxf>
      <font>
        <b/>
        <sz val="14"/>
        <name val="Times New Roman"/>
        <scheme val="none"/>
      </font>
      <numFmt numFmtId="2" formatCode="0.00"/>
    </ndxf>
  </rcc>
  <rfmt sheetId="9" sqref="Y52" start="0" length="0">
    <dxf>
      <font>
        <b/>
        <sz val="14"/>
        <name val="Times New Roman"/>
        <scheme val="none"/>
      </font>
      <numFmt numFmtId="2" formatCode="0.00"/>
    </dxf>
  </rfmt>
  <rcc rId="9273" sId="9" odxf="1" dxf="1" numFmtId="4">
    <nc r="Z52">
      <v>0</v>
    </nc>
    <odxf>
      <font>
        <b val="0"/>
        <sz val="14"/>
        <name val="Times New Roman"/>
        <scheme val="none"/>
      </font>
      <numFmt numFmtId="4" formatCode="#,##0.00"/>
    </odxf>
    <ndxf>
      <font>
        <b/>
        <sz val="14"/>
        <name val="Times New Roman"/>
        <scheme val="none"/>
      </font>
      <numFmt numFmtId="2" formatCode="0.00"/>
    </ndxf>
  </rcc>
  <rfmt sheetId="9" sqref="AA52" start="0" length="0">
    <dxf>
      <font>
        <b/>
        <sz val="14"/>
        <name val="Times New Roman"/>
        <scheme val="none"/>
      </font>
      <numFmt numFmtId="2" formatCode="0.00"/>
    </dxf>
  </rfmt>
  <rcc rId="9274" sId="9" odxf="1" dxf="1" numFmtId="4">
    <nc r="AB52">
      <v>0</v>
    </nc>
    <odxf>
      <font>
        <b val="0"/>
        <sz val="14"/>
        <name val="Times New Roman"/>
        <scheme val="none"/>
      </font>
      <numFmt numFmtId="4" formatCode="#,##0.00"/>
    </odxf>
    <ndxf>
      <font>
        <b/>
        <sz val="14"/>
        <name val="Times New Roman"/>
        <scheme val="none"/>
      </font>
      <numFmt numFmtId="2" formatCode="0.00"/>
    </ndxf>
  </rcc>
  <rfmt sheetId="9" sqref="AC52" start="0" length="0">
    <dxf>
      <font>
        <b/>
        <sz val="14"/>
        <name val="Times New Roman"/>
        <scheme val="none"/>
      </font>
      <numFmt numFmtId="2" formatCode="0.00"/>
    </dxf>
  </rfmt>
  <rcc rId="9275" sId="9" odxf="1" dxf="1" numFmtId="4">
    <nc r="AD52">
      <v>0</v>
    </nc>
    <odxf>
      <font>
        <b val="0"/>
        <sz val="14"/>
        <name val="Times New Roman"/>
        <scheme val="none"/>
      </font>
      <numFmt numFmtId="4" formatCode="#,##0.00"/>
    </odxf>
    <ndxf>
      <font>
        <b/>
        <sz val="14"/>
        <name val="Times New Roman"/>
        <scheme val="none"/>
      </font>
      <numFmt numFmtId="2" formatCode="0.00"/>
    </ndxf>
  </rcc>
  <rfmt sheetId="9" sqref="AE52" start="0" length="0">
    <dxf>
      <font>
        <b/>
        <sz val="14"/>
        <name val="Times New Roman"/>
        <scheme val="none"/>
      </font>
      <numFmt numFmtId="2" formatCode="0.00"/>
    </dxf>
  </rfmt>
  <rcc rId="9276" sId="9" odxf="1" dxf="1">
    <oc r="B53">
      <f>H53+J53+L53+N53+P53+R53+T53+V53+X53+Z53+AB53+AD53</f>
    </oc>
    <nc r="B53">
      <f>H53+J53+L53+N53+P53+R53+T53+V53+X53+Z53+AB53+AD53</f>
    </nc>
    <odxf>
      <font>
        <b val="0"/>
        <sz val="14"/>
        <name val="Times New Roman"/>
        <scheme val="none"/>
      </font>
      <numFmt numFmtId="4" formatCode="#,##0.00"/>
      <fill>
        <patternFill>
          <bgColor theme="0"/>
        </patternFill>
      </fill>
    </odxf>
    <ndxf>
      <font>
        <b/>
        <sz val="14"/>
        <name val="Times New Roman"/>
        <scheme val="none"/>
      </font>
      <numFmt numFmtId="2" formatCode="0.00"/>
      <fill>
        <patternFill>
          <bgColor rgb="FFFFFF00"/>
        </patternFill>
      </fill>
    </ndxf>
  </rcc>
  <rcc rId="9277" sId="9" odxf="1" dxf="1">
    <oc r="C53">
      <f>H53+J53</f>
    </oc>
    <nc r="C53">
      <f>H53+J53+L53+N53+P53+R53</f>
    </nc>
    <odxf>
      <font>
        <b val="0"/>
        <sz val="14"/>
        <name val="Times New Roman"/>
        <scheme val="none"/>
      </font>
      <numFmt numFmtId="4" formatCode="#,##0.00"/>
      <fill>
        <patternFill>
          <bgColor theme="0"/>
        </patternFill>
      </fill>
      <border outline="0">
        <right style="thin">
          <color indexed="64"/>
        </right>
      </border>
    </odxf>
    <ndxf>
      <font>
        <b/>
        <sz val="14"/>
        <name val="Times New Roman"/>
        <scheme val="none"/>
      </font>
      <numFmt numFmtId="2" formatCode="0.00"/>
      <fill>
        <patternFill>
          <bgColor rgb="FFFFFF00"/>
        </patternFill>
      </fill>
      <border outline="0">
        <right/>
      </border>
    </ndxf>
  </rcc>
  <rcc rId="9278" sId="9" odxf="1" dxf="1">
    <oc r="D53">
      <f>E53</f>
    </oc>
    <nc r="D53">
      <f>E53</f>
    </nc>
    <odxf>
      <font>
        <b val="0"/>
        <sz val="14"/>
        <name val="Times New Roman"/>
        <scheme val="none"/>
      </font>
      <numFmt numFmtId="4" formatCode="#,##0.00"/>
      <fill>
        <patternFill>
          <bgColor theme="0"/>
        </patternFill>
      </fill>
    </odxf>
    <ndxf>
      <font>
        <b/>
        <sz val="14"/>
        <name val="Times New Roman"/>
        <scheme val="none"/>
      </font>
      <numFmt numFmtId="2" formatCode="0.00"/>
      <fill>
        <patternFill>
          <bgColor rgb="FFFFFF00"/>
        </patternFill>
      </fill>
    </ndxf>
  </rcc>
  <rcc rId="9279" sId="9" odxf="1" dxf="1">
    <oc r="E53">
      <f>I53</f>
    </oc>
    <nc r="E53">
      <f>I53+K53+M53+O53+Q53+S53</f>
    </nc>
    <odxf>
      <font>
        <b val="0"/>
        <sz val="14"/>
        <name val="Times New Roman"/>
        <scheme val="none"/>
      </font>
      <numFmt numFmtId="4" formatCode="#,##0.00"/>
      <fill>
        <patternFill>
          <bgColor theme="0"/>
        </patternFill>
      </fill>
    </odxf>
    <ndxf>
      <font>
        <b/>
        <sz val="14"/>
        <name val="Times New Roman"/>
        <scheme val="none"/>
      </font>
      <numFmt numFmtId="2" formatCode="0.00"/>
      <fill>
        <patternFill>
          <bgColor rgb="FFFFFF00"/>
        </patternFill>
      </fill>
    </ndxf>
  </rcc>
  <rcc rId="9280" sId="9" odxf="1" dxf="1">
    <oc r="F53">
      <f>E53/B53*100</f>
    </oc>
    <nc r="F53">
      <f>E53/B53*100</f>
    </nc>
    <odxf>
      <font>
        <b val="0"/>
        <sz val="14"/>
        <name val="Times New Roman"/>
        <scheme val="none"/>
      </font>
      <numFmt numFmtId="4" formatCode="#,##0.00"/>
      <fill>
        <patternFill patternType="none">
          <bgColor indexed="65"/>
        </patternFill>
      </fill>
    </odxf>
    <ndxf>
      <font>
        <b/>
        <sz val="14"/>
        <name val="Times New Roman"/>
        <scheme val="none"/>
      </font>
      <numFmt numFmtId="2" formatCode="0.00"/>
      <fill>
        <patternFill patternType="solid">
          <bgColor theme="9" tint="0.79998168889431442"/>
        </patternFill>
      </fill>
    </ndxf>
  </rcc>
  <rcc rId="9281" sId="9" odxf="1" dxf="1">
    <oc r="G53">
      <f>E53/C53*100</f>
    </oc>
    <nc r="G53">
      <f>E53/C53*100</f>
    </nc>
    <odxf>
      <font>
        <b val="0"/>
        <sz val="14"/>
        <name val="Times New Roman"/>
        <scheme val="none"/>
      </font>
      <numFmt numFmtId="4" formatCode="#,##0.00"/>
      <fill>
        <patternFill patternType="none">
          <bgColor indexed="65"/>
        </patternFill>
      </fill>
    </odxf>
    <ndxf>
      <font>
        <b/>
        <sz val="14"/>
        <name val="Times New Roman"/>
        <scheme val="none"/>
      </font>
      <numFmt numFmtId="2" formatCode="0.00"/>
      <fill>
        <patternFill patternType="solid">
          <bgColor theme="9" tint="0.79998168889431442"/>
        </patternFill>
      </fill>
    </ndxf>
  </rcc>
  <rcc rId="9282" sId="9" odxf="1" dxf="1" numFmtId="4">
    <oc r="H53">
      <f>1523.275+699.9</f>
    </oc>
    <nc r="H53">
      <v>2223.1750000000002</v>
    </nc>
    <odxf>
      <font>
        <b val="0"/>
        <sz val="14"/>
        <name val="Times New Roman"/>
        <scheme val="none"/>
      </font>
      <numFmt numFmtId="4" formatCode="#,##0.00"/>
      <fill>
        <patternFill>
          <bgColor theme="0"/>
        </patternFill>
      </fill>
    </odxf>
    <ndxf>
      <font>
        <b/>
        <sz val="14"/>
        <name val="Times New Roman"/>
        <scheme val="none"/>
      </font>
      <numFmt numFmtId="2" formatCode="0.00"/>
      <fill>
        <patternFill>
          <bgColor rgb="FFFFFF00"/>
        </patternFill>
      </fill>
    </ndxf>
  </rcc>
  <rcc rId="9283" sId="9" odxf="1" dxf="1" numFmtId="4">
    <oc r="I53">
      <v>1317.33</v>
    </oc>
    <nc r="I53">
      <v>1317.3331599999999</v>
    </nc>
    <odxf>
      <font>
        <b val="0"/>
        <sz val="14"/>
        <name val="Times New Roman"/>
        <scheme val="none"/>
      </font>
      <numFmt numFmtId="4" formatCode="#,##0.00"/>
      <fill>
        <patternFill>
          <bgColor theme="0"/>
        </patternFill>
      </fill>
    </odxf>
    <ndxf>
      <font>
        <b/>
        <sz val="14"/>
        <name val="Times New Roman"/>
        <scheme val="none"/>
      </font>
      <numFmt numFmtId="2" formatCode="0.00"/>
      <fill>
        <patternFill>
          <bgColor rgb="FFFFFF00"/>
        </patternFill>
      </fill>
    </ndxf>
  </rcc>
  <rcc rId="9284" sId="9" odxf="1" dxf="1" numFmtId="4">
    <oc r="J53">
      <f>699.9+886.8</f>
    </oc>
    <nc r="J53">
      <v>1586.7</v>
    </nc>
    <odxf>
      <font>
        <b val="0"/>
        <sz val="14"/>
        <name val="Times New Roman"/>
        <scheme val="none"/>
      </font>
      <numFmt numFmtId="4" formatCode="#,##0.00"/>
      <fill>
        <patternFill>
          <bgColor theme="0"/>
        </patternFill>
      </fill>
    </odxf>
    <ndxf>
      <font>
        <b/>
        <sz val="14"/>
        <name val="Times New Roman"/>
        <scheme val="none"/>
      </font>
      <numFmt numFmtId="2" formatCode="0.00"/>
      <fill>
        <patternFill>
          <bgColor rgb="FFFFFF00"/>
        </patternFill>
      </fill>
    </ndxf>
  </rcc>
  <rcc rId="9285" sId="9" odxf="1" dxf="1" numFmtId="4">
    <oc r="K53">
      <v>691.57</v>
    </oc>
    <nc r="K53">
      <v>691.572</v>
    </nc>
    <odxf>
      <font>
        <b val="0"/>
        <sz val="14"/>
        <name val="Times New Roman"/>
        <scheme val="none"/>
      </font>
      <numFmt numFmtId="4" formatCode="#,##0.00"/>
      <fill>
        <patternFill>
          <bgColor theme="0"/>
        </patternFill>
      </fill>
    </odxf>
    <ndxf>
      <font>
        <b/>
        <sz val="14"/>
        <name val="Times New Roman"/>
        <scheme val="none"/>
      </font>
      <numFmt numFmtId="2" formatCode="0.00"/>
      <fill>
        <patternFill>
          <bgColor rgb="FFFFFF00"/>
        </patternFill>
      </fill>
    </ndxf>
  </rcc>
  <rcc rId="9286" sId="9" odxf="1" dxf="1" numFmtId="4">
    <oc r="L53">
      <v>699.9</v>
    </oc>
    <nc r="L53">
      <v>708.6</v>
    </nc>
    <odxf>
      <font>
        <b val="0"/>
        <sz val="14"/>
        <name val="Times New Roman"/>
        <scheme val="none"/>
      </font>
      <numFmt numFmtId="4" formatCode="#,##0.00"/>
      <fill>
        <patternFill>
          <bgColor theme="0"/>
        </patternFill>
      </fill>
    </odxf>
    <ndxf>
      <font>
        <b/>
        <sz val="14"/>
        <name val="Times New Roman"/>
        <scheme val="none"/>
      </font>
      <numFmt numFmtId="2" formatCode="0.00"/>
      <fill>
        <patternFill>
          <bgColor rgb="FFFFFF00"/>
        </patternFill>
      </fill>
    </ndxf>
  </rcc>
  <rcc rId="9287" sId="9" odxf="1" dxf="1" numFmtId="4">
    <nc r="M53">
      <v>777.43100000000004</v>
    </nc>
    <odxf>
      <font>
        <b val="0"/>
        <sz val="14"/>
        <name val="Times New Roman"/>
        <scheme val="none"/>
      </font>
      <numFmt numFmtId="4" formatCode="#,##0.00"/>
      <fill>
        <patternFill>
          <bgColor theme="0"/>
        </patternFill>
      </fill>
    </odxf>
    <ndxf>
      <font>
        <b/>
        <sz val="14"/>
        <name val="Times New Roman"/>
        <scheme val="none"/>
      </font>
      <numFmt numFmtId="2" formatCode="0.00"/>
      <fill>
        <patternFill>
          <bgColor rgb="FFFFFF00"/>
        </patternFill>
      </fill>
    </ndxf>
  </rcc>
  <rfmt sheetId="9" sqref="N53" start="0" length="0">
    <dxf>
      <font>
        <b/>
        <sz val="14"/>
        <name val="Times New Roman"/>
        <scheme val="none"/>
      </font>
      <numFmt numFmtId="2" formatCode="0.00"/>
      <fill>
        <patternFill>
          <bgColor rgb="FFFFFF00"/>
        </patternFill>
      </fill>
    </dxf>
  </rfmt>
  <rcc rId="9288" sId="9" odxf="1" dxf="1" numFmtId="4">
    <nc r="O53">
      <v>1620.8085699999999</v>
    </nc>
    <odxf>
      <font>
        <b val="0"/>
        <sz val="14"/>
        <name val="Times New Roman"/>
        <scheme val="none"/>
      </font>
      <numFmt numFmtId="4" formatCode="#,##0.00"/>
      <fill>
        <patternFill>
          <bgColor theme="0"/>
        </patternFill>
      </fill>
    </odxf>
    <ndxf>
      <font>
        <b/>
        <sz val="14"/>
        <name val="Times New Roman"/>
        <scheme val="none"/>
      </font>
      <numFmt numFmtId="2" formatCode="0.00"/>
      <fill>
        <patternFill>
          <bgColor rgb="FFFFFF00"/>
        </patternFill>
      </fill>
    </ndxf>
  </rcc>
  <rcc rId="9289" sId="9" odxf="1" dxf="1" numFmtId="4">
    <oc r="P53">
      <v>699.9</v>
    </oc>
    <nc r="P53">
      <v>802.19754</v>
    </nc>
    <odxf>
      <font>
        <b val="0"/>
        <sz val="14"/>
        <name val="Times New Roman"/>
        <scheme val="none"/>
      </font>
      <numFmt numFmtId="4" formatCode="#,##0.00"/>
      <fill>
        <patternFill>
          <bgColor theme="0"/>
        </patternFill>
      </fill>
    </odxf>
    <ndxf>
      <font>
        <b/>
        <sz val="14"/>
        <name val="Times New Roman"/>
        <scheme val="none"/>
      </font>
      <numFmt numFmtId="2" formatCode="0.00"/>
      <fill>
        <patternFill>
          <bgColor rgb="FFFFFF00"/>
        </patternFill>
      </fill>
    </ndxf>
  </rcc>
  <rcc rId="9290" sId="9" odxf="1" dxf="1" numFmtId="4">
    <nc r="Q53">
      <v>1461.58015</v>
    </nc>
    <odxf>
      <font>
        <b val="0"/>
        <sz val="14"/>
        <name val="Times New Roman"/>
        <scheme val="none"/>
      </font>
      <numFmt numFmtId="4" formatCode="#,##0.00"/>
      <fill>
        <patternFill>
          <bgColor theme="0"/>
        </patternFill>
      </fill>
    </odxf>
    <ndxf>
      <font>
        <b/>
        <sz val="14"/>
        <name val="Times New Roman"/>
        <scheme val="none"/>
      </font>
      <numFmt numFmtId="2" formatCode="0.00"/>
      <fill>
        <patternFill>
          <bgColor rgb="FFFFFF00"/>
        </patternFill>
      </fill>
    </ndxf>
  </rcc>
  <rcc rId="9291" sId="9" odxf="1" dxf="1" numFmtId="4">
    <oc r="R53">
      <f>699.9+238.5</f>
    </oc>
    <nc r="R53">
      <v>1347.59016</v>
    </nc>
    <odxf>
      <font>
        <b val="0"/>
        <sz val="14"/>
        <name val="Times New Roman"/>
        <scheme val="none"/>
      </font>
      <numFmt numFmtId="4" formatCode="#,##0.00"/>
      <fill>
        <patternFill>
          <bgColor theme="0"/>
        </patternFill>
      </fill>
    </odxf>
    <ndxf>
      <font>
        <b/>
        <sz val="14"/>
        <name val="Times New Roman"/>
        <scheme val="none"/>
      </font>
      <numFmt numFmtId="2" formatCode="0.00"/>
      <fill>
        <patternFill>
          <bgColor rgb="FFFFFF00"/>
        </patternFill>
      </fill>
    </ndxf>
  </rcc>
  <rcc rId="9292" sId="9" odxf="1" dxf="1" numFmtId="4">
    <nc r="S53">
      <v>1531.2081599999999</v>
    </nc>
    <odxf>
      <font>
        <b val="0"/>
        <sz val="14"/>
        <name val="Times New Roman"/>
        <scheme val="none"/>
      </font>
      <numFmt numFmtId="4" formatCode="#,##0.00"/>
      <fill>
        <patternFill>
          <bgColor theme="0"/>
        </patternFill>
      </fill>
    </odxf>
    <ndxf>
      <font>
        <b/>
        <sz val="14"/>
        <name val="Times New Roman"/>
        <scheme val="none"/>
      </font>
      <numFmt numFmtId="2" formatCode="0.00"/>
      <fill>
        <patternFill>
          <bgColor rgb="FFFFFF00"/>
        </patternFill>
      </fill>
    </ndxf>
  </rcc>
  <rcc rId="9293" sId="9" odxf="1" dxf="1" numFmtId="4">
    <oc r="T53">
      <v>4930.7250000000004</v>
    </oc>
    <nc r="T53">
      <v>5054.3004199999996</v>
    </nc>
    <odxf>
      <font>
        <b val="0"/>
        <sz val="14"/>
        <name val="Times New Roman"/>
        <scheme val="none"/>
      </font>
      <numFmt numFmtId="4" formatCode="#,##0.00"/>
      <fill>
        <patternFill>
          <bgColor theme="0"/>
        </patternFill>
      </fill>
    </odxf>
    <ndxf>
      <font>
        <b/>
        <sz val="14"/>
        <name val="Times New Roman"/>
        <scheme val="none"/>
      </font>
      <numFmt numFmtId="2" formatCode="0.00"/>
      <fill>
        <patternFill>
          <bgColor rgb="FFFFFF00"/>
        </patternFill>
      </fill>
    </ndxf>
  </rcc>
  <rfmt sheetId="9" sqref="U53" start="0" length="0">
    <dxf>
      <font>
        <b/>
        <sz val="14"/>
        <name val="Times New Roman"/>
        <scheme val="none"/>
      </font>
      <numFmt numFmtId="2" formatCode="0.00"/>
      <fill>
        <patternFill>
          <bgColor rgb="FFFFFF00"/>
        </patternFill>
      </fill>
    </dxf>
  </rfmt>
  <rfmt sheetId="9" sqref="V53" start="0" length="0">
    <dxf>
      <font>
        <b/>
        <sz val="14"/>
        <name val="Times New Roman"/>
        <scheme val="none"/>
      </font>
      <numFmt numFmtId="2" formatCode="0.00"/>
      <fill>
        <patternFill>
          <bgColor rgb="FFFFFF00"/>
        </patternFill>
      </fill>
    </dxf>
  </rfmt>
  <rfmt sheetId="9" sqref="W53" start="0" length="0">
    <dxf>
      <font>
        <b/>
        <sz val="14"/>
        <name val="Times New Roman"/>
        <scheme val="none"/>
      </font>
      <numFmt numFmtId="2" formatCode="0.00"/>
      <fill>
        <patternFill>
          <bgColor rgb="FFFFFF00"/>
        </patternFill>
      </fill>
    </dxf>
  </rfmt>
  <rfmt sheetId="9" sqref="X53" start="0" length="0">
    <dxf>
      <font>
        <b/>
        <sz val="14"/>
        <name val="Times New Roman"/>
        <scheme val="none"/>
      </font>
      <numFmt numFmtId="2" formatCode="0.00"/>
      <fill>
        <patternFill>
          <bgColor rgb="FFFFFF00"/>
        </patternFill>
      </fill>
    </dxf>
  </rfmt>
  <rfmt sheetId="9" sqref="Y53" start="0" length="0">
    <dxf>
      <font>
        <b/>
        <sz val="14"/>
        <name val="Times New Roman"/>
        <scheme val="none"/>
      </font>
      <numFmt numFmtId="2" formatCode="0.00"/>
      <fill>
        <patternFill>
          <bgColor rgb="FFFFFF00"/>
        </patternFill>
      </fill>
    </dxf>
  </rfmt>
  <rcc rId="9294" sId="9" odxf="1" dxf="1" numFmtId="4">
    <oc r="Z53">
      <f>699.9+1726.075</f>
    </oc>
    <nc r="Z53">
      <v>2417.2750000000001</v>
    </nc>
    <odxf>
      <font>
        <b val="0"/>
        <sz val="14"/>
        <name val="Times New Roman"/>
        <scheme val="none"/>
      </font>
      <numFmt numFmtId="4" formatCode="#,##0.00"/>
      <fill>
        <patternFill>
          <bgColor theme="0"/>
        </patternFill>
      </fill>
    </odxf>
    <ndxf>
      <font>
        <b/>
        <sz val="14"/>
        <name val="Times New Roman"/>
        <scheme val="none"/>
      </font>
      <numFmt numFmtId="2" formatCode="0.00"/>
      <fill>
        <patternFill>
          <bgColor rgb="FFFFFF00"/>
        </patternFill>
      </fill>
    </ndxf>
  </rcc>
  <rfmt sheetId="9" sqref="AA53" start="0" length="0">
    <dxf>
      <font>
        <b/>
        <sz val="14"/>
        <name val="Times New Roman"/>
        <scheme val="none"/>
      </font>
      <numFmt numFmtId="2" formatCode="0.00"/>
      <fill>
        <patternFill>
          <bgColor rgb="FFFFFF00"/>
        </patternFill>
      </fill>
    </dxf>
  </rfmt>
  <rfmt sheetId="9" sqref="AB53" start="0" length="0">
    <dxf>
      <font>
        <b/>
        <sz val="14"/>
        <name val="Times New Roman"/>
        <scheme val="none"/>
      </font>
      <numFmt numFmtId="2" formatCode="0.00"/>
      <fill>
        <patternFill>
          <bgColor rgb="FFFFFF00"/>
        </patternFill>
      </fill>
    </dxf>
  </rfmt>
  <rfmt sheetId="9" sqref="AC53" start="0" length="0">
    <dxf>
      <font>
        <b/>
        <sz val="14"/>
        <name val="Times New Roman"/>
        <scheme val="none"/>
      </font>
      <numFmt numFmtId="2" formatCode="0.00"/>
      <fill>
        <patternFill>
          <bgColor rgb="FFFFFF00"/>
        </patternFill>
      </fill>
    </dxf>
  </rfmt>
  <rcc rId="9295" sId="9" odxf="1" dxf="1" numFmtId="4">
    <oc r="AD53">
      <v>5558.1</v>
    </oc>
    <nc r="AD53">
      <f>2294.43688+1135+1492</f>
    </nc>
    <odxf>
      <font>
        <b val="0"/>
        <sz val="14"/>
        <name val="Times New Roman"/>
        <scheme val="none"/>
      </font>
      <numFmt numFmtId="4" formatCode="#,##0.00"/>
      <fill>
        <patternFill>
          <bgColor theme="0"/>
        </patternFill>
      </fill>
    </odxf>
    <ndxf>
      <font>
        <b/>
        <sz val="14"/>
        <name val="Times New Roman"/>
        <scheme val="none"/>
      </font>
      <numFmt numFmtId="2" formatCode="0.00"/>
      <fill>
        <patternFill>
          <bgColor rgb="FFFFFF00"/>
        </patternFill>
      </fill>
    </ndxf>
  </rcc>
  <rfmt sheetId="9" sqref="AE53" start="0" length="0">
    <dxf>
      <font>
        <b/>
        <sz val="14"/>
        <name val="Times New Roman"/>
        <scheme val="none"/>
      </font>
      <numFmt numFmtId="2" formatCode="0.00"/>
      <fill>
        <patternFill>
          <bgColor rgb="FFFFFF00"/>
        </patternFill>
      </fill>
    </dxf>
  </rfmt>
  <rcc rId="9296" sId="9" odxf="1" dxf="1">
    <oc r="B54">
      <f>H54+J54+L54+N54+P54+R54+T54+V54+X54+Z54+AB54+AD54</f>
    </oc>
    <nc r="B54">
      <f>H54+J54+L54+N54+P54+R54+T54+V54+X54+Z54+AB54+AD54</f>
    </nc>
    <odxf>
      <font>
        <b val="0"/>
        <sz val="14"/>
        <name val="Times New Roman"/>
        <scheme val="none"/>
      </font>
      <numFmt numFmtId="4" formatCode="#,##0.00"/>
    </odxf>
    <ndxf>
      <font>
        <b/>
        <sz val="14"/>
        <name val="Times New Roman"/>
        <scheme val="none"/>
      </font>
      <numFmt numFmtId="2" formatCode="0.00"/>
    </ndxf>
  </rcc>
  <rcc rId="9297" sId="9" odxf="1" dxf="1">
    <oc r="C54">
      <f>H54</f>
    </oc>
    <nc r="C54">
      <f>H54</f>
    </nc>
    <odxf>
      <font>
        <b val="0"/>
        <sz val="14"/>
        <name val="Times New Roman"/>
        <scheme val="none"/>
      </font>
      <numFmt numFmtId="4" formatCode="#,##0.00"/>
    </odxf>
    <ndxf>
      <font>
        <b/>
        <sz val="14"/>
        <name val="Times New Roman"/>
        <scheme val="none"/>
      </font>
      <numFmt numFmtId="2" formatCode="0.00"/>
    </ndxf>
  </rcc>
  <rcc rId="9298" sId="9" odxf="1" dxf="1">
    <oc r="D54">
      <f>E54</f>
    </oc>
    <nc r="D54">
      <f>E54</f>
    </nc>
    <odxf>
      <font>
        <b val="0"/>
        <sz val="14"/>
        <name val="Times New Roman"/>
        <scheme val="none"/>
      </font>
      <numFmt numFmtId="4" formatCode="#,##0.00"/>
    </odxf>
    <ndxf>
      <font>
        <b/>
        <sz val="14"/>
        <name val="Times New Roman"/>
        <scheme val="none"/>
      </font>
      <numFmt numFmtId="2" formatCode="0.00"/>
    </ndxf>
  </rcc>
  <rfmt sheetId="9" sqref="E54" start="0" length="0">
    <dxf>
      <font>
        <b/>
        <sz val="14"/>
        <name val="Times New Roman"/>
        <scheme val="none"/>
      </font>
      <numFmt numFmtId="2" formatCode="0.00"/>
    </dxf>
  </rfmt>
  <rfmt sheetId="9" sqref="F54" start="0" length="0">
    <dxf>
      <font>
        <b/>
        <sz val="14"/>
        <name val="Times New Roman"/>
        <scheme val="none"/>
      </font>
      <numFmt numFmtId="2" formatCode="0.00"/>
      <fill>
        <patternFill patternType="solid">
          <bgColor theme="9" tint="0.79998168889431442"/>
        </patternFill>
      </fill>
    </dxf>
  </rfmt>
  <rfmt sheetId="9" sqref="G54" start="0" length="0">
    <dxf>
      <font>
        <b/>
        <sz val="14"/>
        <name val="Times New Roman"/>
        <scheme val="none"/>
      </font>
      <numFmt numFmtId="2" formatCode="0.00"/>
      <fill>
        <patternFill patternType="solid">
          <bgColor theme="9" tint="0.79998168889431442"/>
        </patternFill>
      </fill>
    </dxf>
  </rfmt>
  <rfmt sheetId="9" sqref="H54" start="0" length="0">
    <dxf>
      <font>
        <b/>
        <sz val="14"/>
        <name val="Times New Roman"/>
        <scheme val="none"/>
      </font>
      <numFmt numFmtId="2" formatCode="0.00"/>
    </dxf>
  </rfmt>
  <rfmt sheetId="9" sqref="I54" start="0" length="0">
    <dxf>
      <font>
        <b/>
        <sz val="14"/>
        <name val="Times New Roman"/>
        <scheme val="none"/>
      </font>
      <numFmt numFmtId="2" formatCode="0.00"/>
    </dxf>
  </rfmt>
  <rfmt sheetId="9" sqref="J54" start="0" length="0">
    <dxf>
      <font>
        <b/>
        <sz val="14"/>
        <name val="Times New Roman"/>
        <scheme val="none"/>
      </font>
      <numFmt numFmtId="2" formatCode="0.00"/>
    </dxf>
  </rfmt>
  <rfmt sheetId="9" sqref="K54" start="0" length="0">
    <dxf>
      <font>
        <b/>
        <sz val="14"/>
        <name val="Times New Roman"/>
        <scheme val="none"/>
      </font>
      <numFmt numFmtId="2" formatCode="0.00"/>
    </dxf>
  </rfmt>
  <rcc rId="9299" sId="9" odxf="1" dxf="1" numFmtId="4">
    <nc r="L54">
      <v>0</v>
    </nc>
    <odxf>
      <font>
        <b val="0"/>
        <sz val="14"/>
        <name val="Times New Roman"/>
        <scheme val="none"/>
      </font>
      <numFmt numFmtId="4" formatCode="#,##0.00"/>
    </odxf>
    <ndxf>
      <font>
        <b/>
        <sz val="14"/>
        <name val="Times New Roman"/>
        <scheme val="none"/>
      </font>
      <numFmt numFmtId="2" formatCode="0.00"/>
    </ndxf>
  </rcc>
  <rcc rId="9300" sId="9" odxf="1" dxf="1" numFmtId="4">
    <nc r="M54">
      <v>0</v>
    </nc>
    <odxf>
      <font>
        <b val="0"/>
        <sz val="14"/>
        <name val="Times New Roman"/>
        <scheme val="none"/>
      </font>
      <numFmt numFmtId="4" formatCode="#,##0.00"/>
    </odxf>
    <ndxf>
      <font>
        <b/>
        <sz val="14"/>
        <name val="Times New Roman"/>
        <scheme val="none"/>
      </font>
      <numFmt numFmtId="2" formatCode="0.00"/>
    </ndxf>
  </rcc>
  <rcc rId="9301" sId="9" odxf="1" dxf="1" numFmtId="4">
    <nc r="N54">
      <v>0</v>
    </nc>
    <odxf>
      <font>
        <b val="0"/>
        <sz val="14"/>
        <name val="Times New Roman"/>
        <scheme val="none"/>
      </font>
      <numFmt numFmtId="4" formatCode="#,##0.00"/>
    </odxf>
    <ndxf>
      <font>
        <b/>
        <sz val="14"/>
        <name val="Times New Roman"/>
        <scheme val="none"/>
      </font>
      <numFmt numFmtId="2" formatCode="0.00"/>
    </ndxf>
  </rcc>
  <rcc rId="9302" sId="9" odxf="1" dxf="1" numFmtId="4">
    <nc r="O54">
      <v>0</v>
    </nc>
    <odxf>
      <font>
        <b val="0"/>
        <sz val="14"/>
        <name val="Times New Roman"/>
        <scheme val="none"/>
      </font>
      <numFmt numFmtId="4" formatCode="#,##0.00"/>
    </odxf>
    <ndxf>
      <font>
        <b/>
        <sz val="14"/>
        <name val="Times New Roman"/>
        <scheme val="none"/>
      </font>
      <numFmt numFmtId="2" formatCode="0.00"/>
    </ndxf>
  </rcc>
  <rcc rId="9303" sId="9" odxf="1" dxf="1" numFmtId="4">
    <nc r="P54">
      <v>0</v>
    </nc>
    <odxf>
      <font>
        <b val="0"/>
        <sz val="14"/>
        <name val="Times New Roman"/>
        <scheme val="none"/>
      </font>
      <numFmt numFmtId="4" formatCode="#,##0.00"/>
    </odxf>
    <ndxf>
      <font>
        <b/>
        <sz val="14"/>
        <name val="Times New Roman"/>
        <scheme val="none"/>
      </font>
      <numFmt numFmtId="2" formatCode="0.00"/>
    </ndxf>
  </rcc>
  <rcc rId="9304" sId="9" odxf="1" dxf="1" numFmtId="4">
    <nc r="Q54">
      <v>0</v>
    </nc>
    <odxf>
      <font>
        <b val="0"/>
        <sz val="14"/>
        <name val="Times New Roman"/>
        <scheme val="none"/>
      </font>
      <numFmt numFmtId="4" formatCode="#,##0.00"/>
    </odxf>
    <ndxf>
      <font>
        <b/>
        <sz val="14"/>
        <name val="Times New Roman"/>
        <scheme val="none"/>
      </font>
      <numFmt numFmtId="2" formatCode="0.00"/>
    </ndxf>
  </rcc>
  <rcc rId="9305" sId="9" odxf="1" dxf="1" numFmtId="4">
    <nc r="R54">
      <v>0</v>
    </nc>
    <odxf>
      <font>
        <b val="0"/>
        <sz val="14"/>
        <name val="Times New Roman"/>
        <scheme val="none"/>
      </font>
      <numFmt numFmtId="4" formatCode="#,##0.00"/>
    </odxf>
    <ndxf>
      <font>
        <b/>
        <sz val="14"/>
        <name val="Times New Roman"/>
        <scheme val="none"/>
      </font>
      <numFmt numFmtId="2" formatCode="0.00"/>
    </ndxf>
  </rcc>
  <rcc rId="9306" sId="9" odxf="1" dxf="1" numFmtId="4">
    <nc r="S54">
      <v>0</v>
    </nc>
    <odxf>
      <font>
        <b val="0"/>
        <sz val="14"/>
        <name val="Times New Roman"/>
        <scheme val="none"/>
      </font>
      <numFmt numFmtId="4" formatCode="#,##0.00"/>
    </odxf>
    <ndxf>
      <font>
        <b/>
        <sz val="14"/>
        <name val="Times New Roman"/>
        <scheme val="none"/>
      </font>
      <numFmt numFmtId="2" formatCode="0.00"/>
    </ndxf>
  </rcc>
  <rcc rId="9307" sId="9" odxf="1" dxf="1" numFmtId="4">
    <nc r="T54">
      <v>0</v>
    </nc>
    <odxf>
      <font>
        <b val="0"/>
        <sz val="14"/>
        <name val="Times New Roman"/>
        <scheme val="none"/>
      </font>
      <numFmt numFmtId="4" formatCode="#,##0.00"/>
    </odxf>
    <ndxf>
      <font>
        <b/>
        <sz val="14"/>
        <name val="Times New Roman"/>
        <scheme val="none"/>
      </font>
      <numFmt numFmtId="2" formatCode="0.00"/>
    </ndxf>
  </rcc>
  <rfmt sheetId="9" sqref="U54" start="0" length="0">
    <dxf>
      <font>
        <b/>
        <sz val="14"/>
        <name val="Times New Roman"/>
        <scheme val="none"/>
      </font>
      <numFmt numFmtId="2" formatCode="0.00"/>
    </dxf>
  </rfmt>
  <rcc rId="9308" sId="9" odxf="1" dxf="1" numFmtId="4">
    <nc r="V54">
      <v>0</v>
    </nc>
    <odxf>
      <font>
        <b val="0"/>
        <sz val="14"/>
        <name val="Times New Roman"/>
        <scheme val="none"/>
      </font>
      <numFmt numFmtId="4" formatCode="#,##0.00"/>
    </odxf>
    <ndxf>
      <font>
        <b/>
        <sz val="14"/>
        <name val="Times New Roman"/>
        <scheme val="none"/>
      </font>
      <numFmt numFmtId="2" formatCode="0.00"/>
    </ndxf>
  </rcc>
  <rfmt sheetId="9" sqref="W54" start="0" length="0">
    <dxf>
      <font>
        <b/>
        <sz val="14"/>
        <name val="Times New Roman"/>
        <scheme val="none"/>
      </font>
      <numFmt numFmtId="2" formatCode="0.00"/>
    </dxf>
  </rfmt>
  <rcc rId="9309" sId="9" odxf="1" dxf="1" numFmtId="4">
    <nc r="X54">
      <v>0</v>
    </nc>
    <odxf>
      <font>
        <b val="0"/>
        <sz val="14"/>
        <name val="Times New Roman"/>
        <scheme val="none"/>
      </font>
      <numFmt numFmtId="4" formatCode="#,##0.00"/>
    </odxf>
    <ndxf>
      <font>
        <b/>
        <sz val="14"/>
        <name val="Times New Roman"/>
        <scheme val="none"/>
      </font>
      <numFmt numFmtId="2" formatCode="0.00"/>
    </ndxf>
  </rcc>
  <rfmt sheetId="9" sqref="Y54" start="0" length="0">
    <dxf>
      <font>
        <b/>
        <sz val="14"/>
        <name val="Times New Roman"/>
        <scheme val="none"/>
      </font>
      <numFmt numFmtId="2" formatCode="0.00"/>
    </dxf>
  </rfmt>
  <rcc rId="9310" sId="9" odxf="1" dxf="1" numFmtId="4">
    <nc r="Z54">
      <v>0</v>
    </nc>
    <odxf>
      <font>
        <b val="0"/>
        <sz val="14"/>
        <name val="Times New Roman"/>
        <scheme val="none"/>
      </font>
      <numFmt numFmtId="4" formatCode="#,##0.00"/>
    </odxf>
    <ndxf>
      <font>
        <b/>
        <sz val="14"/>
        <name val="Times New Roman"/>
        <scheme val="none"/>
      </font>
      <numFmt numFmtId="2" formatCode="0.00"/>
    </ndxf>
  </rcc>
  <rfmt sheetId="9" sqref="AA54" start="0" length="0">
    <dxf>
      <font>
        <b/>
        <sz val="14"/>
        <name val="Times New Roman"/>
        <scheme val="none"/>
      </font>
      <numFmt numFmtId="2" formatCode="0.00"/>
    </dxf>
  </rfmt>
  <rcc rId="9311" sId="9" odxf="1" dxf="1" numFmtId="4">
    <nc r="AB54">
      <v>0</v>
    </nc>
    <odxf>
      <font>
        <b val="0"/>
        <sz val="14"/>
        <name val="Times New Roman"/>
        <scheme val="none"/>
      </font>
      <numFmt numFmtId="4" formatCode="#,##0.00"/>
    </odxf>
    <ndxf>
      <font>
        <b/>
        <sz val="14"/>
        <name val="Times New Roman"/>
        <scheme val="none"/>
      </font>
      <numFmt numFmtId="2" formatCode="0.00"/>
    </ndxf>
  </rcc>
  <rfmt sheetId="9" sqref="AC54" start="0" length="0">
    <dxf>
      <font>
        <b/>
        <sz val="14"/>
        <name val="Times New Roman"/>
        <scheme val="none"/>
      </font>
      <numFmt numFmtId="2" formatCode="0.00"/>
    </dxf>
  </rfmt>
  <rcc rId="9312" sId="9" odxf="1" dxf="1" numFmtId="4">
    <nc r="AD54">
      <v>0</v>
    </nc>
    <odxf>
      <font>
        <b val="0"/>
        <sz val="14"/>
        <name val="Times New Roman"/>
        <scheme val="none"/>
      </font>
      <numFmt numFmtId="4" formatCode="#,##0.00"/>
    </odxf>
    <ndxf>
      <font>
        <b/>
        <sz val="14"/>
        <name val="Times New Roman"/>
        <scheme val="none"/>
      </font>
      <numFmt numFmtId="2" formatCode="0.00"/>
    </ndxf>
  </rcc>
  <rfmt sheetId="9" sqref="AE54" start="0" length="0">
    <dxf>
      <font>
        <b/>
        <sz val="14"/>
        <name val="Times New Roman"/>
        <scheme val="none"/>
      </font>
      <numFmt numFmtId="2" formatCode="0.00"/>
    </dxf>
  </rfmt>
  <rcc rId="9313" sId="9" odxf="1" dxf="1">
    <oc r="B55">
      <f>B56</f>
    </oc>
    <nc r="B55">
      <f>B56</f>
    </nc>
    <odxf>
      <font>
        <b val="0"/>
        <sz val="14"/>
        <name val="Times New Roman"/>
        <scheme val="none"/>
      </font>
      <numFmt numFmtId="4" formatCode="#,##0.00"/>
    </odxf>
    <ndxf>
      <font>
        <b/>
        <sz val="14"/>
        <name val="Times New Roman"/>
        <scheme val="none"/>
      </font>
      <numFmt numFmtId="2" formatCode="0.00"/>
    </ndxf>
  </rcc>
  <rcc rId="9314" sId="9" odxf="1" dxf="1">
    <oc r="C55">
      <f>C56</f>
    </oc>
    <nc r="C55">
      <f>C56</f>
    </nc>
    <odxf>
      <font>
        <b val="0"/>
        <sz val="14"/>
        <name val="Times New Roman"/>
        <scheme val="none"/>
      </font>
      <numFmt numFmtId="4" formatCode="#,##0.00"/>
    </odxf>
    <ndxf>
      <font>
        <b/>
        <sz val="14"/>
        <name val="Times New Roman"/>
        <scheme val="none"/>
      </font>
      <numFmt numFmtId="2" formatCode="0.00"/>
    </ndxf>
  </rcc>
  <rcc rId="9315" sId="9" odxf="1" dxf="1">
    <oc r="D55">
      <f>D56</f>
    </oc>
    <nc r="D55">
      <f>E55</f>
    </nc>
    <odxf>
      <font>
        <b val="0"/>
        <sz val="14"/>
        <name val="Times New Roman"/>
        <scheme val="none"/>
      </font>
      <numFmt numFmtId="4" formatCode="#,##0.00"/>
    </odxf>
    <ndxf>
      <font>
        <b/>
        <sz val="14"/>
        <name val="Times New Roman"/>
        <scheme val="none"/>
      </font>
      <numFmt numFmtId="2" formatCode="0.00"/>
    </ndxf>
  </rcc>
  <rcc rId="9316" sId="9" odxf="1" dxf="1">
    <oc r="E55">
      <f>E56</f>
    </oc>
    <nc r="E55">
      <f>E56</f>
    </nc>
    <odxf>
      <font>
        <b val="0"/>
        <sz val="14"/>
        <name val="Times New Roman"/>
        <scheme val="none"/>
      </font>
      <numFmt numFmtId="4" formatCode="#,##0.00"/>
      <border outline="0">
        <right style="thin">
          <color indexed="64"/>
        </right>
      </border>
      <protection hidden="0"/>
    </odxf>
    <ndxf>
      <font>
        <b/>
        <sz val="14"/>
        <name val="Times New Roman"/>
        <scheme val="none"/>
      </font>
      <numFmt numFmtId="2" formatCode="0.00"/>
      <border outline="0">
        <right/>
      </border>
      <protection hidden="1"/>
    </ndxf>
  </rcc>
  <rcc rId="9317" sId="9" odxf="1" dxf="1">
    <oc r="F55">
      <f>F56</f>
    </oc>
    <nc r="F55">
      <f>F56</f>
    </nc>
    <odxf>
      <font>
        <b val="0"/>
        <sz val="14"/>
        <name val="Times New Roman"/>
        <scheme val="none"/>
      </font>
      <numFmt numFmtId="4" formatCode="#,##0.00"/>
      <fill>
        <patternFill>
          <bgColor theme="0"/>
        </patternFill>
      </fill>
    </odxf>
    <ndxf>
      <font>
        <b/>
        <sz val="14"/>
        <name val="Times New Roman"/>
        <scheme val="none"/>
      </font>
      <numFmt numFmtId="2" formatCode="0.00"/>
      <fill>
        <patternFill>
          <bgColor theme="9" tint="0.79998168889431442"/>
        </patternFill>
      </fill>
    </ndxf>
  </rcc>
  <rcc rId="9318" sId="9" odxf="1" dxf="1">
    <oc r="G55">
      <f>G56</f>
    </oc>
    <nc r="G55">
      <f>G56</f>
    </nc>
    <odxf>
      <font>
        <b val="0"/>
        <sz val="14"/>
        <name val="Times New Roman"/>
        <scheme val="none"/>
      </font>
      <numFmt numFmtId="4" formatCode="#,##0.00"/>
      <fill>
        <patternFill>
          <bgColor theme="0"/>
        </patternFill>
      </fill>
    </odxf>
    <ndxf>
      <font>
        <b/>
        <sz val="14"/>
        <name val="Times New Roman"/>
        <scheme val="none"/>
      </font>
      <numFmt numFmtId="2" formatCode="0.00"/>
      <fill>
        <patternFill>
          <bgColor theme="9" tint="0.79998168889431442"/>
        </patternFill>
      </fill>
    </ndxf>
  </rcc>
  <rcc rId="9319" sId="9" odxf="1" dxf="1">
    <oc r="H55">
      <f>H56</f>
    </oc>
    <nc r="H55">
      <f>H56</f>
    </nc>
    <odxf>
      <font>
        <b val="0"/>
        <sz val="14"/>
        <name val="Times New Roman"/>
        <scheme val="none"/>
      </font>
      <numFmt numFmtId="4" formatCode="#,##0.00"/>
    </odxf>
    <ndxf>
      <font>
        <b/>
        <sz val="14"/>
        <name val="Times New Roman"/>
        <scheme val="none"/>
      </font>
      <numFmt numFmtId="2" formatCode="0.00"/>
    </ndxf>
  </rcc>
  <rcc rId="9320" sId="9" odxf="1" dxf="1">
    <oc r="I55">
      <f>I56</f>
    </oc>
    <nc r="I55">
      <f>I56</f>
    </nc>
    <odxf>
      <font>
        <b val="0"/>
        <sz val="14"/>
        <name val="Times New Roman"/>
        <scheme val="none"/>
      </font>
      <numFmt numFmtId="4" formatCode="#,##0.00"/>
      <border outline="0">
        <right style="thin">
          <color indexed="64"/>
        </right>
      </border>
      <protection hidden="0"/>
    </odxf>
    <ndxf>
      <font>
        <b/>
        <sz val="14"/>
        <name val="Times New Roman"/>
        <scheme val="none"/>
      </font>
      <numFmt numFmtId="2" formatCode="0.00"/>
      <border outline="0">
        <right/>
      </border>
      <protection hidden="1"/>
    </ndxf>
  </rcc>
  <rcc rId="9321" sId="9" odxf="1" dxf="1">
    <oc r="J55">
      <f>J56</f>
    </oc>
    <nc r="J55">
      <f>J56</f>
    </nc>
    <odxf>
      <font>
        <b val="0"/>
        <sz val="14"/>
        <name val="Times New Roman"/>
        <scheme val="none"/>
      </font>
      <numFmt numFmtId="4" formatCode="#,##0.00"/>
    </odxf>
    <ndxf>
      <font>
        <b/>
        <sz val="14"/>
        <name val="Times New Roman"/>
        <scheme val="none"/>
      </font>
      <numFmt numFmtId="2" formatCode="0.00"/>
    </ndxf>
  </rcc>
  <rcc rId="9322" sId="9" odxf="1" dxf="1">
    <oc r="K55">
      <f>K56</f>
    </oc>
    <nc r="K55">
      <f>K56</f>
    </nc>
    <odxf>
      <font>
        <b val="0"/>
        <sz val="14"/>
        <name val="Times New Roman"/>
        <scheme val="none"/>
      </font>
      <numFmt numFmtId="4" formatCode="#,##0.00"/>
    </odxf>
    <ndxf>
      <font>
        <b/>
        <sz val="14"/>
        <name val="Times New Roman"/>
        <scheme val="none"/>
      </font>
      <numFmt numFmtId="2" formatCode="0.00"/>
    </ndxf>
  </rcc>
  <rcc rId="9323" sId="9" odxf="1" dxf="1">
    <nc r="L55">
      <f>L56</f>
    </nc>
    <odxf>
      <font>
        <b val="0"/>
        <sz val="14"/>
        <name val="Times New Roman"/>
        <scheme val="none"/>
      </font>
      <numFmt numFmtId="4" formatCode="#,##0.00"/>
    </odxf>
    <ndxf>
      <font>
        <b/>
        <sz val="14"/>
        <name val="Times New Roman"/>
        <scheme val="none"/>
      </font>
      <numFmt numFmtId="2" formatCode="0.00"/>
    </ndxf>
  </rcc>
  <rcc rId="9324" sId="9" odxf="1" dxf="1">
    <nc r="M55">
      <f>M56</f>
    </nc>
    <odxf>
      <font>
        <b val="0"/>
        <sz val="14"/>
        <name val="Times New Roman"/>
        <scheme val="none"/>
      </font>
      <numFmt numFmtId="4" formatCode="#,##0.00"/>
      <border outline="0">
        <right/>
      </border>
      <protection hidden="1"/>
    </odxf>
    <ndxf>
      <font>
        <b/>
        <sz val="14"/>
        <name val="Times New Roman"/>
        <scheme val="none"/>
      </font>
      <numFmt numFmtId="2" formatCode="0.00"/>
      <border outline="0">
        <right style="thin">
          <color indexed="64"/>
        </right>
      </border>
      <protection hidden="0"/>
    </ndxf>
  </rcc>
  <rcc rId="9325" sId="9" odxf="1" dxf="1">
    <nc r="N55">
      <f>N56</f>
    </nc>
    <odxf>
      <font>
        <b val="0"/>
        <sz val="14"/>
        <name val="Times New Roman"/>
        <scheme val="none"/>
      </font>
      <numFmt numFmtId="4" formatCode="#,##0.00"/>
    </odxf>
    <ndxf>
      <font>
        <b/>
        <sz val="14"/>
        <name val="Times New Roman"/>
        <scheme val="none"/>
      </font>
      <numFmt numFmtId="2" formatCode="0.00"/>
    </ndxf>
  </rcc>
  <rcc rId="9326" sId="9" odxf="1" dxf="1">
    <nc r="O55">
      <f>O56</f>
    </nc>
    <odxf>
      <font>
        <b val="0"/>
        <sz val="14"/>
        <name val="Times New Roman"/>
        <scheme val="none"/>
      </font>
      <numFmt numFmtId="4" formatCode="#,##0.00"/>
      <border outline="0">
        <right/>
      </border>
      <protection hidden="1"/>
    </odxf>
    <ndxf>
      <font>
        <b/>
        <sz val="14"/>
        <name val="Times New Roman"/>
        <scheme val="none"/>
      </font>
      <numFmt numFmtId="2" formatCode="0.00"/>
      <border outline="0">
        <right style="thin">
          <color indexed="64"/>
        </right>
      </border>
      <protection hidden="0"/>
    </ndxf>
  </rcc>
  <rcc rId="9327" sId="9" odxf="1" dxf="1">
    <nc r="P55">
      <f>P56</f>
    </nc>
    <odxf>
      <font>
        <b val="0"/>
        <sz val="14"/>
        <name val="Times New Roman"/>
        <scheme val="none"/>
      </font>
      <numFmt numFmtId="4" formatCode="#,##0.00"/>
    </odxf>
    <ndxf>
      <font>
        <b/>
        <sz val="14"/>
        <name val="Times New Roman"/>
        <scheme val="none"/>
      </font>
      <numFmt numFmtId="2" formatCode="0.00"/>
    </ndxf>
  </rcc>
  <rcc rId="9328" sId="9" odxf="1" dxf="1">
    <nc r="Q55">
      <f>Q56</f>
    </nc>
    <odxf>
      <font>
        <b val="0"/>
        <sz val="14"/>
        <name val="Times New Roman"/>
        <scheme val="none"/>
      </font>
      <numFmt numFmtId="4" formatCode="#,##0.00"/>
      <border outline="0">
        <right/>
      </border>
      <protection hidden="1"/>
    </odxf>
    <ndxf>
      <font>
        <b/>
        <sz val="14"/>
        <name val="Times New Roman"/>
        <scheme val="none"/>
      </font>
      <numFmt numFmtId="2" formatCode="0.00"/>
      <border outline="0">
        <right style="thin">
          <color indexed="64"/>
        </right>
      </border>
      <protection hidden="0"/>
    </ndxf>
  </rcc>
  <rcc rId="9329" sId="9" odxf="1" dxf="1">
    <nc r="R55">
      <f>R56</f>
    </nc>
    <odxf>
      <font>
        <b val="0"/>
        <sz val="14"/>
        <name val="Times New Roman"/>
        <scheme val="none"/>
      </font>
      <numFmt numFmtId="4" formatCode="#,##0.00"/>
    </odxf>
    <ndxf>
      <font>
        <b/>
        <sz val="14"/>
        <name val="Times New Roman"/>
        <scheme val="none"/>
      </font>
      <numFmt numFmtId="2" formatCode="0.00"/>
    </ndxf>
  </rcc>
  <rcc rId="9330" sId="9" odxf="1" dxf="1">
    <nc r="S55">
      <f>S56</f>
    </nc>
    <odxf>
      <font>
        <b val="0"/>
        <sz val="14"/>
        <name val="Times New Roman"/>
        <scheme val="none"/>
      </font>
      <numFmt numFmtId="4" formatCode="#,##0.00"/>
      <border outline="0">
        <right/>
      </border>
      <protection hidden="1"/>
    </odxf>
    <ndxf>
      <font>
        <b/>
        <sz val="14"/>
        <name val="Times New Roman"/>
        <scheme val="none"/>
      </font>
      <numFmt numFmtId="2" formatCode="0.00"/>
      <border outline="0">
        <right style="thin">
          <color indexed="64"/>
        </right>
      </border>
      <protection hidden="0"/>
    </ndxf>
  </rcc>
  <rcc rId="9331" sId="9" odxf="1" dxf="1">
    <nc r="T55">
      <f>T56</f>
    </nc>
    <odxf>
      <font>
        <b val="0"/>
        <sz val="14"/>
        <name val="Times New Roman"/>
        <scheme val="none"/>
      </font>
      <numFmt numFmtId="4" formatCode="#,##0.00"/>
    </odxf>
    <ndxf>
      <font>
        <b/>
        <sz val="14"/>
        <name val="Times New Roman"/>
        <scheme val="none"/>
      </font>
      <numFmt numFmtId="2" formatCode="0.00"/>
    </ndxf>
  </rcc>
  <rfmt sheetId="9" sqref="U55" start="0" length="0">
    <dxf>
      <font>
        <b/>
        <sz val="14"/>
        <name val="Times New Roman"/>
        <scheme val="none"/>
      </font>
      <numFmt numFmtId="2" formatCode="0.00"/>
    </dxf>
  </rfmt>
  <rcc rId="9332" sId="9" odxf="1" dxf="1">
    <nc r="V55">
      <f>V56</f>
    </nc>
    <odxf>
      <font>
        <b val="0"/>
        <sz val="14"/>
        <name val="Times New Roman"/>
        <scheme val="none"/>
      </font>
      <numFmt numFmtId="4" formatCode="#,##0.00"/>
    </odxf>
    <ndxf>
      <font>
        <b/>
        <sz val="14"/>
        <name val="Times New Roman"/>
        <scheme val="none"/>
      </font>
      <numFmt numFmtId="2" formatCode="0.00"/>
    </ndxf>
  </rcc>
  <rfmt sheetId="9" sqref="W55" start="0" length="0">
    <dxf>
      <font>
        <b/>
        <sz val="14"/>
        <name val="Times New Roman"/>
        <scheme val="none"/>
      </font>
      <numFmt numFmtId="2" formatCode="0.00"/>
    </dxf>
  </rfmt>
  <rcc rId="9333" sId="9" odxf="1" dxf="1">
    <nc r="X55">
      <f>X56</f>
    </nc>
    <odxf>
      <font>
        <b val="0"/>
        <sz val="14"/>
        <name val="Times New Roman"/>
        <scheme val="none"/>
      </font>
      <numFmt numFmtId="4" formatCode="#,##0.00"/>
    </odxf>
    <ndxf>
      <font>
        <b/>
        <sz val="14"/>
        <name val="Times New Roman"/>
        <scheme val="none"/>
      </font>
      <numFmt numFmtId="2" formatCode="0.00"/>
    </ndxf>
  </rcc>
  <rfmt sheetId="9" sqref="Y55" start="0" length="0">
    <dxf>
      <font>
        <b/>
        <sz val="14"/>
        <name val="Times New Roman"/>
        <scheme val="none"/>
      </font>
      <numFmt numFmtId="2" formatCode="0.00"/>
    </dxf>
  </rfmt>
  <rcc rId="9334" sId="9" odxf="1" dxf="1">
    <nc r="Z55">
      <f>Z56</f>
    </nc>
    <odxf>
      <font>
        <b val="0"/>
        <sz val="14"/>
        <name val="Times New Roman"/>
        <scheme val="none"/>
      </font>
      <numFmt numFmtId="4" formatCode="#,##0.00"/>
    </odxf>
    <ndxf>
      <font>
        <b/>
        <sz val="14"/>
        <name val="Times New Roman"/>
        <scheme val="none"/>
      </font>
      <numFmt numFmtId="2" formatCode="0.00"/>
    </ndxf>
  </rcc>
  <rfmt sheetId="9" sqref="AA55" start="0" length="0">
    <dxf>
      <font>
        <b/>
        <sz val="14"/>
        <name val="Times New Roman"/>
        <scheme val="none"/>
      </font>
      <numFmt numFmtId="2" formatCode="0.00"/>
    </dxf>
  </rfmt>
  <rcc rId="9335" sId="9" odxf="1" dxf="1">
    <nc r="AB55">
      <f>AB56</f>
    </nc>
    <odxf>
      <font>
        <b val="0"/>
        <sz val="14"/>
        <name val="Times New Roman"/>
        <scheme val="none"/>
      </font>
      <numFmt numFmtId="4" formatCode="#,##0.00"/>
    </odxf>
    <ndxf>
      <font>
        <b/>
        <sz val="14"/>
        <name val="Times New Roman"/>
        <scheme val="none"/>
      </font>
      <numFmt numFmtId="2" formatCode="0.00"/>
    </ndxf>
  </rcc>
  <rfmt sheetId="9" sqref="AC55" start="0" length="0">
    <dxf>
      <font>
        <b/>
        <sz val="14"/>
        <name val="Times New Roman"/>
        <scheme val="none"/>
      </font>
      <numFmt numFmtId="2" formatCode="0.00"/>
    </dxf>
  </rfmt>
  <rcc rId="9336" sId="9" odxf="1" dxf="1">
    <nc r="AD55">
      <f>AD56</f>
    </nc>
    <odxf>
      <font>
        <b val="0"/>
        <sz val="14"/>
        <name val="Times New Roman"/>
        <scheme val="none"/>
      </font>
      <numFmt numFmtId="4" formatCode="#,##0.00"/>
    </odxf>
    <ndxf>
      <font>
        <b/>
        <sz val="14"/>
        <name val="Times New Roman"/>
        <scheme val="none"/>
      </font>
      <numFmt numFmtId="2" formatCode="0.00"/>
    </ndxf>
  </rcc>
  <rfmt sheetId="9" sqref="AE55" start="0" length="0">
    <dxf>
      <font>
        <b/>
        <sz val="14"/>
        <name val="Times New Roman"/>
        <scheme val="none"/>
      </font>
      <numFmt numFmtId="2" formatCode="0.00"/>
    </dxf>
  </rfmt>
  <rcc rId="9337" sId="9" odxf="1" dxf="1">
    <oc r="B56">
      <f>B57+B58+B59+B60</f>
    </oc>
    <nc r="B56">
      <f>B57+B58+B59+B60</f>
    </nc>
    <odxf>
      <numFmt numFmtId="4" formatCode="#,##0.00"/>
    </odxf>
    <ndxf>
      <numFmt numFmtId="2" formatCode="0.00"/>
    </ndxf>
  </rcc>
  <rcc rId="9338" sId="9" odxf="1" dxf="1">
    <oc r="C56">
      <f>C57+C58+C59+C60</f>
    </oc>
    <nc r="C56">
      <f>C57+C58+C59+C60</f>
    </nc>
    <odxf>
      <numFmt numFmtId="4" formatCode="#,##0.00"/>
    </odxf>
    <ndxf>
      <numFmt numFmtId="2" formatCode="0.00"/>
    </ndxf>
  </rcc>
  <rcc rId="9339" sId="9" odxf="1" dxf="1">
    <oc r="D56">
      <f>D57+D58+D59+D60</f>
    </oc>
    <nc r="D56">
      <f>E56</f>
    </nc>
    <odxf>
      <numFmt numFmtId="4" formatCode="#,##0.00"/>
    </odxf>
    <ndxf>
      <numFmt numFmtId="2" formatCode="0.00"/>
    </ndxf>
  </rcc>
  <rcc rId="9340" sId="9" odxf="1" dxf="1">
    <oc r="E56">
      <f>E57+E58+E59+E60</f>
    </oc>
    <nc r="E56">
      <f>E57+E58+E59+E60</f>
    </nc>
    <odxf>
      <numFmt numFmtId="4" formatCode="#,##0.00"/>
    </odxf>
    <ndxf>
      <numFmt numFmtId="2" formatCode="0.00"/>
    </ndxf>
  </rcc>
  <rcc rId="9341" sId="9" odxf="1" dxf="1">
    <oc r="F56">
      <f>F57+F58+F59+F60</f>
    </oc>
    <nc r="F56">
      <f>F57+F58+F59+F60</f>
    </nc>
    <odxf>
      <numFmt numFmtId="4" formatCode="#,##0.00"/>
      <fill>
        <patternFill patternType="none">
          <bgColor indexed="65"/>
        </patternFill>
      </fill>
    </odxf>
    <ndxf>
      <numFmt numFmtId="2" formatCode="0.00"/>
      <fill>
        <patternFill patternType="solid">
          <bgColor theme="9" tint="0.79998168889431442"/>
        </patternFill>
      </fill>
    </ndxf>
  </rcc>
  <rcc rId="9342" sId="9" odxf="1" dxf="1">
    <oc r="G56">
      <f>E56/C56*100</f>
    </oc>
    <nc r="G56">
      <f>E56/C56*100</f>
    </nc>
    <odxf>
      <numFmt numFmtId="4" formatCode="#,##0.00"/>
      <fill>
        <patternFill patternType="none">
          <bgColor indexed="65"/>
        </patternFill>
      </fill>
    </odxf>
    <ndxf>
      <numFmt numFmtId="2" formatCode="0.00"/>
      <fill>
        <patternFill patternType="solid">
          <bgColor theme="9" tint="0.79998168889431442"/>
        </patternFill>
      </fill>
    </ndxf>
  </rcc>
  <rcc rId="9343" sId="9" odxf="1" dxf="1">
    <oc r="H56">
      <f>H57+H58+H59+H60</f>
    </oc>
    <nc r="H56">
      <f>H57+H58+H59+H60</f>
    </nc>
    <odxf>
      <numFmt numFmtId="4" formatCode="#,##0.00"/>
    </odxf>
    <ndxf>
      <numFmt numFmtId="2" formatCode="0.00"/>
    </ndxf>
  </rcc>
  <rcc rId="9344" sId="9" odxf="1" dxf="1">
    <oc r="I56">
      <f>I57+I58+I59+I60</f>
    </oc>
    <nc r="I56">
      <f>I57+I58+I59+I60</f>
    </nc>
    <odxf>
      <numFmt numFmtId="4" formatCode="#,##0.00"/>
    </odxf>
    <ndxf>
      <numFmt numFmtId="2" formatCode="0.00"/>
    </ndxf>
  </rcc>
  <rcc rId="9345" sId="9" odxf="1" dxf="1">
    <oc r="J56">
      <f>J57+J58+J59+J60</f>
    </oc>
    <nc r="J56">
      <f>J57+J58+J59+J60</f>
    </nc>
    <odxf>
      <numFmt numFmtId="4" formatCode="#,##0.00"/>
    </odxf>
    <ndxf>
      <numFmt numFmtId="2" formatCode="0.00"/>
    </ndxf>
  </rcc>
  <rcc rId="9346" sId="9" odxf="1" dxf="1">
    <oc r="K56">
      <f>K57+K58+K59+K60</f>
    </oc>
    <nc r="K56">
      <f>K57+K58+K59+K60</f>
    </nc>
    <odxf>
      <numFmt numFmtId="4" formatCode="#,##0.00"/>
    </odxf>
    <ndxf>
      <numFmt numFmtId="2" formatCode="0.00"/>
    </ndxf>
  </rcc>
  <rcc rId="9347" sId="9" odxf="1" dxf="1">
    <oc r="L56">
      <f>L57+L58+L59+L60</f>
    </oc>
    <nc r="L56">
      <f>L57+L58+L59+L60</f>
    </nc>
    <odxf>
      <numFmt numFmtId="4" formatCode="#,##0.00"/>
    </odxf>
    <ndxf>
      <numFmt numFmtId="2" formatCode="0.00"/>
    </ndxf>
  </rcc>
  <rcc rId="9348" sId="9" odxf="1" dxf="1">
    <nc r="M56">
      <f>M57+M58+M59+M60</f>
    </nc>
    <odxf>
      <numFmt numFmtId="4" formatCode="#,##0.00"/>
    </odxf>
    <ndxf>
      <numFmt numFmtId="2" formatCode="0.00"/>
    </ndxf>
  </rcc>
  <rcc rId="9349" sId="9" odxf="1" dxf="1">
    <oc r="N56">
      <f>N57+N58+N59+N60</f>
    </oc>
    <nc r="N56">
      <f>N57+N58+N59+N60</f>
    </nc>
    <odxf>
      <numFmt numFmtId="4" formatCode="#,##0.00"/>
    </odxf>
    <ndxf>
      <numFmt numFmtId="2" formatCode="0.00"/>
    </ndxf>
  </rcc>
  <rcc rId="9350" sId="9" odxf="1" dxf="1">
    <nc r="O56">
      <f>O57+O58+O59+O60</f>
    </nc>
    <odxf>
      <numFmt numFmtId="4" formatCode="#,##0.00"/>
    </odxf>
    <ndxf>
      <numFmt numFmtId="2" formatCode="0.00"/>
    </ndxf>
  </rcc>
  <rcc rId="9351" sId="9" odxf="1" dxf="1">
    <oc r="P56">
      <f>P57+P58+P59+P60</f>
    </oc>
    <nc r="P56">
      <f>P57+P58+P59+P60</f>
    </nc>
    <odxf>
      <numFmt numFmtId="4" formatCode="#,##0.00"/>
    </odxf>
    <ndxf>
      <numFmt numFmtId="2" formatCode="0.00"/>
    </ndxf>
  </rcc>
  <rcc rId="9352" sId="9" odxf="1" dxf="1">
    <nc r="Q56">
      <f>Q57+Q58+Q59+Q60</f>
    </nc>
    <odxf>
      <numFmt numFmtId="4" formatCode="#,##0.00"/>
    </odxf>
    <ndxf>
      <numFmt numFmtId="2" formatCode="0.00"/>
    </ndxf>
  </rcc>
  <rcc rId="9353" sId="9" odxf="1" dxf="1">
    <oc r="R56">
      <f>R57+R58+R59+R60</f>
    </oc>
    <nc r="R56">
      <f>R57+R58+R59+R60</f>
    </nc>
    <odxf>
      <numFmt numFmtId="4" formatCode="#,##0.00"/>
    </odxf>
    <ndxf>
      <numFmt numFmtId="2" formatCode="0.00"/>
    </ndxf>
  </rcc>
  <rcc rId="9354" sId="9" odxf="1" dxf="1">
    <nc r="S56">
      <f>S57+S58+S59+S60</f>
    </nc>
    <odxf>
      <numFmt numFmtId="4" formatCode="#,##0.00"/>
    </odxf>
    <ndxf>
      <numFmt numFmtId="2" formatCode="0.00"/>
    </ndxf>
  </rcc>
  <rcc rId="9355" sId="9" odxf="1" dxf="1">
    <oc r="T56">
      <f>T57+T58+T59+T60</f>
    </oc>
    <nc r="T56">
      <f>T57+T58+T59+T60</f>
    </nc>
    <odxf>
      <numFmt numFmtId="4" formatCode="#,##0.00"/>
    </odxf>
    <ndxf>
      <numFmt numFmtId="2" formatCode="0.00"/>
    </ndxf>
  </rcc>
  <rfmt sheetId="9" sqref="U56" start="0" length="0">
    <dxf>
      <numFmt numFmtId="2" formatCode="0.00"/>
    </dxf>
  </rfmt>
  <rcc rId="9356" sId="9" odxf="1" dxf="1">
    <oc r="V56">
      <f>V57+V58+V59+V60</f>
    </oc>
    <nc r="V56">
      <f>V57+V58+V59+V60</f>
    </nc>
    <odxf>
      <numFmt numFmtId="4" formatCode="#,##0.00"/>
    </odxf>
    <ndxf>
      <numFmt numFmtId="2" formatCode="0.00"/>
    </ndxf>
  </rcc>
  <rfmt sheetId="9" sqref="W56" start="0" length="0">
    <dxf>
      <numFmt numFmtId="2" formatCode="0.00"/>
    </dxf>
  </rfmt>
  <rcc rId="9357" sId="9" odxf="1" dxf="1">
    <oc r="X56">
      <f>X57+X58+X59+X60</f>
    </oc>
    <nc r="X56">
      <f>X57+X58+X59+X60</f>
    </nc>
    <odxf>
      <numFmt numFmtId="4" formatCode="#,##0.00"/>
    </odxf>
    <ndxf>
      <numFmt numFmtId="2" formatCode="0.00"/>
    </ndxf>
  </rcc>
  <rfmt sheetId="9" sqref="Y56" start="0" length="0">
    <dxf>
      <numFmt numFmtId="2" formatCode="0.00"/>
    </dxf>
  </rfmt>
  <rcc rId="9358" sId="9" odxf="1" dxf="1">
    <oc r="Z56">
      <f>Z57+Z58+Z59+Z60</f>
    </oc>
    <nc r="Z56">
      <f>Z57+Z58+Z59+Z60</f>
    </nc>
    <odxf>
      <numFmt numFmtId="4" formatCode="#,##0.00"/>
    </odxf>
    <ndxf>
      <numFmt numFmtId="2" formatCode="0.00"/>
    </ndxf>
  </rcc>
  <rfmt sheetId="9" sqref="AA56" start="0" length="0">
    <dxf>
      <numFmt numFmtId="2" formatCode="0.00"/>
    </dxf>
  </rfmt>
  <rcc rId="9359" sId="9" odxf="1" dxf="1">
    <oc r="AB56">
      <f>AB57+AB58+AB59+AB60</f>
    </oc>
    <nc r="AB56">
      <f>AB57+AB58+AB59+AB60</f>
    </nc>
    <odxf>
      <numFmt numFmtId="4" formatCode="#,##0.00"/>
    </odxf>
    <ndxf>
      <numFmt numFmtId="2" formatCode="0.00"/>
    </ndxf>
  </rcc>
  <rfmt sheetId="9" sqref="AC56" start="0" length="0">
    <dxf>
      <numFmt numFmtId="2" formatCode="0.00"/>
    </dxf>
  </rfmt>
  <rcc rId="9360" sId="9" odxf="1" dxf="1">
    <oc r="AD56">
      <f>AD57+AD58+AD59+AD60</f>
    </oc>
    <nc r="AD56">
      <f>AD57+AD58+AD59+AD60</f>
    </nc>
    <odxf>
      <numFmt numFmtId="4" formatCode="#,##0.00"/>
    </odxf>
    <ndxf>
      <numFmt numFmtId="2" formatCode="0.00"/>
    </ndxf>
  </rcc>
  <rfmt sheetId="9" sqref="AE56" start="0" length="0">
    <dxf>
      <numFmt numFmtId="2" formatCode="0.00"/>
    </dxf>
  </rfmt>
  <rcc rId="9361" sId="9" odxf="1" dxf="1">
    <oc r="B57">
      <f>H57+J57+L57+N57+P57+R57+T57+V57+X57+Z57+AB57+AD57</f>
    </oc>
    <nc r="B57">
      <f>H57+J57+L57+N57+P57+R57+T57+V57+X57+Z57+AB57+AD57</f>
    </nc>
    <odxf>
      <font>
        <b val="0"/>
        <sz val="14"/>
        <name val="Times New Roman"/>
        <scheme val="none"/>
      </font>
      <numFmt numFmtId="4" formatCode="#,##0.00"/>
    </odxf>
    <ndxf>
      <font>
        <b/>
        <sz val="14"/>
        <name val="Times New Roman"/>
        <scheme val="none"/>
      </font>
      <numFmt numFmtId="2" formatCode="0.00"/>
    </ndxf>
  </rcc>
  <rcc rId="9362" sId="9" odxf="1" dxf="1">
    <oc r="C57">
      <f>H57+J57</f>
    </oc>
    <nc r="C57">
      <f>H57</f>
    </nc>
    <odxf>
      <font>
        <b val="0"/>
        <sz val="14"/>
        <name val="Times New Roman"/>
        <scheme val="none"/>
      </font>
      <numFmt numFmtId="4" formatCode="#,##0.00"/>
    </odxf>
    <ndxf>
      <font>
        <b/>
        <sz val="14"/>
        <name val="Times New Roman"/>
        <scheme val="none"/>
      </font>
      <numFmt numFmtId="2" formatCode="0.00"/>
    </ndxf>
  </rcc>
  <rcc rId="9363" sId="9" odxf="1" dxf="1">
    <oc r="D57">
      <f>E57</f>
    </oc>
    <nc r="D57">
      <f>E57</f>
    </nc>
    <odxf>
      <font>
        <b val="0"/>
        <sz val="14"/>
        <name val="Times New Roman"/>
        <scheme val="none"/>
      </font>
      <numFmt numFmtId="4" formatCode="#,##0.00"/>
    </odxf>
    <ndxf>
      <font>
        <b/>
        <sz val="14"/>
        <name val="Times New Roman"/>
        <scheme val="none"/>
      </font>
      <numFmt numFmtId="2" formatCode="0.00"/>
    </ndxf>
  </rcc>
  <rfmt sheetId="9" sqref="E57" start="0" length="0">
    <dxf>
      <font>
        <b/>
        <sz val="14"/>
        <name val="Times New Roman"/>
        <scheme val="none"/>
      </font>
      <numFmt numFmtId="2" formatCode="0.00"/>
    </dxf>
  </rfmt>
  <rfmt sheetId="9" sqref="F57" start="0" length="0">
    <dxf>
      <font>
        <b/>
        <sz val="14"/>
        <name val="Times New Roman"/>
        <scheme val="none"/>
      </font>
      <numFmt numFmtId="2" formatCode="0.00"/>
      <fill>
        <patternFill patternType="solid">
          <bgColor theme="9" tint="0.79998168889431442"/>
        </patternFill>
      </fill>
    </dxf>
  </rfmt>
  <rfmt sheetId="9" sqref="G57" start="0" length="0">
    <dxf>
      <font>
        <b/>
        <sz val="14"/>
        <name val="Times New Roman"/>
        <scheme val="none"/>
      </font>
      <numFmt numFmtId="2" formatCode="0.00"/>
      <fill>
        <patternFill patternType="solid">
          <bgColor theme="9" tint="0.79998168889431442"/>
        </patternFill>
      </fill>
    </dxf>
  </rfmt>
  <rfmt sheetId="9" sqref="H57" start="0" length="0">
    <dxf>
      <font>
        <b/>
        <sz val="14"/>
        <name val="Times New Roman"/>
        <scheme val="none"/>
      </font>
      <numFmt numFmtId="2" formatCode="0.00"/>
    </dxf>
  </rfmt>
  <rfmt sheetId="9" sqref="I57" start="0" length="0">
    <dxf>
      <font>
        <b/>
        <sz val="14"/>
        <name val="Times New Roman"/>
        <scheme val="none"/>
      </font>
      <numFmt numFmtId="2" formatCode="0.00"/>
    </dxf>
  </rfmt>
  <rfmt sheetId="9" sqref="J57" start="0" length="0">
    <dxf>
      <font>
        <b/>
        <sz val="14"/>
        <name val="Times New Roman"/>
        <scheme val="none"/>
      </font>
      <numFmt numFmtId="2" formatCode="0.00"/>
    </dxf>
  </rfmt>
  <rfmt sheetId="9" sqref="K57" start="0" length="0">
    <dxf>
      <font>
        <b/>
        <sz val="14"/>
        <name val="Times New Roman"/>
        <scheme val="none"/>
      </font>
      <numFmt numFmtId="2" formatCode="0.00"/>
    </dxf>
  </rfmt>
  <rcc rId="9364" sId="9" odxf="1" dxf="1" numFmtId="4">
    <nc r="L57">
      <v>0</v>
    </nc>
    <odxf>
      <font>
        <b val="0"/>
        <sz val="14"/>
        <name val="Times New Roman"/>
        <scheme val="none"/>
      </font>
      <numFmt numFmtId="4" formatCode="#,##0.00"/>
    </odxf>
    <ndxf>
      <font>
        <b/>
        <sz val="14"/>
        <name val="Times New Roman"/>
        <scheme val="none"/>
      </font>
      <numFmt numFmtId="2" formatCode="0.00"/>
    </ndxf>
  </rcc>
  <rcc rId="9365" sId="9" odxf="1" dxf="1" numFmtId="4">
    <nc r="M57">
      <v>0</v>
    </nc>
    <odxf>
      <font>
        <b val="0"/>
        <sz val="14"/>
        <name val="Times New Roman"/>
        <scheme val="none"/>
      </font>
      <numFmt numFmtId="4" formatCode="#,##0.00"/>
    </odxf>
    <ndxf>
      <font>
        <b/>
        <sz val="14"/>
        <name val="Times New Roman"/>
        <scheme val="none"/>
      </font>
      <numFmt numFmtId="2" formatCode="0.00"/>
    </ndxf>
  </rcc>
  <rcc rId="9366" sId="9" odxf="1" dxf="1" numFmtId="4">
    <nc r="N57">
      <v>0</v>
    </nc>
    <odxf>
      <font>
        <b val="0"/>
        <sz val="14"/>
        <name val="Times New Roman"/>
        <scheme val="none"/>
      </font>
      <numFmt numFmtId="4" formatCode="#,##0.00"/>
    </odxf>
    <ndxf>
      <font>
        <b/>
        <sz val="14"/>
        <name val="Times New Roman"/>
        <scheme val="none"/>
      </font>
      <numFmt numFmtId="2" formatCode="0.00"/>
    </ndxf>
  </rcc>
  <rcc rId="9367" sId="9" odxf="1" dxf="1" numFmtId="4">
    <nc r="O57">
      <v>0</v>
    </nc>
    <odxf>
      <font>
        <b val="0"/>
        <sz val="14"/>
        <name val="Times New Roman"/>
        <scheme val="none"/>
      </font>
      <numFmt numFmtId="4" formatCode="#,##0.00"/>
    </odxf>
    <ndxf>
      <font>
        <b/>
        <sz val="14"/>
        <name val="Times New Roman"/>
        <scheme val="none"/>
      </font>
      <numFmt numFmtId="2" formatCode="0.00"/>
    </ndxf>
  </rcc>
  <rcc rId="9368" sId="9" odxf="1" dxf="1" numFmtId="4">
    <nc r="P57">
      <v>0</v>
    </nc>
    <odxf>
      <font>
        <b val="0"/>
        <sz val="14"/>
        <name val="Times New Roman"/>
        <scheme val="none"/>
      </font>
      <numFmt numFmtId="4" formatCode="#,##0.00"/>
    </odxf>
    <ndxf>
      <font>
        <b/>
        <sz val="14"/>
        <name val="Times New Roman"/>
        <scheme val="none"/>
      </font>
      <numFmt numFmtId="2" formatCode="0.00"/>
    </ndxf>
  </rcc>
  <rcc rId="9369" sId="9" odxf="1" dxf="1" numFmtId="4">
    <nc r="Q57">
      <v>0</v>
    </nc>
    <odxf>
      <font>
        <b val="0"/>
        <sz val="14"/>
        <name val="Times New Roman"/>
        <scheme val="none"/>
      </font>
      <numFmt numFmtId="4" formatCode="#,##0.00"/>
    </odxf>
    <ndxf>
      <font>
        <b/>
        <sz val="14"/>
        <name val="Times New Roman"/>
        <scheme val="none"/>
      </font>
      <numFmt numFmtId="2" formatCode="0.00"/>
    </ndxf>
  </rcc>
  <rcc rId="9370" sId="9" odxf="1" dxf="1" numFmtId="4">
    <nc r="R57">
      <v>0</v>
    </nc>
    <odxf>
      <font>
        <b val="0"/>
        <sz val="14"/>
        <name val="Times New Roman"/>
        <scheme val="none"/>
      </font>
      <numFmt numFmtId="4" formatCode="#,##0.00"/>
    </odxf>
    <ndxf>
      <font>
        <b/>
        <sz val="14"/>
        <name val="Times New Roman"/>
        <scheme val="none"/>
      </font>
      <numFmt numFmtId="2" formatCode="0.00"/>
    </ndxf>
  </rcc>
  <rcc rId="9371" sId="9" odxf="1" dxf="1" numFmtId="4">
    <nc r="S57">
      <v>0</v>
    </nc>
    <odxf>
      <font>
        <b val="0"/>
        <sz val="14"/>
        <name val="Times New Roman"/>
        <scheme val="none"/>
      </font>
      <numFmt numFmtId="4" formatCode="#,##0.00"/>
    </odxf>
    <ndxf>
      <font>
        <b/>
        <sz val="14"/>
        <name val="Times New Roman"/>
        <scheme val="none"/>
      </font>
      <numFmt numFmtId="2" formatCode="0.00"/>
    </ndxf>
  </rcc>
  <rcc rId="9372" sId="9" odxf="1" dxf="1" numFmtId="4">
    <nc r="T57">
      <v>0</v>
    </nc>
    <odxf>
      <font>
        <b val="0"/>
        <sz val="14"/>
        <name val="Times New Roman"/>
        <scheme val="none"/>
      </font>
      <numFmt numFmtId="4" formatCode="#,##0.00"/>
    </odxf>
    <ndxf>
      <font>
        <b/>
        <sz val="14"/>
        <name val="Times New Roman"/>
        <scheme val="none"/>
      </font>
      <numFmt numFmtId="2" formatCode="0.00"/>
    </ndxf>
  </rcc>
  <rfmt sheetId="9" sqref="U57" start="0" length="0">
    <dxf>
      <font>
        <b/>
        <sz val="14"/>
        <name val="Times New Roman"/>
        <scheme val="none"/>
      </font>
      <numFmt numFmtId="2" formatCode="0.00"/>
    </dxf>
  </rfmt>
  <rcc rId="9373" sId="9" odxf="1" dxf="1" numFmtId="4">
    <nc r="V57">
      <v>0</v>
    </nc>
    <odxf>
      <font>
        <b val="0"/>
        <sz val="14"/>
        <name val="Times New Roman"/>
        <scheme val="none"/>
      </font>
      <numFmt numFmtId="4" formatCode="#,##0.00"/>
    </odxf>
    <ndxf>
      <font>
        <b/>
        <sz val="14"/>
        <name val="Times New Roman"/>
        <scheme val="none"/>
      </font>
      <numFmt numFmtId="2" formatCode="0.00"/>
    </ndxf>
  </rcc>
  <rfmt sheetId="9" sqref="W57" start="0" length="0">
    <dxf>
      <font>
        <b/>
        <sz val="14"/>
        <name val="Times New Roman"/>
        <scheme val="none"/>
      </font>
      <numFmt numFmtId="2" formatCode="0.00"/>
    </dxf>
  </rfmt>
  <rcc rId="9374" sId="9" odxf="1" dxf="1" numFmtId="4">
    <nc r="X57">
      <v>0</v>
    </nc>
    <odxf>
      <font>
        <b val="0"/>
        <sz val="14"/>
        <name val="Times New Roman"/>
        <scheme val="none"/>
      </font>
      <numFmt numFmtId="4" formatCode="#,##0.00"/>
    </odxf>
    <ndxf>
      <font>
        <b/>
        <sz val="14"/>
        <name val="Times New Roman"/>
        <scheme val="none"/>
      </font>
      <numFmt numFmtId="2" formatCode="0.00"/>
    </ndxf>
  </rcc>
  <rfmt sheetId="9" sqref="Y57" start="0" length="0">
    <dxf>
      <font>
        <b/>
        <sz val="14"/>
        <name val="Times New Roman"/>
        <scheme val="none"/>
      </font>
      <numFmt numFmtId="2" formatCode="0.00"/>
    </dxf>
  </rfmt>
  <rcc rId="9375" sId="9" odxf="1" dxf="1" numFmtId="4">
    <nc r="Z57">
      <v>0</v>
    </nc>
    <odxf>
      <font>
        <b val="0"/>
        <sz val="14"/>
        <name val="Times New Roman"/>
        <scheme val="none"/>
      </font>
      <numFmt numFmtId="4" formatCode="#,##0.00"/>
    </odxf>
    <ndxf>
      <font>
        <b/>
        <sz val="14"/>
        <name val="Times New Roman"/>
        <scheme val="none"/>
      </font>
      <numFmt numFmtId="2" formatCode="0.00"/>
    </ndxf>
  </rcc>
  <rfmt sheetId="9" sqref="AA57" start="0" length="0">
    <dxf>
      <font>
        <b/>
        <sz val="14"/>
        <name val="Times New Roman"/>
        <scheme val="none"/>
      </font>
      <numFmt numFmtId="2" formatCode="0.00"/>
    </dxf>
  </rfmt>
  <rcc rId="9376" sId="9" odxf="1" dxf="1" numFmtId="4">
    <nc r="AB57">
      <v>0</v>
    </nc>
    <odxf>
      <font>
        <b val="0"/>
        <sz val="14"/>
        <name val="Times New Roman"/>
        <scheme val="none"/>
      </font>
      <numFmt numFmtId="4" formatCode="#,##0.00"/>
    </odxf>
    <ndxf>
      <font>
        <b/>
        <sz val="14"/>
        <name val="Times New Roman"/>
        <scheme val="none"/>
      </font>
      <numFmt numFmtId="2" formatCode="0.00"/>
    </ndxf>
  </rcc>
  <rfmt sheetId="9" sqref="AC57" start="0" length="0">
    <dxf>
      <font>
        <b/>
        <sz val="14"/>
        <name val="Times New Roman"/>
        <scheme val="none"/>
      </font>
      <numFmt numFmtId="2" formatCode="0.00"/>
    </dxf>
  </rfmt>
  <rcc rId="9377" sId="9" odxf="1" dxf="1" numFmtId="4">
    <nc r="AD57">
      <v>0</v>
    </nc>
    <odxf>
      <font>
        <b val="0"/>
        <sz val="14"/>
        <name val="Times New Roman"/>
        <scheme val="none"/>
      </font>
      <numFmt numFmtId="4" formatCode="#,##0.00"/>
    </odxf>
    <ndxf>
      <font>
        <b/>
        <sz val="14"/>
        <name val="Times New Roman"/>
        <scheme val="none"/>
      </font>
      <numFmt numFmtId="2" formatCode="0.00"/>
    </ndxf>
  </rcc>
  <rfmt sheetId="9" sqref="AE57" start="0" length="0">
    <dxf>
      <font>
        <b/>
        <sz val="14"/>
        <name val="Times New Roman"/>
        <scheme val="none"/>
      </font>
      <numFmt numFmtId="2" formatCode="0.00"/>
    </dxf>
  </rfmt>
  <rcc rId="9378" sId="9" odxf="1" dxf="1">
    <oc r="B58">
      <f>H58+J58+L58+N58+P58+R58+T58+V58+X58+Z58+AB58+AD58</f>
    </oc>
    <nc r="B58">
      <f>H58+J58+L58+N58+P58+R58+T58+V58+X58+Z58+AB58+AD58</f>
    </nc>
    <odxf>
      <font>
        <b val="0"/>
        <sz val="14"/>
        <name val="Times New Roman"/>
        <scheme val="none"/>
      </font>
      <numFmt numFmtId="4" formatCode="#,##0.00"/>
    </odxf>
    <ndxf>
      <font>
        <b/>
        <sz val="14"/>
        <name val="Times New Roman"/>
        <scheme val="none"/>
      </font>
      <numFmt numFmtId="2" formatCode="0.00"/>
    </ndxf>
  </rcc>
  <rcc rId="9379" sId="9" odxf="1" dxf="1">
    <oc r="C58">
      <f>H58+J58</f>
    </oc>
    <nc r="C58">
      <f>H58</f>
    </nc>
    <odxf>
      <font>
        <b val="0"/>
        <sz val="14"/>
        <name val="Times New Roman"/>
        <scheme val="none"/>
      </font>
      <numFmt numFmtId="4" formatCode="#,##0.00"/>
    </odxf>
    <ndxf>
      <font>
        <b/>
        <sz val="14"/>
        <name val="Times New Roman"/>
        <scheme val="none"/>
      </font>
      <numFmt numFmtId="2" formatCode="0.00"/>
    </ndxf>
  </rcc>
  <rcc rId="9380" sId="9" odxf="1" dxf="1">
    <oc r="D58">
      <f>E58</f>
    </oc>
    <nc r="D58">
      <f>E58</f>
    </nc>
    <odxf>
      <font>
        <b val="0"/>
        <sz val="14"/>
        <name val="Times New Roman"/>
        <scheme val="none"/>
      </font>
      <numFmt numFmtId="4" formatCode="#,##0.00"/>
    </odxf>
    <ndxf>
      <font>
        <b/>
        <sz val="14"/>
        <name val="Times New Roman"/>
        <scheme val="none"/>
      </font>
      <numFmt numFmtId="2" formatCode="0.00"/>
    </ndxf>
  </rcc>
  <rfmt sheetId="9" sqref="E58" start="0" length="0">
    <dxf>
      <font>
        <b/>
        <sz val="14"/>
        <name val="Times New Roman"/>
        <scheme val="none"/>
      </font>
      <numFmt numFmtId="2" formatCode="0.00"/>
    </dxf>
  </rfmt>
  <rfmt sheetId="9" sqref="F58" start="0" length="0">
    <dxf>
      <font>
        <b/>
        <sz val="14"/>
        <name val="Times New Roman"/>
        <scheme val="none"/>
      </font>
      <numFmt numFmtId="2" formatCode="0.00"/>
      <fill>
        <patternFill patternType="solid">
          <bgColor theme="9" tint="0.79998168889431442"/>
        </patternFill>
      </fill>
    </dxf>
  </rfmt>
  <rfmt sheetId="9" sqref="G58" start="0" length="0">
    <dxf>
      <font>
        <b/>
        <sz val="14"/>
        <name val="Times New Roman"/>
        <scheme val="none"/>
      </font>
      <numFmt numFmtId="2" formatCode="0.00"/>
      <fill>
        <patternFill patternType="solid">
          <bgColor theme="9" tint="0.79998168889431442"/>
        </patternFill>
      </fill>
    </dxf>
  </rfmt>
  <rfmt sheetId="9" sqref="H58" start="0" length="0">
    <dxf>
      <font>
        <b/>
        <sz val="14"/>
        <name val="Times New Roman"/>
        <scheme val="none"/>
      </font>
      <numFmt numFmtId="2" formatCode="0.00"/>
    </dxf>
  </rfmt>
  <rfmt sheetId="9" sqref="I58" start="0" length="0">
    <dxf>
      <font>
        <b/>
        <sz val="14"/>
        <name val="Times New Roman"/>
        <scheme val="none"/>
      </font>
      <numFmt numFmtId="2" formatCode="0.00"/>
    </dxf>
  </rfmt>
  <rfmt sheetId="9" sqref="J58" start="0" length="0">
    <dxf>
      <font>
        <b/>
        <sz val="14"/>
        <name val="Times New Roman"/>
        <scheme val="none"/>
      </font>
      <numFmt numFmtId="2" formatCode="0.00"/>
    </dxf>
  </rfmt>
  <rfmt sheetId="9" sqref="K58" start="0" length="0">
    <dxf>
      <font>
        <b/>
        <sz val="14"/>
        <name val="Times New Roman"/>
        <scheme val="none"/>
      </font>
      <numFmt numFmtId="2" formatCode="0.00"/>
    </dxf>
  </rfmt>
  <rcc rId="9381" sId="9" odxf="1" dxf="1" numFmtId="4">
    <nc r="L58">
      <v>0</v>
    </nc>
    <odxf>
      <font>
        <b val="0"/>
        <sz val="14"/>
        <name val="Times New Roman"/>
        <scheme val="none"/>
      </font>
      <numFmt numFmtId="4" formatCode="#,##0.00"/>
    </odxf>
    <ndxf>
      <font>
        <b/>
        <sz val="14"/>
        <name val="Times New Roman"/>
        <scheme val="none"/>
      </font>
      <numFmt numFmtId="2" formatCode="0.00"/>
    </ndxf>
  </rcc>
  <rcc rId="9382" sId="9" odxf="1" dxf="1" numFmtId="4">
    <nc r="M58">
      <v>0</v>
    </nc>
    <odxf>
      <font>
        <b val="0"/>
        <sz val="14"/>
        <name val="Times New Roman"/>
        <scheme val="none"/>
      </font>
      <numFmt numFmtId="4" formatCode="#,##0.00"/>
    </odxf>
    <ndxf>
      <font>
        <b/>
        <sz val="14"/>
        <name val="Times New Roman"/>
        <scheme val="none"/>
      </font>
      <numFmt numFmtId="2" formatCode="0.00"/>
    </ndxf>
  </rcc>
  <rcc rId="9383" sId="9" odxf="1" dxf="1" numFmtId="4">
    <nc r="N58">
      <v>0</v>
    </nc>
    <odxf>
      <font>
        <b val="0"/>
        <sz val="14"/>
        <name val="Times New Roman"/>
        <scheme val="none"/>
      </font>
      <numFmt numFmtId="4" formatCode="#,##0.00"/>
    </odxf>
    <ndxf>
      <font>
        <b/>
        <sz val="14"/>
        <name val="Times New Roman"/>
        <scheme val="none"/>
      </font>
      <numFmt numFmtId="2" formatCode="0.00"/>
    </ndxf>
  </rcc>
  <rcc rId="9384" sId="9" odxf="1" dxf="1" numFmtId="4">
    <nc r="O58">
      <v>0</v>
    </nc>
    <odxf>
      <font>
        <b val="0"/>
        <sz val="14"/>
        <name val="Times New Roman"/>
        <scheme val="none"/>
      </font>
      <numFmt numFmtId="4" formatCode="#,##0.00"/>
    </odxf>
    <ndxf>
      <font>
        <b/>
        <sz val="14"/>
        <name val="Times New Roman"/>
        <scheme val="none"/>
      </font>
      <numFmt numFmtId="2" formatCode="0.00"/>
    </ndxf>
  </rcc>
  <rcc rId="9385" sId="9" odxf="1" dxf="1" numFmtId="4">
    <nc r="P58">
      <v>0</v>
    </nc>
    <odxf>
      <font>
        <b val="0"/>
        <sz val="14"/>
        <name val="Times New Roman"/>
        <scheme val="none"/>
      </font>
      <numFmt numFmtId="4" formatCode="#,##0.00"/>
    </odxf>
    <ndxf>
      <font>
        <b/>
        <sz val="14"/>
        <name val="Times New Roman"/>
        <scheme val="none"/>
      </font>
      <numFmt numFmtId="2" formatCode="0.00"/>
    </ndxf>
  </rcc>
  <rcc rId="9386" sId="9" odxf="1" dxf="1" numFmtId="4">
    <nc r="Q58">
      <v>0</v>
    </nc>
    <odxf>
      <font>
        <b val="0"/>
        <sz val="14"/>
        <name val="Times New Roman"/>
        <scheme val="none"/>
      </font>
      <numFmt numFmtId="4" formatCode="#,##0.00"/>
    </odxf>
    <ndxf>
      <font>
        <b/>
        <sz val="14"/>
        <name val="Times New Roman"/>
        <scheme val="none"/>
      </font>
      <numFmt numFmtId="2" formatCode="0.00"/>
    </ndxf>
  </rcc>
  <rcc rId="9387" sId="9" odxf="1" dxf="1" numFmtId="4">
    <nc r="R58">
      <v>0</v>
    </nc>
    <odxf>
      <font>
        <b val="0"/>
        <sz val="14"/>
        <name val="Times New Roman"/>
        <scheme val="none"/>
      </font>
      <numFmt numFmtId="4" formatCode="#,##0.00"/>
    </odxf>
    <ndxf>
      <font>
        <b/>
        <sz val="14"/>
        <name val="Times New Roman"/>
        <scheme val="none"/>
      </font>
      <numFmt numFmtId="2" formatCode="0.00"/>
    </ndxf>
  </rcc>
  <rcc rId="9388" sId="9" odxf="1" dxf="1" numFmtId="4">
    <nc r="S58">
      <v>0</v>
    </nc>
    <odxf>
      <font>
        <b val="0"/>
        <sz val="14"/>
        <name val="Times New Roman"/>
        <scheme val="none"/>
      </font>
      <numFmt numFmtId="4" formatCode="#,##0.00"/>
    </odxf>
    <ndxf>
      <font>
        <b/>
        <sz val="14"/>
        <name val="Times New Roman"/>
        <scheme val="none"/>
      </font>
      <numFmt numFmtId="2" formatCode="0.00"/>
    </ndxf>
  </rcc>
  <rcc rId="9389" sId="9" odxf="1" dxf="1" numFmtId="4">
    <nc r="T58">
      <v>0</v>
    </nc>
    <odxf>
      <font>
        <b val="0"/>
        <sz val="14"/>
        <name val="Times New Roman"/>
        <scheme val="none"/>
      </font>
      <numFmt numFmtId="4" formatCode="#,##0.00"/>
    </odxf>
    <ndxf>
      <font>
        <b/>
        <sz val="14"/>
        <name val="Times New Roman"/>
        <scheme val="none"/>
      </font>
      <numFmt numFmtId="2" formatCode="0.00"/>
    </ndxf>
  </rcc>
  <rfmt sheetId="9" sqref="U58" start="0" length="0">
    <dxf>
      <font>
        <b/>
        <sz val="14"/>
        <name val="Times New Roman"/>
        <scheme val="none"/>
      </font>
      <numFmt numFmtId="2" formatCode="0.00"/>
    </dxf>
  </rfmt>
  <rcc rId="9390" sId="9" odxf="1" dxf="1" numFmtId="4">
    <nc r="V58">
      <v>0</v>
    </nc>
    <odxf>
      <font>
        <b val="0"/>
        <sz val="14"/>
        <name val="Times New Roman"/>
        <scheme val="none"/>
      </font>
      <numFmt numFmtId="4" formatCode="#,##0.00"/>
    </odxf>
    <ndxf>
      <font>
        <b/>
        <sz val="14"/>
        <name val="Times New Roman"/>
        <scheme val="none"/>
      </font>
      <numFmt numFmtId="2" formatCode="0.00"/>
    </ndxf>
  </rcc>
  <rfmt sheetId="9" sqref="W58" start="0" length="0">
    <dxf>
      <font>
        <b/>
        <sz val="14"/>
        <name val="Times New Roman"/>
        <scheme val="none"/>
      </font>
      <numFmt numFmtId="2" formatCode="0.00"/>
    </dxf>
  </rfmt>
  <rcc rId="9391" sId="9" odxf="1" dxf="1" numFmtId="4">
    <nc r="X58">
      <v>0</v>
    </nc>
    <odxf>
      <font>
        <b val="0"/>
        <sz val="14"/>
        <name val="Times New Roman"/>
        <scheme val="none"/>
      </font>
      <numFmt numFmtId="4" formatCode="#,##0.00"/>
    </odxf>
    <ndxf>
      <font>
        <b/>
        <sz val="14"/>
        <name val="Times New Roman"/>
        <scheme val="none"/>
      </font>
      <numFmt numFmtId="2" formatCode="0.00"/>
    </ndxf>
  </rcc>
  <rfmt sheetId="9" sqref="Y58" start="0" length="0">
    <dxf>
      <font>
        <b/>
        <sz val="14"/>
        <name val="Times New Roman"/>
        <scheme val="none"/>
      </font>
      <numFmt numFmtId="2" formatCode="0.00"/>
    </dxf>
  </rfmt>
  <rcc rId="9392" sId="9" odxf="1" dxf="1" numFmtId="4">
    <nc r="Z58">
      <v>0</v>
    </nc>
    <odxf>
      <font>
        <b val="0"/>
        <sz val="14"/>
        <name val="Times New Roman"/>
        <scheme val="none"/>
      </font>
      <numFmt numFmtId="4" formatCode="#,##0.00"/>
    </odxf>
    <ndxf>
      <font>
        <b/>
        <sz val="14"/>
        <name val="Times New Roman"/>
        <scheme val="none"/>
      </font>
      <numFmt numFmtId="2" formatCode="0.00"/>
    </ndxf>
  </rcc>
  <rfmt sheetId="9" sqref="AA58" start="0" length="0">
    <dxf>
      <font>
        <b/>
        <sz val="14"/>
        <name val="Times New Roman"/>
        <scheme val="none"/>
      </font>
      <numFmt numFmtId="2" formatCode="0.00"/>
    </dxf>
  </rfmt>
  <rcc rId="9393" sId="9" odxf="1" dxf="1" numFmtId="4">
    <nc r="AB58">
      <v>0</v>
    </nc>
    <odxf>
      <font>
        <b val="0"/>
        <sz val="14"/>
        <name val="Times New Roman"/>
        <scheme val="none"/>
      </font>
      <numFmt numFmtId="4" formatCode="#,##0.00"/>
    </odxf>
    <ndxf>
      <font>
        <b/>
        <sz val="14"/>
        <name val="Times New Roman"/>
        <scheme val="none"/>
      </font>
      <numFmt numFmtId="2" formatCode="0.00"/>
    </ndxf>
  </rcc>
  <rfmt sheetId="9" sqref="AC58" start="0" length="0">
    <dxf>
      <font>
        <b/>
        <sz val="14"/>
        <name val="Times New Roman"/>
        <scheme val="none"/>
      </font>
      <numFmt numFmtId="2" formatCode="0.00"/>
    </dxf>
  </rfmt>
  <rcc rId="9394" sId="9" odxf="1" dxf="1" numFmtId="4">
    <nc r="AD58">
      <v>0</v>
    </nc>
    <odxf>
      <font>
        <b val="0"/>
        <sz val="14"/>
        <name val="Times New Roman"/>
        <scheme val="none"/>
      </font>
      <numFmt numFmtId="4" formatCode="#,##0.00"/>
    </odxf>
    <ndxf>
      <font>
        <b/>
        <sz val="14"/>
        <name val="Times New Roman"/>
        <scheme val="none"/>
      </font>
      <numFmt numFmtId="2" formatCode="0.00"/>
    </ndxf>
  </rcc>
  <rfmt sheetId="9" sqref="AE58" start="0" length="0">
    <dxf>
      <font>
        <b/>
        <sz val="14"/>
        <name val="Times New Roman"/>
        <scheme val="none"/>
      </font>
      <numFmt numFmtId="2" formatCode="0.00"/>
    </dxf>
  </rfmt>
  <rcc rId="9395" sId="9" odxf="1" dxf="1">
    <oc r="B59">
      <f>H59+J59+L59+N59+P59+R59+T59+V59+X59+Z59+AB59+AD59</f>
    </oc>
    <nc r="B59">
      <f>H59+J59+L59+N59+P59+R59+T59+V59+X59+Z59+AB59+AD59</f>
    </nc>
    <odxf>
      <font>
        <b val="0"/>
        <sz val="14"/>
        <name val="Times New Roman"/>
        <scheme val="none"/>
      </font>
      <numFmt numFmtId="4" formatCode="#,##0.00"/>
    </odxf>
    <ndxf>
      <font>
        <b/>
        <sz val="14"/>
        <name val="Times New Roman"/>
        <scheme val="none"/>
      </font>
      <numFmt numFmtId="2" formatCode="0.00"/>
    </ndxf>
  </rcc>
  <rcc rId="9396" sId="9" odxf="1" dxf="1">
    <oc r="C59">
      <f>H59+J59</f>
    </oc>
    <nc r="C59">
      <f>H59+J59+L59+N59+P59+R59</f>
    </nc>
    <odxf>
      <font>
        <b val="0"/>
        <sz val="14"/>
        <name val="Times New Roman"/>
        <scheme val="none"/>
      </font>
      <numFmt numFmtId="4" formatCode="#,##0.00"/>
      <border outline="0">
        <right style="thin">
          <color indexed="64"/>
        </right>
      </border>
    </odxf>
    <ndxf>
      <font>
        <b/>
        <sz val="14"/>
        <name val="Times New Roman"/>
        <scheme val="none"/>
      </font>
      <numFmt numFmtId="2" formatCode="0.00"/>
      <border outline="0">
        <right/>
      </border>
    </ndxf>
  </rcc>
  <rcc rId="9397" sId="9" odxf="1" dxf="1">
    <oc r="D59">
      <f>E59</f>
    </oc>
    <nc r="D59">
      <f>E59</f>
    </nc>
    <odxf>
      <font>
        <b val="0"/>
        <sz val="14"/>
        <name val="Times New Roman"/>
        <scheme val="none"/>
      </font>
      <numFmt numFmtId="4" formatCode="#,##0.00"/>
    </odxf>
    <ndxf>
      <font>
        <b/>
        <sz val="14"/>
        <name val="Times New Roman"/>
        <scheme val="none"/>
      </font>
      <numFmt numFmtId="2" formatCode="0.00"/>
    </ndxf>
  </rcc>
  <rcc rId="9398" sId="9" odxf="1" dxf="1">
    <oc r="E59">
      <f>I59</f>
    </oc>
    <nc r="E59">
      <f>I59+K59+M59+O59+Q59+S59</f>
    </nc>
    <odxf>
      <font>
        <b val="0"/>
        <sz val="14"/>
        <name val="Times New Roman"/>
        <scheme val="none"/>
      </font>
      <numFmt numFmtId="4" formatCode="#,##0.00"/>
    </odxf>
    <ndxf>
      <font>
        <b/>
        <sz val="14"/>
        <name val="Times New Roman"/>
        <scheme val="none"/>
      </font>
      <numFmt numFmtId="2" formatCode="0.00"/>
    </ndxf>
  </rcc>
  <rcc rId="9399" sId="9" odxf="1" dxf="1">
    <oc r="F59">
      <f>E59/B59*100</f>
    </oc>
    <nc r="F59">
      <f>E59/B59*100</f>
    </nc>
    <odxf>
      <font>
        <b val="0"/>
        <sz val="14"/>
        <name val="Times New Roman"/>
        <scheme val="none"/>
      </font>
      <numFmt numFmtId="4" formatCode="#,##0.00"/>
      <fill>
        <patternFill patternType="none">
          <bgColor indexed="65"/>
        </patternFill>
      </fill>
    </odxf>
    <ndxf>
      <font>
        <b/>
        <sz val="14"/>
        <name val="Times New Roman"/>
        <scheme val="none"/>
      </font>
      <numFmt numFmtId="2" formatCode="0.00"/>
      <fill>
        <patternFill patternType="solid">
          <bgColor theme="9" tint="0.79998168889431442"/>
        </patternFill>
      </fill>
    </ndxf>
  </rcc>
  <rcc rId="9400" sId="9" odxf="1" dxf="1">
    <oc r="G59">
      <f>E59/C59*100</f>
    </oc>
    <nc r="G59">
      <f>E59/C59*100</f>
    </nc>
    <odxf>
      <font>
        <b val="0"/>
        <sz val="14"/>
        <name val="Times New Roman"/>
        <scheme val="none"/>
      </font>
      <numFmt numFmtId="4" formatCode="#,##0.00"/>
      <fill>
        <patternFill patternType="none">
          <bgColor indexed="65"/>
        </patternFill>
      </fill>
    </odxf>
    <ndxf>
      <font>
        <b/>
        <sz val="14"/>
        <name val="Times New Roman"/>
        <scheme val="none"/>
      </font>
      <numFmt numFmtId="2" formatCode="0.00"/>
      <fill>
        <patternFill patternType="solid">
          <bgColor theme="9" tint="0.79998168889431442"/>
        </patternFill>
      </fill>
    </ndxf>
  </rcc>
  <rcc rId="9401" sId="9" odxf="1" dxf="1" numFmtId="4">
    <oc r="H59">
      <f>95.9+333</f>
    </oc>
    <nc r="H59">
      <v>447.8</v>
    </nc>
    <odxf>
      <font>
        <b val="0"/>
        <sz val="14"/>
        <name val="Times New Roman"/>
        <scheme val="none"/>
      </font>
      <numFmt numFmtId="4" formatCode="#,##0.00"/>
    </odxf>
    <ndxf>
      <font>
        <b/>
        <sz val="14"/>
        <name val="Times New Roman"/>
        <scheme val="none"/>
      </font>
      <numFmt numFmtId="2" formatCode="0.00"/>
    </ndxf>
  </rcc>
  <rcc rId="9402" sId="9" odxf="1" dxf="1" numFmtId="4">
    <oc r="I59">
      <v>119.62</v>
    </oc>
    <nc r="I59">
      <v>119.61735</v>
    </nc>
    <odxf>
      <font>
        <b val="0"/>
        <sz val="14"/>
        <name val="Times New Roman"/>
        <scheme val="none"/>
      </font>
      <numFmt numFmtId="4" formatCode="#,##0.00"/>
    </odxf>
    <ndxf>
      <font>
        <b/>
        <sz val="14"/>
        <name val="Times New Roman"/>
        <scheme val="none"/>
      </font>
      <numFmt numFmtId="2" formatCode="0.00"/>
    </ndxf>
  </rcc>
  <rcc rId="9403" sId="9" odxf="1" dxf="1" numFmtId="4">
    <oc r="J59">
      <v>419.7</v>
    </oc>
    <nc r="J59">
      <v>625.29999999999995</v>
    </nc>
    <odxf>
      <font>
        <b val="0"/>
        <sz val="14"/>
        <name val="Times New Roman"/>
        <scheme val="none"/>
      </font>
      <numFmt numFmtId="4" formatCode="#,##0.00"/>
    </odxf>
    <ndxf>
      <font>
        <b/>
        <sz val="14"/>
        <name val="Times New Roman"/>
        <scheme val="none"/>
      </font>
      <numFmt numFmtId="2" formatCode="0.00"/>
    </ndxf>
  </rcc>
  <rcc rId="9404" sId="9" odxf="1" dxf="1" numFmtId="4">
    <oc r="K59">
      <v>118.54</v>
    </oc>
    <nc r="K59">
      <v>118.53792</v>
    </nc>
    <odxf>
      <font>
        <b val="0"/>
        <sz val="14"/>
        <name val="Times New Roman"/>
        <scheme val="none"/>
      </font>
      <numFmt numFmtId="4" formatCode="#,##0.00"/>
    </odxf>
    <ndxf>
      <font>
        <b/>
        <sz val="14"/>
        <name val="Times New Roman"/>
        <scheme val="none"/>
      </font>
      <numFmt numFmtId="2" formatCode="0.00"/>
    </ndxf>
  </rcc>
  <rfmt sheetId="9" sqref="L59" start="0" length="0">
    <dxf>
      <font>
        <b/>
        <sz val="14"/>
        <name val="Times New Roman"/>
        <scheme val="none"/>
      </font>
      <numFmt numFmtId="2" formatCode="0.00"/>
    </dxf>
  </rfmt>
  <rcc rId="9405" sId="9" odxf="1" dxf="1" numFmtId="4">
    <nc r="M59">
      <v>174.08481</v>
    </nc>
    <odxf>
      <font>
        <b val="0"/>
        <sz val="14"/>
        <name val="Times New Roman"/>
        <scheme val="none"/>
      </font>
      <numFmt numFmtId="4" formatCode="#,##0.00"/>
    </odxf>
    <ndxf>
      <font>
        <b/>
        <sz val="14"/>
        <name val="Times New Roman"/>
        <scheme val="none"/>
      </font>
      <numFmt numFmtId="2" formatCode="0.00"/>
    </ndxf>
  </rcc>
  <rcc rId="9406" sId="9" odxf="1" dxf="1" numFmtId="4">
    <oc r="N59">
      <v>722</v>
    </oc>
    <nc r="N59">
      <v>728.5</v>
    </nc>
    <odxf>
      <font>
        <b val="0"/>
        <sz val="14"/>
        <name val="Times New Roman"/>
        <scheme val="none"/>
      </font>
      <numFmt numFmtId="4" formatCode="#,##0.00"/>
    </odxf>
    <ndxf>
      <font>
        <b/>
        <sz val="14"/>
        <name val="Times New Roman"/>
        <scheme val="none"/>
      </font>
      <numFmt numFmtId="2" formatCode="0.00"/>
    </ndxf>
  </rcc>
  <rcc rId="9407" sId="9" odxf="1" dxf="1" numFmtId="4">
    <nc r="O59">
      <v>408.97221999999999</v>
    </nc>
    <odxf>
      <font>
        <b val="0"/>
        <sz val="14"/>
        <name val="Times New Roman"/>
        <scheme val="none"/>
      </font>
      <numFmt numFmtId="4" formatCode="#,##0.00"/>
    </odxf>
    <ndxf>
      <font>
        <b/>
        <sz val="14"/>
        <name val="Times New Roman"/>
        <scheme val="none"/>
      </font>
      <numFmt numFmtId="2" formatCode="0.00"/>
    </ndxf>
  </rcc>
  <rcc rId="9408" sId="9" odxf="1" dxf="1" numFmtId="4">
    <oc r="P59">
      <v>31</v>
    </oc>
    <nc r="P59">
      <v>33</v>
    </nc>
    <odxf>
      <font>
        <b val="0"/>
        <sz val="14"/>
        <name val="Times New Roman"/>
        <scheme val="none"/>
      </font>
      <numFmt numFmtId="4" formatCode="#,##0.00"/>
    </odxf>
    <ndxf>
      <font>
        <b/>
        <sz val="14"/>
        <name val="Times New Roman"/>
        <scheme val="none"/>
      </font>
      <numFmt numFmtId="2" formatCode="0.00"/>
    </ndxf>
  </rcc>
  <rcc rId="9409" sId="9" odxf="1" dxf="1" numFmtId="4">
    <nc r="Q59">
      <v>160.18494000000001</v>
    </nc>
    <odxf>
      <font>
        <b val="0"/>
        <sz val="14"/>
        <name val="Times New Roman"/>
        <scheme val="none"/>
      </font>
      <numFmt numFmtId="4" formatCode="#,##0.00"/>
    </odxf>
    <ndxf>
      <font>
        <b/>
        <sz val="14"/>
        <name val="Times New Roman"/>
        <scheme val="none"/>
      </font>
      <numFmt numFmtId="2" formatCode="0.00"/>
    </ndxf>
  </rcc>
  <rcc rId="9410" sId="9" odxf="1" dxf="1" numFmtId="4">
    <oc r="R59">
      <v>1</v>
    </oc>
    <nc r="R59">
      <v>43.9</v>
    </nc>
    <odxf>
      <font>
        <b val="0"/>
        <sz val="14"/>
        <name val="Times New Roman"/>
        <scheme val="none"/>
      </font>
      <numFmt numFmtId="4" formatCode="#,##0.00"/>
    </odxf>
    <ndxf>
      <font>
        <b/>
        <sz val="14"/>
        <name val="Times New Roman"/>
        <scheme val="none"/>
      </font>
      <numFmt numFmtId="2" formatCode="0.00"/>
    </ndxf>
  </rcc>
  <rcc rId="9411" sId="9" odxf="1" dxf="1" numFmtId="4">
    <nc r="S59">
      <v>324.25369999999998</v>
    </nc>
    <odxf>
      <font>
        <b val="0"/>
        <sz val="14"/>
        <name val="Times New Roman"/>
        <scheme val="none"/>
      </font>
      <numFmt numFmtId="4" formatCode="#,##0.00"/>
    </odxf>
    <ndxf>
      <font>
        <b/>
        <sz val="14"/>
        <name val="Times New Roman"/>
        <scheme val="none"/>
      </font>
      <numFmt numFmtId="2" formatCode="0.00"/>
    </ndxf>
  </rcc>
  <rcc rId="9412" sId="9" odxf="1" dxf="1" numFmtId="4">
    <oc r="T59">
      <v>136.19999999999999</v>
    </oc>
    <nc r="T59">
      <v>0</v>
    </nc>
    <odxf>
      <font>
        <b val="0"/>
        <sz val="14"/>
        <name val="Times New Roman"/>
        <scheme val="none"/>
      </font>
      <numFmt numFmtId="4" formatCode="#,##0.00"/>
    </odxf>
    <ndxf>
      <font>
        <b/>
        <sz val="14"/>
        <name val="Times New Roman"/>
        <scheme val="none"/>
      </font>
      <numFmt numFmtId="2" formatCode="0.00"/>
    </ndxf>
  </rcc>
  <rfmt sheetId="9" sqref="U59" start="0" length="0">
    <dxf>
      <font>
        <b/>
        <sz val="14"/>
        <name val="Times New Roman"/>
        <scheme val="none"/>
      </font>
      <numFmt numFmtId="2" formatCode="0.00"/>
    </dxf>
  </rfmt>
  <rfmt sheetId="9" sqref="V59" start="0" length="0">
    <dxf>
      <font>
        <b/>
        <sz val="14"/>
        <name val="Times New Roman"/>
        <scheme val="none"/>
      </font>
      <numFmt numFmtId="2" formatCode="0.00"/>
    </dxf>
  </rfmt>
  <rfmt sheetId="9" sqref="W59" start="0" length="0">
    <dxf>
      <font>
        <b/>
        <sz val="14"/>
        <name val="Times New Roman"/>
        <scheme val="none"/>
      </font>
      <numFmt numFmtId="2" formatCode="0.00"/>
    </dxf>
  </rfmt>
  <rfmt sheetId="9" sqref="X59" start="0" length="0">
    <dxf>
      <font>
        <b/>
        <sz val="14"/>
        <name val="Times New Roman"/>
        <scheme val="none"/>
      </font>
      <numFmt numFmtId="2" formatCode="0.00"/>
    </dxf>
  </rfmt>
  <rfmt sheetId="9" sqref="Y59" start="0" length="0">
    <dxf>
      <font>
        <b/>
        <sz val="14"/>
        <name val="Times New Roman"/>
        <scheme val="none"/>
      </font>
      <numFmt numFmtId="2" formatCode="0.00"/>
    </dxf>
  </rfmt>
  <rcc rId="9413" sId="9" odxf="1" dxf="1" numFmtId="4">
    <oc r="Z59">
      <v>69.400000000000006</v>
    </oc>
    <nc r="Z59">
      <v>0</v>
    </nc>
    <odxf>
      <font>
        <b val="0"/>
        <sz val="14"/>
        <name val="Times New Roman"/>
        <scheme val="none"/>
      </font>
      <numFmt numFmtId="4" formatCode="#,##0.00"/>
    </odxf>
    <ndxf>
      <font>
        <b/>
        <sz val="14"/>
        <name val="Times New Roman"/>
        <scheme val="none"/>
      </font>
      <numFmt numFmtId="2" formatCode="0.00"/>
    </ndxf>
  </rcc>
  <rfmt sheetId="9" sqref="AA59" start="0" length="0">
    <dxf>
      <font>
        <b/>
        <sz val="14"/>
        <name val="Times New Roman"/>
        <scheme val="none"/>
      </font>
      <numFmt numFmtId="2" formatCode="0.00"/>
    </dxf>
  </rfmt>
  <rcc rId="9414" sId="9" odxf="1" dxf="1" numFmtId="4">
    <oc r="AB59">
      <v>25</v>
    </oc>
    <nc r="AB59">
      <v>22</v>
    </nc>
    <odxf>
      <font>
        <b val="0"/>
        <sz val="14"/>
        <name val="Times New Roman"/>
        <scheme val="none"/>
      </font>
      <numFmt numFmtId="4" formatCode="#,##0.00"/>
    </odxf>
    <ndxf>
      <font>
        <b/>
        <sz val="14"/>
        <name val="Times New Roman"/>
        <scheme val="none"/>
      </font>
      <numFmt numFmtId="2" formatCode="0.00"/>
    </ndxf>
  </rcc>
  <rfmt sheetId="9" sqref="AC59" start="0" length="0">
    <dxf>
      <font>
        <b/>
        <sz val="14"/>
        <name val="Times New Roman"/>
        <scheme val="none"/>
      </font>
      <numFmt numFmtId="2" formatCode="0.00"/>
    </dxf>
  </rfmt>
  <rcc rId="9415" sId="9" odxf="1" dxf="1" numFmtId="4">
    <oc r="AD59">
      <v>122.2</v>
    </oc>
    <nc r="AD59">
      <v>54.9</v>
    </nc>
    <odxf>
      <font>
        <b val="0"/>
        <sz val="14"/>
        <name val="Times New Roman"/>
        <scheme val="none"/>
      </font>
      <numFmt numFmtId="4" formatCode="#,##0.00"/>
    </odxf>
    <ndxf>
      <font>
        <b/>
        <sz val="14"/>
        <name val="Times New Roman"/>
        <scheme val="none"/>
      </font>
      <numFmt numFmtId="2" formatCode="0.00"/>
    </ndxf>
  </rcc>
  <rfmt sheetId="9" sqref="AE59" start="0" length="0">
    <dxf>
      <font>
        <b/>
        <sz val="14"/>
        <name val="Times New Roman"/>
        <scheme val="none"/>
      </font>
      <numFmt numFmtId="2" formatCode="0.00"/>
    </dxf>
  </rfmt>
  <rcc rId="9416" sId="9" odxf="1" dxf="1">
    <oc r="B60">
      <f>H60+J60+L60+N60+P60+R60+T60+V60+X60+Z60+AB60+AD60</f>
    </oc>
    <nc r="B60">
      <f>H60+J60+L60+N60+P60+R60+T60+V60+X60+Z60+AB60+AD60</f>
    </nc>
    <odxf>
      <font>
        <b val="0"/>
        <sz val="14"/>
        <name val="Times New Roman"/>
        <scheme val="none"/>
      </font>
      <numFmt numFmtId="4" formatCode="#,##0.00"/>
    </odxf>
    <ndxf>
      <font>
        <b/>
        <sz val="14"/>
        <name val="Times New Roman"/>
        <scheme val="none"/>
      </font>
      <numFmt numFmtId="2" formatCode="0.00"/>
    </ndxf>
  </rcc>
  <rcc rId="9417" sId="9" odxf="1" dxf="1">
    <oc r="C60">
      <f>H60+J60</f>
    </oc>
    <nc r="C60">
      <f>H60</f>
    </nc>
    <odxf>
      <font>
        <b val="0"/>
        <sz val="14"/>
        <name val="Times New Roman"/>
        <scheme val="none"/>
      </font>
      <numFmt numFmtId="4" formatCode="#,##0.00"/>
    </odxf>
    <ndxf>
      <font>
        <b/>
        <sz val="14"/>
        <name val="Times New Roman"/>
        <scheme val="none"/>
      </font>
      <numFmt numFmtId="2" formatCode="0.00"/>
    </ndxf>
  </rcc>
  <rcc rId="9418" sId="9" odxf="1" dxf="1">
    <oc r="D60">
      <f>E60</f>
    </oc>
    <nc r="D60">
      <f>E60</f>
    </nc>
    <odxf>
      <font>
        <b val="0"/>
        <sz val="14"/>
        <name val="Times New Roman"/>
        <scheme val="none"/>
      </font>
      <numFmt numFmtId="4" formatCode="#,##0.00"/>
    </odxf>
    <ndxf>
      <font>
        <b/>
        <sz val="14"/>
        <name val="Times New Roman"/>
        <scheme val="none"/>
      </font>
      <numFmt numFmtId="2" formatCode="0.00"/>
    </ndxf>
  </rcc>
  <rfmt sheetId="9" sqref="E60" start="0" length="0">
    <dxf>
      <font>
        <b/>
        <sz val="14"/>
        <name val="Times New Roman"/>
        <scheme val="none"/>
      </font>
      <numFmt numFmtId="2" formatCode="0.00"/>
    </dxf>
  </rfmt>
  <rfmt sheetId="9" sqref="F60" start="0" length="0">
    <dxf>
      <font>
        <b/>
        <sz val="14"/>
        <name val="Times New Roman"/>
        <scheme val="none"/>
      </font>
      <numFmt numFmtId="2" formatCode="0.00"/>
      <fill>
        <patternFill patternType="solid">
          <bgColor theme="9" tint="0.79998168889431442"/>
        </patternFill>
      </fill>
    </dxf>
  </rfmt>
  <rfmt sheetId="9" sqref="G60" start="0" length="0">
    <dxf>
      <font>
        <b/>
        <sz val="14"/>
        <name val="Times New Roman"/>
        <scheme val="none"/>
      </font>
      <numFmt numFmtId="2" formatCode="0.00"/>
      <fill>
        <patternFill patternType="solid">
          <bgColor theme="9" tint="0.79998168889431442"/>
        </patternFill>
      </fill>
    </dxf>
  </rfmt>
  <rfmt sheetId="9" sqref="H60" start="0" length="0">
    <dxf>
      <font>
        <b/>
        <sz val="14"/>
        <name val="Times New Roman"/>
        <scheme val="none"/>
      </font>
      <numFmt numFmtId="2" formatCode="0.00"/>
    </dxf>
  </rfmt>
  <rfmt sheetId="9" sqref="I60" start="0" length="0">
    <dxf>
      <font>
        <b/>
        <sz val="14"/>
        <name val="Times New Roman"/>
        <scheme val="none"/>
      </font>
      <numFmt numFmtId="2" formatCode="0.00"/>
    </dxf>
  </rfmt>
  <rfmt sheetId="9" sqref="J60" start="0" length="0">
    <dxf>
      <font>
        <b/>
        <sz val="14"/>
        <name val="Times New Roman"/>
        <scheme val="none"/>
      </font>
      <numFmt numFmtId="2" formatCode="0.00"/>
    </dxf>
  </rfmt>
  <rfmt sheetId="9" sqref="K60" start="0" length="0">
    <dxf>
      <font>
        <b/>
        <sz val="14"/>
        <name val="Times New Roman"/>
        <scheme val="none"/>
      </font>
      <numFmt numFmtId="2" formatCode="0.00"/>
    </dxf>
  </rfmt>
  <rcc rId="9419" sId="9" odxf="1" dxf="1" numFmtId="4">
    <nc r="L60">
      <v>0</v>
    </nc>
    <odxf>
      <font>
        <b val="0"/>
        <sz val="14"/>
        <name val="Times New Roman"/>
        <scheme val="none"/>
      </font>
      <numFmt numFmtId="4" formatCode="#,##0.00"/>
    </odxf>
    <ndxf>
      <font>
        <b/>
        <sz val="14"/>
        <name val="Times New Roman"/>
        <scheme val="none"/>
      </font>
      <numFmt numFmtId="2" formatCode="0.00"/>
    </ndxf>
  </rcc>
  <rcc rId="9420" sId="9" odxf="1" dxf="1" numFmtId="4">
    <nc r="M60">
      <v>0</v>
    </nc>
    <odxf>
      <font>
        <b val="0"/>
        <sz val="14"/>
        <name val="Times New Roman"/>
        <scheme val="none"/>
      </font>
      <numFmt numFmtId="4" formatCode="#,##0.00"/>
    </odxf>
    <ndxf>
      <font>
        <b/>
        <sz val="14"/>
        <name val="Times New Roman"/>
        <scheme val="none"/>
      </font>
      <numFmt numFmtId="2" formatCode="0.00"/>
    </ndxf>
  </rcc>
  <rcc rId="9421" sId="9" odxf="1" dxf="1" numFmtId="4">
    <nc r="N60">
      <v>0</v>
    </nc>
    <odxf>
      <font>
        <b val="0"/>
        <sz val="14"/>
        <name val="Times New Roman"/>
        <scheme val="none"/>
      </font>
      <numFmt numFmtId="4" formatCode="#,##0.00"/>
    </odxf>
    <ndxf>
      <font>
        <b/>
        <sz val="14"/>
        <name val="Times New Roman"/>
        <scheme val="none"/>
      </font>
      <numFmt numFmtId="2" formatCode="0.00"/>
    </ndxf>
  </rcc>
  <rcc rId="9422" sId="9" odxf="1" dxf="1" numFmtId="4">
    <nc r="O60">
      <v>0</v>
    </nc>
    <odxf>
      <font>
        <b val="0"/>
        <sz val="14"/>
        <name val="Times New Roman"/>
        <scheme val="none"/>
      </font>
      <numFmt numFmtId="4" formatCode="#,##0.00"/>
    </odxf>
    <ndxf>
      <font>
        <b/>
        <sz val="14"/>
        <name val="Times New Roman"/>
        <scheme val="none"/>
      </font>
      <numFmt numFmtId="2" formatCode="0.00"/>
    </ndxf>
  </rcc>
  <rcc rId="9423" sId="9" odxf="1" dxf="1" numFmtId="4">
    <nc r="P60">
      <v>0</v>
    </nc>
    <odxf>
      <font>
        <b val="0"/>
        <sz val="14"/>
        <name val="Times New Roman"/>
        <scheme val="none"/>
      </font>
      <numFmt numFmtId="4" formatCode="#,##0.00"/>
    </odxf>
    <ndxf>
      <font>
        <b/>
        <sz val="14"/>
        <name val="Times New Roman"/>
        <scheme val="none"/>
      </font>
      <numFmt numFmtId="2" formatCode="0.00"/>
    </ndxf>
  </rcc>
  <rcc rId="9424" sId="9" odxf="1" dxf="1" numFmtId="4">
    <nc r="Q60">
      <v>0</v>
    </nc>
    <odxf>
      <font>
        <b val="0"/>
        <sz val="14"/>
        <name val="Times New Roman"/>
        <scheme val="none"/>
      </font>
      <numFmt numFmtId="4" formatCode="#,##0.00"/>
    </odxf>
    <ndxf>
      <font>
        <b/>
        <sz val="14"/>
        <name val="Times New Roman"/>
        <scheme val="none"/>
      </font>
      <numFmt numFmtId="2" formatCode="0.00"/>
    </ndxf>
  </rcc>
  <rcc rId="9425" sId="9" odxf="1" dxf="1" numFmtId="4">
    <nc r="R60">
      <v>0</v>
    </nc>
    <odxf>
      <font>
        <b val="0"/>
        <sz val="14"/>
        <name val="Times New Roman"/>
        <scheme val="none"/>
      </font>
      <numFmt numFmtId="4" formatCode="#,##0.00"/>
    </odxf>
    <ndxf>
      <font>
        <b/>
        <sz val="14"/>
        <name val="Times New Roman"/>
        <scheme val="none"/>
      </font>
      <numFmt numFmtId="2" formatCode="0.00"/>
    </ndxf>
  </rcc>
  <rcc rId="9426" sId="9" odxf="1" dxf="1" numFmtId="4">
    <nc r="S60">
      <v>0</v>
    </nc>
    <odxf>
      <font>
        <b val="0"/>
        <sz val="14"/>
        <name val="Times New Roman"/>
        <scheme val="none"/>
      </font>
      <numFmt numFmtId="4" formatCode="#,##0.00"/>
    </odxf>
    <ndxf>
      <font>
        <b/>
        <sz val="14"/>
        <name val="Times New Roman"/>
        <scheme val="none"/>
      </font>
      <numFmt numFmtId="2" formatCode="0.00"/>
    </ndxf>
  </rcc>
  <rcc rId="9427" sId="9" odxf="1" dxf="1" numFmtId="4">
    <nc r="T60">
      <v>0</v>
    </nc>
    <odxf>
      <font>
        <b val="0"/>
        <sz val="14"/>
        <name val="Times New Roman"/>
        <scheme val="none"/>
      </font>
      <numFmt numFmtId="4" formatCode="#,##0.00"/>
    </odxf>
    <ndxf>
      <font>
        <b/>
        <sz val="14"/>
        <name val="Times New Roman"/>
        <scheme val="none"/>
      </font>
      <numFmt numFmtId="2" formatCode="0.00"/>
    </ndxf>
  </rcc>
  <rfmt sheetId="9" sqref="U60" start="0" length="0">
    <dxf>
      <font>
        <b/>
        <sz val="14"/>
        <name val="Times New Roman"/>
        <scheme val="none"/>
      </font>
      <numFmt numFmtId="2" formatCode="0.00"/>
    </dxf>
  </rfmt>
  <rcc rId="9428" sId="9" odxf="1" dxf="1" numFmtId="4">
    <nc r="V60">
      <v>0</v>
    </nc>
    <odxf>
      <font>
        <b val="0"/>
        <sz val="14"/>
        <name val="Times New Roman"/>
        <scheme val="none"/>
      </font>
      <numFmt numFmtId="4" formatCode="#,##0.00"/>
    </odxf>
    <ndxf>
      <font>
        <b/>
        <sz val="14"/>
        <name val="Times New Roman"/>
        <scheme val="none"/>
      </font>
      <numFmt numFmtId="2" formatCode="0.00"/>
    </ndxf>
  </rcc>
  <rfmt sheetId="9" sqref="W60" start="0" length="0">
    <dxf>
      <font>
        <b/>
        <sz val="14"/>
        <name val="Times New Roman"/>
        <scheme val="none"/>
      </font>
      <numFmt numFmtId="2" formatCode="0.00"/>
    </dxf>
  </rfmt>
  <rcc rId="9429" sId="9" odxf="1" dxf="1" numFmtId="4">
    <nc r="X60">
      <v>0</v>
    </nc>
    <odxf>
      <font>
        <b val="0"/>
        <sz val="14"/>
        <name val="Times New Roman"/>
        <scheme val="none"/>
      </font>
      <numFmt numFmtId="4" formatCode="#,##0.00"/>
    </odxf>
    <ndxf>
      <font>
        <b/>
        <sz val="14"/>
        <name val="Times New Roman"/>
        <scheme val="none"/>
      </font>
      <numFmt numFmtId="2" formatCode="0.00"/>
    </ndxf>
  </rcc>
  <rfmt sheetId="9" sqref="Y60" start="0" length="0">
    <dxf>
      <font>
        <b/>
        <sz val="14"/>
        <name val="Times New Roman"/>
        <scheme val="none"/>
      </font>
      <numFmt numFmtId="2" formatCode="0.00"/>
    </dxf>
  </rfmt>
  <rcc rId="9430" sId="9" odxf="1" dxf="1" numFmtId="4">
    <nc r="Z60">
      <v>0</v>
    </nc>
    <odxf>
      <font>
        <b val="0"/>
        <sz val="14"/>
        <name val="Times New Roman"/>
        <scheme val="none"/>
      </font>
      <numFmt numFmtId="4" formatCode="#,##0.00"/>
    </odxf>
    <ndxf>
      <font>
        <b/>
        <sz val="14"/>
        <name val="Times New Roman"/>
        <scheme val="none"/>
      </font>
      <numFmt numFmtId="2" formatCode="0.00"/>
    </ndxf>
  </rcc>
  <rfmt sheetId="9" sqref="AA60" start="0" length="0">
    <dxf>
      <font>
        <b/>
        <sz val="14"/>
        <name val="Times New Roman"/>
        <scheme val="none"/>
      </font>
      <numFmt numFmtId="2" formatCode="0.00"/>
    </dxf>
  </rfmt>
  <rcc rId="9431" sId="9" odxf="1" dxf="1" numFmtId="4">
    <nc r="AB60">
      <v>0</v>
    </nc>
    <odxf>
      <font>
        <b val="0"/>
        <sz val="14"/>
        <name val="Times New Roman"/>
        <scheme val="none"/>
      </font>
      <numFmt numFmtId="4" formatCode="#,##0.00"/>
    </odxf>
    <ndxf>
      <font>
        <b/>
        <sz val="14"/>
        <name val="Times New Roman"/>
        <scheme val="none"/>
      </font>
      <numFmt numFmtId="2" formatCode="0.00"/>
    </ndxf>
  </rcc>
  <rfmt sheetId="9" sqref="AC60" start="0" length="0">
    <dxf>
      <font>
        <b/>
        <sz val="14"/>
        <name val="Times New Roman"/>
        <scheme val="none"/>
      </font>
      <numFmt numFmtId="2" formatCode="0.00"/>
    </dxf>
  </rfmt>
  <rcc rId="9432" sId="9" odxf="1" dxf="1" numFmtId="4">
    <nc r="AD60">
      <v>0</v>
    </nc>
    <odxf>
      <font>
        <b val="0"/>
        <sz val="14"/>
        <name val="Times New Roman"/>
        <scheme val="none"/>
      </font>
      <numFmt numFmtId="4" formatCode="#,##0.00"/>
    </odxf>
    <ndxf>
      <font>
        <b/>
        <sz val="14"/>
        <name val="Times New Roman"/>
        <scheme val="none"/>
      </font>
      <numFmt numFmtId="2" formatCode="0.00"/>
    </ndxf>
  </rcc>
  <rfmt sheetId="9" sqref="AE60" start="0" length="0">
    <dxf>
      <font>
        <b/>
        <sz val="14"/>
        <name val="Times New Roman"/>
        <scheme val="none"/>
      </font>
      <numFmt numFmtId="2" formatCode="0.00"/>
    </dxf>
  </rfmt>
  <rfmt sheetId="9" sqref="B35:E35">
    <dxf>
      <fill>
        <patternFill>
          <bgColor rgb="FFFFFF00"/>
        </patternFill>
      </fill>
    </dxf>
  </rfmt>
  <rfmt sheetId="9" sqref="H35:AD35">
    <dxf>
      <fill>
        <patternFill>
          <bgColor rgb="FFFFFF00"/>
        </patternFill>
      </fill>
    </dxf>
  </rfmt>
  <rcc rId="9433" sId="9" odxf="1" dxf="1">
    <oc r="B61">
      <f>B62</f>
    </oc>
    <nc r="B61">
      <f>B62</f>
    </nc>
    <odxf>
      <numFmt numFmtId="4" formatCode="#,##0.00"/>
      <fill>
        <patternFill>
          <bgColor theme="7" tint="0.79998168889431442"/>
        </patternFill>
      </fill>
    </odxf>
    <ndxf>
      <numFmt numFmtId="2" formatCode="0.00"/>
      <fill>
        <patternFill>
          <bgColor theme="0"/>
        </patternFill>
      </fill>
    </ndxf>
  </rcc>
  <rcc rId="9434" sId="9" odxf="1" dxf="1">
    <oc r="C61">
      <f>C62</f>
    </oc>
    <nc r="C61">
      <f>C62</f>
    </nc>
    <odxf>
      <numFmt numFmtId="4" formatCode="#,##0.00"/>
      <fill>
        <patternFill>
          <bgColor theme="7" tint="0.79998168889431442"/>
        </patternFill>
      </fill>
    </odxf>
    <ndxf>
      <numFmt numFmtId="2" formatCode="0.00"/>
      <fill>
        <patternFill>
          <bgColor theme="0"/>
        </patternFill>
      </fill>
    </ndxf>
  </rcc>
  <rcc rId="9435" sId="9" odxf="1" dxf="1">
    <oc r="D61">
      <f>D62</f>
    </oc>
    <nc r="D61">
      <f>E61</f>
    </nc>
    <odxf>
      <numFmt numFmtId="4" formatCode="#,##0.00"/>
      <fill>
        <patternFill>
          <bgColor theme="7" tint="0.79998168889431442"/>
        </patternFill>
      </fill>
    </odxf>
    <ndxf>
      <numFmt numFmtId="2" formatCode="0.00"/>
      <fill>
        <patternFill>
          <bgColor theme="0"/>
        </patternFill>
      </fill>
    </ndxf>
  </rcc>
  <rcc rId="9436" sId="9" odxf="1" dxf="1">
    <oc r="E61">
      <f>E62</f>
    </oc>
    <nc r="E61">
      <f>E62</f>
    </nc>
    <odxf>
      <numFmt numFmtId="4" formatCode="#,##0.00"/>
      <fill>
        <patternFill>
          <bgColor theme="7" tint="0.79998168889431442"/>
        </patternFill>
      </fill>
    </odxf>
    <ndxf>
      <numFmt numFmtId="2" formatCode="0.00"/>
      <fill>
        <patternFill>
          <bgColor theme="0"/>
        </patternFill>
      </fill>
    </ndxf>
  </rcc>
  <rfmt sheetId="9" sqref="F61" start="0" length="0">
    <dxf>
      <numFmt numFmtId="2" formatCode="0.00"/>
      <fill>
        <patternFill>
          <bgColor theme="9" tint="0.79998168889431442"/>
        </patternFill>
      </fill>
    </dxf>
  </rfmt>
  <rfmt sheetId="9" sqref="G61" start="0" length="0">
    <dxf>
      <numFmt numFmtId="2" formatCode="0.00"/>
      <fill>
        <patternFill>
          <bgColor theme="9" tint="0.79998168889431442"/>
        </patternFill>
      </fill>
    </dxf>
  </rfmt>
  <rcc rId="9437" sId="9" odxf="1" dxf="1">
    <oc r="H61">
      <f>H62</f>
    </oc>
    <nc r="H61">
      <f>H62</f>
    </nc>
    <odxf>
      <numFmt numFmtId="4" formatCode="#,##0.00"/>
      <fill>
        <patternFill>
          <bgColor theme="7" tint="0.79998168889431442"/>
        </patternFill>
      </fill>
    </odxf>
    <ndxf>
      <numFmt numFmtId="2" formatCode="0.00"/>
      <fill>
        <patternFill>
          <bgColor theme="0"/>
        </patternFill>
      </fill>
    </ndxf>
  </rcc>
  <rcc rId="9438" sId="9" odxf="1" dxf="1">
    <oc r="I61">
      <f>I62</f>
    </oc>
    <nc r="I61">
      <f>I62</f>
    </nc>
    <odxf>
      <numFmt numFmtId="4" formatCode="#,##0.00"/>
      <fill>
        <patternFill>
          <bgColor theme="7" tint="0.79998168889431442"/>
        </patternFill>
      </fill>
    </odxf>
    <ndxf>
      <numFmt numFmtId="2" formatCode="0.00"/>
      <fill>
        <patternFill>
          <bgColor theme="0"/>
        </patternFill>
      </fill>
    </ndxf>
  </rcc>
  <rcc rId="9439" sId="9" odxf="1" dxf="1">
    <oc r="J61">
      <f>J62</f>
    </oc>
    <nc r="J61">
      <f>J62</f>
    </nc>
    <odxf>
      <numFmt numFmtId="4" formatCode="#,##0.00"/>
      <fill>
        <patternFill>
          <bgColor theme="7" tint="0.79998168889431442"/>
        </patternFill>
      </fill>
    </odxf>
    <ndxf>
      <numFmt numFmtId="2" formatCode="0.00"/>
      <fill>
        <patternFill>
          <bgColor theme="0"/>
        </patternFill>
      </fill>
    </ndxf>
  </rcc>
  <rcc rId="9440" sId="9" odxf="1" dxf="1">
    <oc r="K61">
      <f>K62</f>
    </oc>
    <nc r="K61">
      <f>K62</f>
    </nc>
    <odxf>
      <numFmt numFmtId="4" formatCode="#,##0.00"/>
      <fill>
        <patternFill>
          <bgColor theme="7" tint="0.79998168889431442"/>
        </patternFill>
      </fill>
    </odxf>
    <ndxf>
      <numFmt numFmtId="2" formatCode="0.00"/>
      <fill>
        <patternFill>
          <bgColor theme="0"/>
        </patternFill>
      </fill>
    </ndxf>
  </rcc>
  <rcc rId="9441" sId="9" odxf="1" dxf="1">
    <oc r="L61">
      <f>L62</f>
    </oc>
    <nc r="L61">
      <f>L62</f>
    </nc>
    <odxf>
      <numFmt numFmtId="4" formatCode="#,##0.00"/>
      <fill>
        <patternFill>
          <bgColor theme="7" tint="0.79998168889431442"/>
        </patternFill>
      </fill>
    </odxf>
    <ndxf>
      <numFmt numFmtId="2" formatCode="0.00"/>
      <fill>
        <patternFill>
          <bgColor theme="0"/>
        </patternFill>
      </fill>
    </ndxf>
  </rcc>
  <rcc rId="9442" sId="9" odxf="1" dxf="1">
    <nc r="M61">
      <f>M62</f>
    </nc>
    <odxf>
      <numFmt numFmtId="4" formatCode="#,##0.00"/>
      <fill>
        <patternFill>
          <bgColor theme="7" tint="0.79998168889431442"/>
        </patternFill>
      </fill>
      <border outline="0">
        <right/>
      </border>
      <protection hidden="1"/>
    </odxf>
    <ndxf>
      <numFmt numFmtId="2" formatCode="0.00"/>
      <fill>
        <patternFill>
          <bgColor theme="0"/>
        </patternFill>
      </fill>
      <border outline="0">
        <right style="thin">
          <color indexed="64"/>
        </right>
      </border>
      <protection hidden="0"/>
    </ndxf>
  </rcc>
  <rcc rId="9443" sId="9" odxf="1" dxf="1">
    <oc r="N61">
      <f>N62</f>
    </oc>
    <nc r="N61">
      <f>N62</f>
    </nc>
    <odxf>
      <numFmt numFmtId="4" formatCode="#,##0.00"/>
      <fill>
        <patternFill>
          <bgColor theme="7" tint="0.79998168889431442"/>
        </patternFill>
      </fill>
    </odxf>
    <ndxf>
      <numFmt numFmtId="2" formatCode="0.00"/>
      <fill>
        <patternFill>
          <bgColor theme="0"/>
        </patternFill>
      </fill>
    </ndxf>
  </rcc>
  <rcc rId="9444" sId="9" odxf="1" dxf="1">
    <nc r="O61">
      <f>O62</f>
    </nc>
    <odxf>
      <numFmt numFmtId="4" formatCode="#,##0.00"/>
      <fill>
        <patternFill>
          <bgColor theme="7" tint="0.79998168889431442"/>
        </patternFill>
      </fill>
      <border outline="0">
        <right/>
      </border>
      <protection hidden="1"/>
    </odxf>
    <ndxf>
      <numFmt numFmtId="2" formatCode="0.00"/>
      <fill>
        <patternFill>
          <bgColor theme="0"/>
        </patternFill>
      </fill>
      <border outline="0">
        <right style="thin">
          <color indexed="64"/>
        </right>
      </border>
      <protection hidden="0"/>
    </ndxf>
  </rcc>
  <rcc rId="9445" sId="9" odxf="1" dxf="1">
    <oc r="P61">
      <f>P62</f>
    </oc>
    <nc r="P61">
      <f>P62</f>
    </nc>
    <odxf>
      <numFmt numFmtId="4" formatCode="#,##0.00"/>
      <fill>
        <patternFill>
          <bgColor theme="7" tint="0.79998168889431442"/>
        </patternFill>
      </fill>
    </odxf>
    <ndxf>
      <numFmt numFmtId="2" formatCode="0.00"/>
      <fill>
        <patternFill>
          <bgColor theme="0"/>
        </patternFill>
      </fill>
    </ndxf>
  </rcc>
  <rcc rId="9446" sId="9" odxf="1" dxf="1">
    <nc r="Q61">
      <f>Q62</f>
    </nc>
    <odxf>
      <numFmt numFmtId="4" formatCode="#,##0.00"/>
      <fill>
        <patternFill>
          <bgColor theme="7" tint="0.79998168889431442"/>
        </patternFill>
      </fill>
      <border outline="0">
        <right/>
      </border>
      <protection hidden="1"/>
    </odxf>
    <ndxf>
      <numFmt numFmtId="2" formatCode="0.00"/>
      <fill>
        <patternFill>
          <bgColor theme="0"/>
        </patternFill>
      </fill>
      <border outline="0">
        <right style="thin">
          <color indexed="64"/>
        </right>
      </border>
      <protection hidden="0"/>
    </ndxf>
  </rcc>
  <rcc rId="9447" sId="9" odxf="1" dxf="1">
    <oc r="R61">
      <f>R62</f>
    </oc>
    <nc r="R61">
      <f>R62</f>
    </nc>
    <odxf>
      <numFmt numFmtId="4" formatCode="#,##0.00"/>
      <fill>
        <patternFill>
          <bgColor theme="7" tint="0.79998168889431442"/>
        </patternFill>
      </fill>
    </odxf>
    <ndxf>
      <numFmt numFmtId="2" formatCode="0.00"/>
      <fill>
        <patternFill>
          <bgColor theme="0"/>
        </patternFill>
      </fill>
    </ndxf>
  </rcc>
  <rcc rId="9448" sId="9" odxf="1" dxf="1">
    <nc r="S61">
      <f>S62</f>
    </nc>
    <odxf>
      <numFmt numFmtId="4" formatCode="#,##0.00"/>
      <fill>
        <patternFill>
          <bgColor theme="7" tint="0.79998168889431442"/>
        </patternFill>
      </fill>
      <border outline="0">
        <right/>
      </border>
      <protection hidden="1"/>
    </odxf>
    <ndxf>
      <numFmt numFmtId="2" formatCode="0.00"/>
      <fill>
        <patternFill>
          <bgColor theme="0"/>
        </patternFill>
      </fill>
      <border outline="0">
        <right style="thin">
          <color indexed="64"/>
        </right>
      </border>
      <protection hidden="0"/>
    </ndxf>
  </rcc>
  <rcc rId="9449" sId="9" odxf="1" dxf="1">
    <oc r="T61">
      <f>T62</f>
    </oc>
    <nc r="T61">
      <f>T62</f>
    </nc>
    <odxf>
      <numFmt numFmtId="4" formatCode="#,##0.00"/>
      <fill>
        <patternFill>
          <bgColor theme="7" tint="0.79998168889431442"/>
        </patternFill>
      </fill>
    </odxf>
    <ndxf>
      <numFmt numFmtId="2" formatCode="0.00"/>
      <fill>
        <patternFill>
          <bgColor theme="0"/>
        </patternFill>
      </fill>
    </ndxf>
  </rcc>
  <rfmt sheetId="9" sqref="U61" start="0" length="0">
    <dxf>
      <numFmt numFmtId="2" formatCode="0.00"/>
      <fill>
        <patternFill>
          <bgColor theme="0"/>
        </patternFill>
      </fill>
    </dxf>
  </rfmt>
  <rcc rId="9450" sId="9" odxf="1" dxf="1">
    <oc r="V61">
      <f>V62</f>
    </oc>
    <nc r="V61">
      <f>V62</f>
    </nc>
    <odxf>
      <numFmt numFmtId="4" formatCode="#,##0.00"/>
      <fill>
        <patternFill>
          <bgColor theme="7" tint="0.79998168889431442"/>
        </patternFill>
      </fill>
    </odxf>
    <ndxf>
      <numFmt numFmtId="2" formatCode="0.00"/>
      <fill>
        <patternFill>
          <bgColor theme="0"/>
        </patternFill>
      </fill>
    </ndxf>
  </rcc>
  <rfmt sheetId="9" sqref="W61" start="0" length="0">
    <dxf>
      <numFmt numFmtId="2" formatCode="0.00"/>
      <fill>
        <patternFill>
          <bgColor theme="0"/>
        </patternFill>
      </fill>
    </dxf>
  </rfmt>
  <rcc rId="9451" sId="9" odxf="1" dxf="1">
    <oc r="X61">
      <f>X62</f>
    </oc>
    <nc r="X61">
      <f>X62</f>
    </nc>
    <odxf>
      <numFmt numFmtId="4" formatCode="#,##0.00"/>
      <fill>
        <patternFill>
          <bgColor theme="7" tint="0.79998168889431442"/>
        </patternFill>
      </fill>
    </odxf>
    <ndxf>
      <numFmt numFmtId="2" formatCode="0.00"/>
      <fill>
        <patternFill>
          <bgColor theme="0"/>
        </patternFill>
      </fill>
    </ndxf>
  </rcc>
  <rfmt sheetId="9" sqref="Y61" start="0" length="0">
    <dxf>
      <numFmt numFmtId="2" formatCode="0.00"/>
      <fill>
        <patternFill>
          <bgColor theme="0"/>
        </patternFill>
      </fill>
    </dxf>
  </rfmt>
  <rcc rId="9452" sId="9" odxf="1" dxf="1">
    <oc r="Z61">
      <f>Z62</f>
    </oc>
    <nc r="Z61">
      <f>Z62</f>
    </nc>
    <odxf>
      <numFmt numFmtId="4" formatCode="#,##0.00"/>
      <fill>
        <patternFill>
          <bgColor theme="7" tint="0.79998168889431442"/>
        </patternFill>
      </fill>
    </odxf>
    <ndxf>
      <numFmt numFmtId="2" formatCode="0.00"/>
      <fill>
        <patternFill>
          <bgColor theme="0"/>
        </patternFill>
      </fill>
    </ndxf>
  </rcc>
  <rfmt sheetId="9" sqref="AA61" start="0" length="0">
    <dxf>
      <numFmt numFmtId="2" formatCode="0.00"/>
      <fill>
        <patternFill>
          <bgColor theme="0"/>
        </patternFill>
      </fill>
    </dxf>
  </rfmt>
  <rcc rId="9453" sId="9" odxf="1" dxf="1">
    <oc r="AB61">
      <f>AB62</f>
    </oc>
    <nc r="AB61">
      <f>AB62</f>
    </nc>
    <odxf>
      <numFmt numFmtId="4" formatCode="#,##0.00"/>
      <fill>
        <patternFill>
          <bgColor theme="7" tint="0.79998168889431442"/>
        </patternFill>
      </fill>
    </odxf>
    <ndxf>
      <numFmt numFmtId="2" formatCode="0.00"/>
      <fill>
        <patternFill>
          <bgColor theme="0"/>
        </patternFill>
      </fill>
    </ndxf>
  </rcc>
  <rfmt sheetId="9" sqref="AC61" start="0" length="0">
    <dxf>
      <numFmt numFmtId="2" formatCode="0.00"/>
      <fill>
        <patternFill>
          <bgColor theme="0"/>
        </patternFill>
      </fill>
    </dxf>
  </rfmt>
  <rcc rId="9454" sId="9" odxf="1" dxf="1">
    <oc r="AD61">
      <f>AD62</f>
    </oc>
    <nc r="AD61">
      <f>AD62</f>
    </nc>
    <odxf>
      <numFmt numFmtId="4" formatCode="#,##0.00"/>
      <fill>
        <patternFill>
          <bgColor theme="7" tint="0.79998168889431442"/>
        </patternFill>
      </fill>
    </odxf>
    <ndxf>
      <numFmt numFmtId="2" formatCode="0.00"/>
      <fill>
        <patternFill>
          <bgColor theme="0"/>
        </patternFill>
      </fill>
    </ndxf>
  </rcc>
  <rfmt sheetId="9" sqref="AE61" start="0" length="0">
    <dxf>
      <numFmt numFmtId="2" formatCode="0.00"/>
      <fill>
        <patternFill>
          <bgColor theme="0"/>
        </patternFill>
      </fill>
    </dxf>
  </rfmt>
  <rcc rId="9455" sId="9" odxf="1" dxf="1">
    <nc r="AF61" t="inlineStr">
      <is>
        <t xml:space="preserve">Предоставление неисключительных прав на использование программного обеспечения по защите информации
«Компонент Device Control программного комплекса «Кибер Протего» (с дополнительной лицензией Компонента Search Server программного комплекса «Кибер Протего» на 116 рабочих мест
</t>
      </is>
    </nc>
    <odxf>
      <font>
        <b/>
        <sz val="9"/>
        <name val="Times New Roman"/>
        <scheme val="none"/>
      </font>
      <fill>
        <patternFill patternType="solid">
          <bgColor theme="7" tint="0.79998168889431442"/>
        </patternFill>
      </fill>
      <alignment horizontal="general" readingOrder="0"/>
      <border outline="0">
        <bottom style="thin">
          <color indexed="64"/>
        </bottom>
      </border>
    </odxf>
    <ndxf>
      <font>
        <b val="0"/>
        <sz val="9"/>
        <name val="Times New Roman"/>
        <scheme val="none"/>
      </font>
      <fill>
        <patternFill patternType="none">
          <bgColor indexed="65"/>
        </patternFill>
      </fill>
      <alignment horizontal="center" readingOrder="0"/>
      <border outline="0">
        <bottom/>
      </border>
    </ndxf>
  </rcc>
  <rcc rId="9456" sId="9" odxf="1" dxf="1">
    <oc r="B62">
      <f>B63+B64+B65+B66</f>
    </oc>
    <nc r="B62">
      <f>B63+B64+B65+B66</f>
    </nc>
    <odxf>
      <numFmt numFmtId="4" formatCode="#,##0.00"/>
      <fill>
        <patternFill>
          <bgColor theme="7" tint="0.79998168889431442"/>
        </patternFill>
      </fill>
    </odxf>
    <ndxf>
      <numFmt numFmtId="2" formatCode="0.00"/>
      <fill>
        <patternFill>
          <bgColor theme="0"/>
        </patternFill>
      </fill>
    </ndxf>
  </rcc>
  <rcc rId="9457" sId="9" odxf="1" dxf="1">
    <oc r="C62">
      <f>C63+C64+C65+C66</f>
    </oc>
    <nc r="C62">
      <f>C63+C64+C65+C66</f>
    </nc>
    <odxf>
      <numFmt numFmtId="4" formatCode="#,##0.00"/>
      <fill>
        <patternFill>
          <bgColor theme="7" tint="0.79998168889431442"/>
        </patternFill>
      </fill>
    </odxf>
    <ndxf>
      <numFmt numFmtId="2" formatCode="0.00"/>
      <fill>
        <patternFill>
          <bgColor theme="0"/>
        </patternFill>
      </fill>
    </ndxf>
  </rcc>
  <rcc rId="9458" sId="9" odxf="1" dxf="1">
    <oc r="D62">
      <f>D63+D64+D65+D66</f>
    </oc>
    <nc r="D62">
      <f>E62</f>
    </nc>
    <odxf>
      <numFmt numFmtId="4" formatCode="#,##0.00"/>
      <fill>
        <patternFill>
          <bgColor theme="7" tint="0.79998168889431442"/>
        </patternFill>
      </fill>
    </odxf>
    <ndxf>
      <numFmt numFmtId="2" formatCode="0.00"/>
      <fill>
        <patternFill>
          <bgColor theme="0"/>
        </patternFill>
      </fill>
    </ndxf>
  </rcc>
  <rcc rId="9459" sId="9" odxf="1" dxf="1">
    <oc r="E62">
      <f>E63+E64+E65+E66</f>
    </oc>
    <nc r="E62">
      <f>E63+E64+E65+E66</f>
    </nc>
    <odxf>
      <numFmt numFmtId="4" formatCode="#,##0.00"/>
      <fill>
        <patternFill>
          <bgColor theme="7" tint="0.79998168889431442"/>
        </patternFill>
      </fill>
    </odxf>
    <ndxf>
      <numFmt numFmtId="2" formatCode="0.00"/>
      <fill>
        <patternFill>
          <bgColor theme="0"/>
        </patternFill>
      </fill>
    </ndxf>
  </rcc>
  <rcc rId="9460" sId="9" odxf="1" dxf="1" numFmtId="4">
    <oc r="F62">
      <v>0</v>
    </oc>
    <nc r="F62">
      <f>F63+F64+F65+F66</f>
    </nc>
    <odxf>
      <numFmt numFmtId="4" formatCode="#,##0.00"/>
      <fill>
        <patternFill>
          <bgColor theme="7" tint="0.79998168889431442"/>
        </patternFill>
      </fill>
    </odxf>
    <ndxf>
      <numFmt numFmtId="2" formatCode="0.00"/>
      <fill>
        <patternFill>
          <bgColor theme="9" tint="0.79998168889431442"/>
        </patternFill>
      </fill>
    </ndxf>
  </rcc>
  <rcc rId="9461" sId="9" odxf="1" dxf="1" numFmtId="4">
    <oc r="G62">
      <v>0</v>
    </oc>
    <nc r="G62">
      <f>E62/C62*100</f>
    </nc>
    <odxf>
      <numFmt numFmtId="4" formatCode="#,##0.00"/>
      <fill>
        <patternFill>
          <bgColor theme="7" tint="0.79998168889431442"/>
        </patternFill>
      </fill>
    </odxf>
    <ndxf>
      <numFmt numFmtId="2" formatCode="0.00"/>
      <fill>
        <patternFill>
          <bgColor theme="9" tint="0.79998168889431442"/>
        </patternFill>
      </fill>
    </ndxf>
  </rcc>
  <rcc rId="9462" sId="9" odxf="1" dxf="1">
    <oc r="H62">
      <f>H63+H64+H65+H66</f>
    </oc>
    <nc r="H62">
      <f>H63+H64+H65+H66</f>
    </nc>
    <odxf>
      <numFmt numFmtId="4" formatCode="#,##0.00"/>
      <fill>
        <patternFill>
          <bgColor theme="7" tint="0.79998168889431442"/>
        </patternFill>
      </fill>
    </odxf>
    <ndxf>
      <numFmt numFmtId="2" formatCode="0.00"/>
      <fill>
        <patternFill>
          <bgColor theme="0"/>
        </patternFill>
      </fill>
    </ndxf>
  </rcc>
  <rcc rId="9463" sId="9" odxf="1" dxf="1">
    <oc r="I62">
      <f>I63+I64+I65+I66</f>
    </oc>
    <nc r="I62">
      <f>I63+I64+I65+I66</f>
    </nc>
    <odxf>
      <numFmt numFmtId="4" formatCode="#,##0.00"/>
      <fill>
        <patternFill>
          <bgColor theme="7" tint="0.79998168889431442"/>
        </patternFill>
      </fill>
    </odxf>
    <ndxf>
      <numFmt numFmtId="2" formatCode="0.00"/>
      <fill>
        <patternFill>
          <bgColor theme="0"/>
        </patternFill>
      </fill>
    </ndxf>
  </rcc>
  <rcc rId="9464" sId="9" odxf="1" dxf="1">
    <oc r="J62">
      <f>J63+J64+J65+J66</f>
    </oc>
    <nc r="J62">
      <f>J63+J64+J65+J66</f>
    </nc>
    <odxf>
      <numFmt numFmtId="4" formatCode="#,##0.00"/>
      <fill>
        <patternFill>
          <bgColor theme="7" tint="0.79998168889431442"/>
        </patternFill>
      </fill>
    </odxf>
    <ndxf>
      <numFmt numFmtId="2" formatCode="0.00"/>
      <fill>
        <patternFill>
          <bgColor theme="0"/>
        </patternFill>
      </fill>
    </ndxf>
  </rcc>
  <rcc rId="9465" sId="9" odxf="1" dxf="1">
    <oc r="K62">
      <f>K63+K64+K65+K66</f>
    </oc>
    <nc r="K62">
      <f>K63+K64+K65+K66</f>
    </nc>
    <odxf>
      <numFmt numFmtId="4" formatCode="#,##0.00"/>
      <fill>
        <patternFill>
          <bgColor theme="7" tint="0.79998168889431442"/>
        </patternFill>
      </fill>
    </odxf>
    <ndxf>
      <numFmt numFmtId="2" formatCode="0.00"/>
      <fill>
        <patternFill>
          <bgColor theme="0"/>
        </patternFill>
      </fill>
    </ndxf>
  </rcc>
  <rcc rId="9466" sId="9" odxf="1" dxf="1">
    <oc r="L62">
      <f>L63+L64+L65+L66</f>
    </oc>
    <nc r="L62">
      <f>L63+L64+L65+L66</f>
    </nc>
    <odxf>
      <numFmt numFmtId="4" formatCode="#,##0.00"/>
      <fill>
        <patternFill>
          <bgColor theme="7" tint="0.79998168889431442"/>
        </patternFill>
      </fill>
    </odxf>
    <ndxf>
      <numFmt numFmtId="2" formatCode="0.00"/>
      <fill>
        <patternFill>
          <bgColor theme="0"/>
        </patternFill>
      </fill>
    </ndxf>
  </rcc>
  <rcc rId="9467" sId="9" odxf="1" dxf="1">
    <nc r="M62">
      <f>M63+M64+M65+M66</f>
    </nc>
    <odxf>
      <numFmt numFmtId="4" formatCode="#,##0.00"/>
      <fill>
        <patternFill>
          <bgColor theme="7" tint="0.79998168889431442"/>
        </patternFill>
      </fill>
    </odxf>
    <ndxf>
      <numFmt numFmtId="2" formatCode="0.00"/>
      <fill>
        <patternFill>
          <bgColor theme="0"/>
        </patternFill>
      </fill>
    </ndxf>
  </rcc>
  <rcc rId="9468" sId="9" odxf="1" dxf="1">
    <oc r="N62">
      <f>N63+N64+N65+N66</f>
    </oc>
    <nc r="N62">
      <f>N63+N64+N65+N66</f>
    </nc>
    <odxf>
      <numFmt numFmtId="4" formatCode="#,##0.00"/>
      <fill>
        <patternFill>
          <bgColor theme="7" tint="0.79998168889431442"/>
        </patternFill>
      </fill>
    </odxf>
    <ndxf>
      <numFmt numFmtId="2" formatCode="0.00"/>
      <fill>
        <patternFill>
          <bgColor theme="0"/>
        </patternFill>
      </fill>
    </ndxf>
  </rcc>
  <rcc rId="9469" sId="9" odxf="1" dxf="1">
    <nc r="O62">
      <f>O63+O64+O65+O66</f>
    </nc>
    <odxf>
      <numFmt numFmtId="4" formatCode="#,##0.00"/>
      <fill>
        <patternFill>
          <bgColor theme="7" tint="0.79998168889431442"/>
        </patternFill>
      </fill>
    </odxf>
    <ndxf>
      <numFmt numFmtId="2" formatCode="0.00"/>
      <fill>
        <patternFill>
          <bgColor theme="0"/>
        </patternFill>
      </fill>
    </ndxf>
  </rcc>
  <rcc rId="9470" sId="9" odxf="1" dxf="1">
    <oc r="P62">
      <f>P63+P64+P65+P66</f>
    </oc>
    <nc r="P62">
      <f>P63+P64+P65+P66</f>
    </nc>
    <odxf>
      <numFmt numFmtId="4" formatCode="#,##0.00"/>
      <fill>
        <patternFill>
          <bgColor theme="7" tint="0.79998168889431442"/>
        </patternFill>
      </fill>
    </odxf>
    <ndxf>
      <numFmt numFmtId="2" formatCode="0.00"/>
      <fill>
        <patternFill>
          <bgColor theme="0"/>
        </patternFill>
      </fill>
    </ndxf>
  </rcc>
  <rcc rId="9471" sId="9" odxf="1" dxf="1">
    <nc r="Q62">
      <f>Q63+Q64+Q65+Q66</f>
    </nc>
    <odxf>
      <numFmt numFmtId="4" formatCode="#,##0.00"/>
      <fill>
        <patternFill>
          <bgColor theme="7" tint="0.79998168889431442"/>
        </patternFill>
      </fill>
    </odxf>
    <ndxf>
      <numFmt numFmtId="2" formatCode="0.00"/>
      <fill>
        <patternFill>
          <bgColor theme="0"/>
        </patternFill>
      </fill>
    </ndxf>
  </rcc>
  <rcc rId="9472" sId="9" odxf="1" dxf="1">
    <oc r="R62">
      <f>R63+R64+R65+R66</f>
    </oc>
    <nc r="R62">
      <f>R63+R64+R65+R66</f>
    </nc>
    <odxf>
      <numFmt numFmtId="4" formatCode="#,##0.00"/>
      <fill>
        <patternFill>
          <bgColor theme="7" tint="0.79998168889431442"/>
        </patternFill>
      </fill>
    </odxf>
    <ndxf>
      <numFmt numFmtId="2" formatCode="0.00"/>
      <fill>
        <patternFill>
          <bgColor theme="0"/>
        </patternFill>
      </fill>
    </ndxf>
  </rcc>
  <rcc rId="9473" sId="9" odxf="1" dxf="1">
    <nc r="S62">
      <f>S63+S64+S65+S66</f>
    </nc>
    <odxf>
      <numFmt numFmtId="4" formatCode="#,##0.00"/>
      <fill>
        <patternFill>
          <bgColor theme="7" tint="0.79998168889431442"/>
        </patternFill>
      </fill>
    </odxf>
    <ndxf>
      <numFmt numFmtId="2" formatCode="0.00"/>
      <fill>
        <patternFill>
          <bgColor theme="0"/>
        </patternFill>
      </fill>
    </ndxf>
  </rcc>
  <rcc rId="9474" sId="9" odxf="1" dxf="1">
    <oc r="T62">
      <f>T63+T64+T65+T66</f>
    </oc>
    <nc r="T62">
      <f>T63+T64+T65+T66</f>
    </nc>
    <odxf>
      <numFmt numFmtId="4" formatCode="#,##0.00"/>
      <fill>
        <patternFill>
          <bgColor theme="7" tint="0.79998168889431442"/>
        </patternFill>
      </fill>
    </odxf>
    <ndxf>
      <numFmt numFmtId="2" formatCode="0.00"/>
      <fill>
        <patternFill>
          <bgColor theme="0"/>
        </patternFill>
      </fill>
    </ndxf>
  </rcc>
  <rfmt sheetId="9" sqref="U62" start="0" length="0">
    <dxf>
      <numFmt numFmtId="2" formatCode="0.00"/>
      <fill>
        <patternFill>
          <bgColor theme="0"/>
        </patternFill>
      </fill>
    </dxf>
  </rfmt>
  <rcc rId="9475" sId="9" odxf="1" dxf="1">
    <oc r="V62">
      <f>V63+V64+V65+V66</f>
    </oc>
    <nc r="V62">
      <f>V63+V64+V65+V66</f>
    </nc>
    <odxf>
      <numFmt numFmtId="4" formatCode="#,##0.00"/>
      <fill>
        <patternFill>
          <bgColor theme="7" tint="0.79998168889431442"/>
        </patternFill>
      </fill>
    </odxf>
    <ndxf>
      <numFmt numFmtId="2" formatCode="0.00"/>
      <fill>
        <patternFill>
          <bgColor theme="0"/>
        </patternFill>
      </fill>
    </ndxf>
  </rcc>
  <rfmt sheetId="9" sqref="W62" start="0" length="0">
    <dxf>
      <numFmt numFmtId="2" formatCode="0.00"/>
      <fill>
        <patternFill>
          <bgColor theme="0"/>
        </patternFill>
      </fill>
    </dxf>
  </rfmt>
  <rcc rId="9476" sId="9" odxf="1" dxf="1">
    <oc r="X62">
      <f>X63+X64+X65+X66</f>
    </oc>
    <nc r="X62">
      <f>X63+X64+X65+X66</f>
    </nc>
    <odxf>
      <numFmt numFmtId="4" formatCode="#,##0.00"/>
      <fill>
        <patternFill>
          <bgColor theme="7" tint="0.79998168889431442"/>
        </patternFill>
      </fill>
    </odxf>
    <ndxf>
      <numFmt numFmtId="2" formatCode="0.00"/>
      <fill>
        <patternFill>
          <bgColor theme="0"/>
        </patternFill>
      </fill>
    </ndxf>
  </rcc>
  <rfmt sheetId="9" sqref="Y62" start="0" length="0">
    <dxf>
      <numFmt numFmtId="2" formatCode="0.00"/>
      <fill>
        <patternFill>
          <bgColor theme="0"/>
        </patternFill>
      </fill>
    </dxf>
  </rfmt>
  <rcc rId="9477" sId="9" odxf="1" dxf="1">
    <oc r="Z62">
      <f>Z63+Z64+Z65+Z66</f>
    </oc>
    <nc r="Z62">
      <f>Z63+Z64+Z65+Z66</f>
    </nc>
    <odxf>
      <numFmt numFmtId="4" formatCode="#,##0.00"/>
      <fill>
        <patternFill>
          <bgColor theme="7" tint="0.79998168889431442"/>
        </patternFill>
      </fill>
    </odxf>
    <ndxf>
      <numFmt numFmtId="2" formatCode="0.00"/>
      <fill>
        <patternFill>
          <bgColor theme="0"/>
        </patternFill>
      </fill>
    </ndxf>
  </rcc>
  <rfmt sheetId="9" sqref="AA62" start="0" length="0">
    <dxf>
      <numFmt numFmtId="2" formatCode="0.00"/>
      <fill>
        <patternFill>
          <bgColor theme="0"/>
        </patternFill>
      </fill>
    </dxf>
  </rfmt>
  <rcc rId="9478" sId="9" odxf="1" dxf="1">
    <oc r="AB62">
      <f>AB63+AB64+AB65+AB66</f>
    </oc>
    <nc r="AB62">
      <f>AB63+AB64+AB65+AB66</f>
    </nc>
    <odxf>
      <numFmt numFmtId="4" formatCode="#,##0.00"/>
      <fill>
        <patternFill>
          <bgColor theme="7" tint="0.79998168889431442"/>
        </patternFill>
      </fill>
    </odxf>
    <ndxf>
      <numFmt numFmtId="2" formatCode="0.00"/>
      <fill>
        <patternFill>
          <bgColor theme="0"/>
        </patternFill>
      </fill>
    </ndxf>
  </rcc>
  <rfmt sheetId="9" sqref="AC62" start="0" length="0">
    <dxf>
      <numFmt numFmtId="2" formatCode="0.00"/>
      <fill>
        <patternFill>
          <bgColor theme="0"/>
        </patternFill>
      </fill>
    </dxf>
  </rfmt>
  <rcc rId="9479" sId="9" odxf="1" dxf="1">
    <oc r="AD62">
      <f>AD63+AD64+AD65+AD66</f>
    </oc>
    <nc r="AD62">
      <f>AD63+AD64+AD65+AD66</f>
    </nc>
    <odxf>
      <numFmt numFmtId="4" formatCode="#,##0.00"/>
      <fill>
        <patternFill>
          <bgColor theme="7" tint="0.79998168889431442"/>
        </patternFill>
      </fill>
    </odxf>
    <ndxf>
      <numFmt numFmtId="2" formatCode="0.00"/>
      <fill>
        <patternFill>
          <bgColor theme="0"/>
        </patternFill>
      </fill>
    </ndxf>
  </rcc>
  <rfmt sheetId="9" sqref="AE62" start="0" length="0">
    <dxf>
      <numFmt numFmtId="2" formatCode="0.00"/>
      <fill>
        <patternFill>
          <bgColor theme="0"/>
        </patternFill>
      </fill>
    </dxf>
  </rfmt>
  <rfmt sheetId="9" sqref="AF62" start="0" length="0">
    <dxf>
      <font>
        <b val="0"/>
        <sz val="9"/>
        <name val="Times New Roman"/>
        <scheme val="none"/>
      </font>
      <fill>
        <patternFill patternType="none">
          <bgColor indexed="65"/>
        </patternFill>
      </fill>
      <alignment horizontal="center" readingOrder="0"/>
      <border outline="0">
        <top/>
        <bottom/>
      </border>
    </dxf>
  </rfmt>
  <rcc rId="9480" sId="9" odxf="1" dxf="1">
    <oc r="B63">
      <f>H63+J63+L63+N63+P63+R63+T63+V63+X63+Z63+AB63+AD63</f>
    </oc>
    <nc r="B63">
      <f>H63+J63+L63+N63+P63+R63+T63+V63+X63+Z63+AB63+AD63</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481" sId="9" odxf="1" dxf="1">
    <oc r="C63">
      <f>H63+J63</f>
    </oc>
    <nc r="C63">
      <f>H63</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482" sId="9" odxf="1" dxf="1">
    <oc r="D63">
      <f>E63</f>
    </oc>
    <nc r="D63">
      <f>E63</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E63" start="0" length="0">
    <dxf>
      <font>
        <b/>
        <sz val="14"/>
        <name val="Times New Roman"/>
        <scheme val="none"/>
      </font>
      <numFmt numFmtId="2" formatCode="0.00"/>
      <fill>
        <patternFill>
          <bgColor theme="0"/>
        </patternFill>
      </fill>
    </dxf>
  </rfmt>
  <rfmt sheetId="9" sqref="F63" start="0" length="0">
    <dxf>
      <font>
        <b/>
        <sz val="14"/>
        <name val="Times New Roman"/>
        <scheme val="none"/>
      </font>
      <numFmt numFmtId="2" formatCode="0.00"/>
      <fill>
        <patternFill>
          <bgColor theme="9" tint="0.79998168889431442"/>
        </patternFill>
      </fill>
    </dxf>
  </rfmt>
  <rfmt sheetId="9" sqref="G63" start="0" length="0">
    <dxf>
      <font>
        <b/>
        <sz val="14"/>
        <name val="Times New Roman"/>
        <scheme val="none"/>
      </font>
      <numFmt numFmtId="2" formatCode="0.00"/>
      <fill>
        <patternFill>
          <bgColor theme="9" tint="0.79998168889431442"/>
        </patternFill>
      </fill>
    </dxf>
  </rfmt>
  <rfmt sheetId="9" sqref="H63" start="0" length="0">
    <dxf>
      <font>
        <b/>
        <sz val="14"/>
        <name val="Times New Roman"/>
        <scheme val="none"/>
      </font>
      <numFmt numFmtId="2" formatCode="0.00"/>
      <fill>
        <patternFill>
          <bgColor theme="0"/>
        </patternFill>
      </fill>
    </dxf>
  </rfmt>
  <rfmt sheetId="9" sqref="I63" start="0" length="0">
    <dxf>
      <font>
        <b/>
        <sz val="14"/>
        <name val="Times New Roman"/>
        <scheme val="none"/>
      </font>
      <numFmt numFmtId="2" formatCode="0.00"/>
      <fill>
        <patternFill>
          <bgColor theme="0"/>
        </patternFill>
      </fill>
    </dxf>
  </rfmt>
  <rfmt sheetId="9" sqref="J63" start="0" length="0">
    <dxf>
      <font>
        <b/>
        <sz val="14"/>
        <name val="Times New Roman"/>
        <scheme val="none"/>
      </font>
      <numFmt numFmtId="2" formatCode="0.00"/>
      <fill>
        <patternFill>
          <bgColor theme="0"/>
        </patternFill>
      </fill>
    </dxf>
  </rfmt>
  <rfmt sheetId="9" sqref="K63" start="0" length="0">
    <dxf>
      <font>
        <b/>
        <sz val="14"/>
        <name val="Times New Roman"/>
        <scheme val="none"/>
      </font>
      <numFmt numFmtId="2" formatCode="0.00"/>
      <fill>
        <patternFill>
          <bgColor theme="0"/>
        </patternFill>
      </fill>
    </dxf>
  </rfmt>
  <rcc rId="9483" sId="9" odxf="1" dxf="1" numFmtId="4">
    <nc r="L63">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484" sId="9" odxf="1" dxf="1" numFmtId="4">
    <nc r="M63">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485" sId="9" odxf="1" dxf="1" numFmtId="4">
    <nc r="N63">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486" sId="9" odxf="1" dxf="1" numFmtId="4">
    <nc r="O63">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487" sId="9" odxf="1" dxf="1" numFmtId="4">
    <nc r="P63">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488" sId="9" odxf="1" dxf="1" numFmtId="4">
    <nc r="Q63">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489" sId="9" odxf="1" dxf="1" numFmtId="4">
    <nc r="R63">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490" sId="9" odxf="1" dxf="1" numFmtId="4">
    <nc r="S63">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491" sId="9" odxf="1" dxf="1" numFmtId="4">
    <nc r="T63">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U63" start="0" length="0">
    <dxf>
      <font>
        <b/>
        <sz val="14"/>
        <name val="Times New Roman"/>
        <scheme val="none"/>
      </font>
      <numFmt numFmtId="2" formatCode="0.00"/>
      <fill>
        <patternFill>
          <bgColor theme="0"/>
        </patternFill>
      </fill>
    </dxf>
  </rfmt>
  <rcc rId="9492" sId="9" odxf="1" dxf="1" numFmtId="4">
    <nc r="V63">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W63" start="0" length="0">
    <dxf>
      <font>
        <b/>
        <sz val="14"/>
        <name val="Times New Roman"/>
        <scheme val="none"/>
      </font>
      <numFmt numFmtId="2" formatCode="0.00"/>
      <fill>
        <patternFill>
          <bgColor theme="0"/>
        </patternFill>
      </fill>
    </dxf>
  </rfmt>
  <rcc rId="9493" sId="9" odxf="1" dxf="1" numFmtId="4">
    <nc r="X63">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Y63" start="0" length="0">
    <dxf>
      <font>
        <b/>
        <sz val="14"/>
        <name val="Times New Roman"/>
        <scheme val="none"/>
      </font>
      <numFmt numFmtId="2" formatCode="0.00"/>
      <fill>
        <patternFill>
          <bgColor theme="0"/>
        </patternFill>
      </fill>
    </dxf>
  </rfmt>
  <rcc rId="9494" sId="9" odxf="1" dxf="1" numFmtId="4">
    <nc r="Z63">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A63" start="0" length="0">
    <dxf>
      <font>
        <b/>
        <sz val="14"/>
        <name val="Times New Roman"/>
        <scheme val="none"/>
      </font>
      <numFmt numFmtId="2" formatCode="0.00"/>
      <fill>
        <patternFill>
          <bgColor theme="0"/>
        </patternFill>
      </fill>
    </dxf>
  </rfmt>
  <rcc rId="9495" sId="9" odxf="1" dxf="1" numFmtId="4">
    <nc r="AB63">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C63" start="0" length="0">
    <dxf>
      <font>
        <b/>
        <sz val="14"/>
        <name val="Times New Roman"/>
        <scheme val="none"/>
      </font>
      <numFmt numFmtId="2" formatCode="0.00"/>
      <fill>
        <patternFill>
          <bgColor theme="0"/>
        </patternFill>
      </fill>
    </dxf>
  </rfmt>
  <rcc rId="9496" sId="9" odxf="1" dxf="1" numFmtId="4">
    <nc r="AD63">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E63" start="0" length="0">
    <dxf>
      <font>
        <b/>
        <sz val="14"/>
        <name val="Times New Roman"/>
        <scheme val="none"/>
      </font>
      <numFmt numFmtId="2" formatCode="0.00"/>
      <fill>
        <patternFill>
          <bgColor theme="0"/>
        </patternFill>
      </fill>
    </dxf>
  </rfmt>
  <rfmt sheetId="9" sqref="AF63" start="0" length="0">
    <dxf>
      <fill>
        <patternFill patternType="none">
          <bgColor indexed="65"/>
        </patternFill>
      </fill>
      <alignment horizontal="center" readingOrder="0"/>
      <border outline="0">
        <top/>
        <bottom/>
      </border>
    </dxf>
  </rfmt>
  <rcc rId="9497" sId="9" odxf="1" dxf="1">
    <oc r="B64">
      <f>H64+J64+L64+N64+P64+R64+T64+V64+X64+Z64+AB64+AD64</f>
    </oc>
    <nc r="B64">
      <f>H64+J64+L64+N64+P64+R64+T64+V64+X64+Z64+AB64+AD64</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498" sId="9" odxf="1" dxf="1">
    <oc r="C64">
      <f>H64+J64</f>
    </oc>
    <nc r="C64">
      <f>H64</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499" sId="9" odxf="1" dxf="1">
    <oc r="D64">
      <f>E64</f>
    </oc>
    <nc r="D64">
      <f>E64</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E64" start="0" length="0">
    <dxf>
      <font>
        <b/>
        <sz val="14"/>
        <name val="Times New Roman"/>
        <scheme val="none"/>
      </font>
      <numFmt numFmtId="2" formatCode="0.00"/>
      <fill>
        <patternFill>
          <bgColor theme="0"/>
        </patternFill>
      </fill>
    </dxf>
  </rfmt>
  <rfmt sheetId="9" sqref="F64" start="0" length="0">
    <dxf>
      <font>
        <b/>
        <sz val="14"/>
        <name val="Times New Roman"/>
        <scheme val="none"/>
      </font>
      <numFmt numFmtId="2" formatCode="0.00"/>
      <fill>
        <patternFill>
          <bgColor theme="9" tint="0.79998168889431442"/>
        </patternFill>
      </fill>
    </dxf>
  </rfmt>
  <rfmt sheetId="9" sqref="G64" start="0" length="0">
    <dxf>
      <font>
        <b/>
        <sz val="14"/>
        <name val="Times New Roman"/>
        <scheme val="none"/>
      </font>
      <numFmt numFmtId="2" formatCode="0.00"/>
      <fill>
        <patternFill>
          <bgColor theme="9" tint="0.79998168889431442"/>
        </patternFill>
      </fill>
    </dxf>
  </rfmt>
  <rfmt sheetId="9" sqref="H64" start="0" length="0">
    <dxf>
      <font>
        <b/>
        <sz val="14"/>
        <name val="Times New Roman"/>
        <scheme val="none"/>
      </font>
      <numFmt numFmtId="2" formatCode="0.00"/>
      <fill>
        <patternFill>
          <bgColor theme="0"/>
        </patternFill>
      </fill>
    </dxf>
  </rfmt>
  <rfmt sheetId="9" sqref="I64" start="0" length="0">
    <dxf>
      <font>
        <b/>
        <sz val="14"/>
        <name val="Times New Roman"/>
        <scheme val="none"/>
      </font>
      <numFmt numFmtId="2" formatCode="0.00"/>
      <fill>
        <patternFill>
          <bgColor theme="0"/>
        </patternFill>
      </fill>
    </dxf>
  </rfmt>
  <rfmt sheetId="9" sqref="J64" start="0" length="0">
    <dxf>
      <font>
        <b/>
        <sz val="14"/>
        <name val="Times New Roman"/>
        <scheme val="none"/>
      </font>
      <numFmt numFmtId="2" formatCode="0.00"/>
      <fill>
        <patternFill>
          <bgColor theme="0"/>
        </patternFill>
      </fill>
    </dxf>
  </rfmt>
  <rfmt sheetId="9" sqref="K64" start="0" length="0">
    <dxf>
      <font>
        <b/>
        <sz val="14"/>
        <name val="Times New Roman"/>
        <scheme val="none"/>
      </font>
      <numFmt numFmtId="2" formatCode="0.00"/>
      <fill>
        <patternFill>
          <bgColor theme="0"/>
        </patternFill>
      </fill>
    </dxf>
  </rfmt>
  <rcc rId="9500" sId="9" odxf="1" dxf="1" numFmtId="4">
    <nc r="L64">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501" sId="9" odxf="1" dxf="1" numFmtId="4">
    <nc r="M64">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502" sId="9" odxf="1" dxf="1" numFmtId="4">
    <nc r="N64">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503" sId="9" odxf="1" dxf="1" numFmtId="4">
    <nc r="O64">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504" sId="9" odxf="1" dxf="1" numFmtId="4">
    <nc r="P64">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505" sId="9" odxf="1" dxf="1" numFmtId="4">
    <nc r="Q64">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506" sId="9" odxf="1" dxf="1" numFmtId="4">
    <nc r="R64">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507" sId="9" odxf="1" dxf="1" numFmtId="4">
    <nc r="S64">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508" sId="9" odxf="1" dxf="1" numFmtId="4">
    <nc r="T64">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U64" start="0" length="0">
    <dxf>
      <font>
        <b/>
        <sz val="14"/>
        <name val="Times New Roman"/>
        <scheme val="none"/>
      </font>
      <numFmt numFmtId="2" formatCode="0.00"/>
      <fill>
        <patternFill>
          <bgColor theme="0"/>
        </patternFill>
      </fill>
    </dxf>
  </rfmt>
  <rcc rId="9509" sId="9" odxf="1" dxf="1" numFmtId="4">
    <nc r="V64">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W64" start="0" length="0">
    <dxf>
      <font>
        <b/>
        <sz val="14"/>
        <name val="Times New Roman"/>
        <scheme val="none"/>
      </font>
      <numFmt numFmtId="2" formatCode="0.00"/>
      <fill>
        <patternFill>
          <bgColor theme="0"/>
        </patternFill>
      </fill>
    </dxf>
  </rfmt>
  <rcc rId="9510" sId="9" odxf="1" dxf="1" numFmtId="4">
    <nc r="X64">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Y64" start="0" length="0">
    <dxf>
      <font>
        <b/>
        <sz val="14"/>
        <name val="Times New Roman"/>
        <scheme val="none"/>
      </font>
      <numFmt numFmtId="2" formatCode="0.00"/>
      <fill>
        <patternFill>
          <bgColor theme="0"/>
        </patternFill>
      </fill>
    </dxf>
  </rfmt>
  <rcc rId="9511" sId="9" odxf="1" dxf="1" numFmtId="4">
    <nc r="Z64">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A64" start="0" length="0">
    <dxf>
      <font>
        <b/>
        <sz val="14"/>
        <name val="Times New Roman"/>
        <scheme val="none"/>
      </font>
      <numFmt numFmtId="2" formatCode="0.00"/>
      <fill>
        <patternFill>
          <bgColor theme="0"/>
        </patternFill>
      </fill>
    </dxf>
  </rfmt>
  <rcc rId="9512" sId="9" odxf="1" dxf="1" numFmtId="4">
    <nc r="AB64">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C64" start="0" length="0">
    <dxf>
      <font>
        <b/>
        <sz val="14"/>
        <name val="Times New Roman"/>
        <scheme val="none"/>
      </font>
      <numFmt numFmtId="2" formatCode="0.00"/>
      <fill>
        <patternFill>
          <bgColor theme="0"/>
        </patternFill>
      </fill>
    </dxf>
  </rfmt>
  <rcc rId="9513" sId="9" odxf="1" dxf="1" numFmtId="4">
    <nc r="AD64">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E64" start="0" length="0">
    <dxf>
      <font>
        <b/>
        <sz val="14"/>
        <name val="Times New Roman"/>
        <scheme val="none"/>
      </font>
      <numFmt numFmtId="2" formatCode="0.00"/>
      <fill>
        <patternFill>
          <bgColor theme="0"/>
        </patternFill>
      </fill>
    </dxf>
  </rfmt>
  <rfmt sheetId="9" sqref="AF64" start="0" length="0">
    <dxf>
      <fill>
        <patternFill patternType="none">
          <bgColor indexed="65"/>
        </patternFill>
      </fill>
      <alignment horizontal="center" readingOrder="0"/>
      <border outline="0">
        <top/>
        <bottom/>
      </border>
    </dxf>
  </rfmt>
  <rcc rId="9514" sId="9" odxf="1" dxf="1">
    <oc r="B65">
      <f>H65+J65+L65+N65+P65+R65+T65+V65+X65+Z65+AB65+AD65</f>
    </oc>
    <nc r="B65">
      <f>H65+J65+L65+N65+P65+R65+T65+V65+X65+Z65+AB65+AD65</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515" sId="9" odxf="1" dxf="1">
    <oc r="C65">
      <f>H65+J65</f>
    </oc>
    <nc r="C65">
      <f>H65+J65+L65+N65+P65+R65</f>
    </nc>
    <odxf>
      <font>
        <b val="0"/>
        <sz val="14"/>
        <name val="Times New Roman"/>
        <scheme val="none"/>
      </font>
      <numFmt numFmtId="4" formatCode="#,##0.00"/>
      <fill>
        <patternFill>
          <bgColor theme="7" tint="0.79998168889431442"/>
        </patternFill>
      </fill>
      <border outline="0">
        <right style="thin">
          <color indexed="64"/>
        </right>
      </border>
    </odxf>
    <ndxf>
      <font>
        <b/>
        <sz val="14"/>
        <name val="Times New Roman"/>
        <scheme val="none"/>
      </font>
      <numFmt numFmtId="2" formatCode="0.00"/>
      <fill>
        <patternFill>
          <bgColor theme="0"/>
        </patternFill>
      </fill>
      <border outline="0">
        <right/>
      </border>
    </ndxf>
  </rcc>
  <rcc rId="9516" sId="9" odxf="1" dxf="1">
    <oc r="D65">
      <f>E65</f>
    </oc>
    <nc r="D65">
      <f>E65</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517" sId="9" odxf="1" dxf="1">
    <oc r="E65">
      <f>I65</f>
    </oc>
    <nc r="E65">
      <f>I65+K65+M65+O65+Q65+S65</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518" sId="9" odxf="1" dxf="1">
    <oc r="F65">
      <f>E65/B65*100</f>
    </oc>
    <nc r="F65">
      <f>E65/B65*100</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9" tint="0.79998168889431442"/>
        </patternFill>
      </fill>
    </ndxf>
  </rcc>
  <rcc rId="9519" sId="9" odxf="1" dxf="1" numFmtId="4">
    <oc r="G65">
      <v>0</v>
    </oc>
    <nc r="G65">
      <f>E65/C65*100</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9" tint="0.79998168889431442"/>
        </patternFill>
      </fill>
    </ndxf>
  </rcc>
  <rfmt sheetId="9" sqref="H65" start="0" length="0">
    <dxf>
      <font>
        <b/>
        <sz val="14"/>
        <name val="Times New Roman"/>
        <scheme val="none"/>
      </font>
      <numFmt numFmtId="2" formatCode="0.00"/>
      <fill>
        <patternFill>
          <bgColor theme="0"/>
        </patternFill>
      </fill>
    </dxf>
  </rfmt>
  <rfmt sheetId="9" sqref="I65" start="0" length="0">
    <dxf>
      <font>
        <b/>
        <sz val="14"/>
        <name val="Times New Roman"/>
        <scheme val="none"/>
      </font>
      <numFmt numFmtId="2" formatCode="0.00"/>
      <fill>
        <patternFill>
          <bgColor theme="0"/>
        </patternFill>
      </fill>
    </dxf>
  </rfmt>
  <rcc rId="9520" sId="9" odxf="1" dxf="1" numFmtId="4">
    <oc r="J65">
      <v>5.48</v>
    </oc>
    <nc r="J65">
      <v>5.4749999999999996</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K65" start="0" length="0">
    <dxf>
      <font>
        <b/>
        <sz val="14"/>
        <name val="Times New Roman"/>
        <scheme val="none"/>
      </font>
      <numFmt numFmtId="2" formatCode="0.00"/>
      <fill>
        <patternFill>
          <bgColor theme="0"/>
        </patternFill>
      </fill>
    </dxf>
  </rfmt>
  <rfmt sheetId="9" sqref="L65" start="0" length="0">
    <dxf>
      <font>
        <b/>
        <sz val="14"/>
        <name val="Times New Roman"/>
        <scheme val="none"/>
      </font>
      <numFmt numFmtId="2" formatCode="0.00"/>
      <fill>
        <patternFill>
          <bgColor theme="0"/>
        </patternFill>
      </fill>
    </dxf>
  </rfmt>
  <rcc rId="9521" sId="9" odxf="1" dxf="1" numFmtId="4">
    <nc r="M65">
      <v>232.875</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522" sId="9" odxf="1" dxf="1" numFmtId="4">
    <nc r="N65">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523" sId="9" odxf="1" dxf="1" numFmtId="4">
    <nc r="O65">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524" sId="9" odxf="1" dxf="1" numFmtId="4">
    <oc r="P65">
      <v>242.8</v>
    </oc>
    <nc r="P65">
      <v>237.32499999999999</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525" sId="9" odxf="1" dxf="1" numFmtId="4">
    <nc r="Q65">
      <v>310.08499999999998</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526" sId="9" odxf="1" dxf="1" numFmtId="4">
    <nc r="R65">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527" sId="9" odxf="1" dxf="1" numFmtId="4">
    <nc r="S65">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528" sId="9" odxf="1" dxf="1" numFmtId="4">
    <nc r="T65">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U65" start="0" length="0">
    <dxf>
      <font>
        <b/>
        <sz val="14"/>
        <name val="Times New Roman"/>
        <scheme val="none"/>
      </font>
      <numFmt numFmtId="2" formatCode="0.00"/>
      <fill>
        <patternFill>
          <bgColor theme="0"/>
        </patternFill>
      </fill>
    </dxf>
  </rfmt>
  <rcc rId="9529" sId="9" odxf="1" dxf="1" numFmtId="4">
    <nc r="V65">
      <v>198.90048999999999</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W65" start="0" length="0">
    <dxf>
      <font>
        <b/>
        <sz val="14"/>
        <name val="Times New Roman"/>
        <scheme val="none"/>
      </font>
      <numFmt numFmtId="2" formatCode="0.00"/>
      <fill>
        <patternFill>
          <bgColor theme="0"/>
        </patternFill>
      </fill>
    </dxf>
  </rfmt>
  <rcc rId="9530" sId="9" odxf="1" dxf="1" numFmtId="4">
    <oc r="X65">
      <v>200.2</v>
    </oc>
    <nc r="X65">
      <v>1.2995099999999999</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Y65" start="0" length="0">
    <dxf>
      <font>
        <b/>
        <sz val="14"/>
        <name val="Times New Roman"/>
        <scheme val="none"/>
      </font>
      <numFmt numFmtId="2" formatCode="0.00"/>
      <fill>
        <patternFill>
          <bgColor theme="0"/>
        </patternFill>
      </fill>
    </dxf>
  </rfmt>
  <rcc rId="9531" sId="9" odxf="1" dxf="1" numFmtId="4">
    <nc r="Z65">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A65" start="0" length="0">
    <dxf>
      <font>
        <b/>
        <sz val="14"/>
        <name val="Times New Roman"/>
        <scheme val="none"/>
      </font>
      <numFmt numFmtId="2" formatCode="0.00"/>
      <fill>
        <patternFill>
          <bgColor theme="0"/>
        </patternFill>
      </fill>
    </dxf>
  </rfmt>
  <rcc rId="9532" sId="9" odxf="1" dxf="1" numFmtId="4">
    <nc r="AB65">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C65" start="0" length="0">
    <dxf>
      <font>
        <b/>
        <sz val="14"/>
        <name val="Times New Roman"/>
        <scheme val="none"/>
      </font>
      <numFmt numFmtId="2" formatCode="0.00"/>
      <fill>
        <patternFill>
          <bgColor theme="0"/>
        </patternFill>
      </fill>
    </dxf>
  </rfmt>
  <rcc rId="9533" sId="9" odxf="1" dxf="1" numFmtId="4">
    <nc r="AD65">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E65" start="0" length="0">
    <dxf>
      <font>
        <b/>
        <sz val="14"/>
        <name val="Times New Roman"/>
        <scheme val="none"/>
      </font>
      <numFmt numFmtId="2" formatCode="0.00"/>
      <fill>
        <patternFill>
          <bgColor theme="0"/>
        </patternFill>
      </fill>
    </dxf>
  </rfmt>
  <rfmt sheetId="9" sqref="AF65" start="0" length="0">
    <dxf>
      <fill>
        <patternFill patternType="none">
          <bgColor indexed="65"/>
        </patternFill>
      </fill>
      <alignment horizontal="center" readingOrder="0"/>
      <border outline="0">
        <top/>
        <bottom/>
      </border>
    </dxf>
  </rfmt>
  <rcc rId="9534" sId="9" odxf="1" dxf="1">
    <oc r="B66">
      <f>H66+J66+L66+N66+P66+R66+T66+V66+X66+Z66+AB66+AD66</f>
    </oc>
    <nc r="B66">
      <f>H66+J66+L66+N66+P66+R66+T66+V66+X66+Z66+AB66+AD66</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535" sId="9" odxf="1" dxf="1">
    <oc r="C66">
      <f>H66+J66</f>
    </oc>
    <nc r="C66">
      <f>H66</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536" sId="9" odxf="1" dxf="1">
    <oc r="D66">
      <f>E66</f>
    </oc>
    <nc r="D66">
      <f>E66</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E66" start="0" length="0">
    <dxf>
      <font>
        <b/>
        <sz val="14"/>
        <name val="Times New Roman"/>
        <scheme val="none"/>
      </font>
      <numFmt numFmtId="2" formatCode="0.00"/>
      <fill>
        <patternFill>
          <bgColor theme="0"/>
        </patternFill>
      </fill>
    </dxf>
  </rfmt>
  <rfmt sheetId="9" sqref="F66" start="0" length="0">
    <dxf>
      <font>
        <b/>
        <sz val="14"/>
        <name val="Times New Roman"/>
        <scheme val="none"/>
      </font>
      <numFmt numFmtId="2" formatCode="0.00"/>
      <fill>
        <patternFill>
          <bgColor theme="9" tint="0.79998168889431442"/>
        </patternFill>
      </fill>
    </dxf>
  </rfmt>
  <rfmt sheetId="9" sqref="G66" start="0" length="0">
    <dxf>
      <font>
        <b/>
        <sz val="14"/>
        <name val="Times New Roman"/>
        <scheme val="none"/>
      </font>
      <numFmt numFmtId="2" formatCode="0.00"/>
      <fill>
        <patternFill>
          <bgColor theme="9" tint="0.79998168889431442"/>
        </patternFill>
      </fill>
    </dxf>
  </rfmt>
  <rfmt sheetId="9" sqref="H66" start="0" length="0">
    <dxf>
      <font>
        <b/>
        <sz val="14"/>
        <name val="Times New Roman"/>
        <scheme val="none"/>
      </font>
      <numFmt numFmtId="2" formatCode="0.00"/>
      <fill>
        <patternFill>
          <bgColor theme="0"/>
        </patternFill>
      </fill>
    </dxf>
  </rfmt>
  <rfmt sheetId="9" sqref="I66" start="0" length="0">
    <dxf>
      <font>
        <b/>
        <sz val="14"/>
        <name val="Times New Roman"/>
        <scheme val="none"/>
      </font>
      <numFmt numFmtId="2" formatCode="0.00"/>
      <fill>
        <patternFill>
          <bgColor theme="0"/>
        </patternFill>
      </fill>
    </dxf>
  </rfmt>
  <rfmt sheetId="9" sqref="J66" start="0" length="0">
    <dxf>
      <font>
        <b/>
        <sz val="14"/>
        <name val="Times New Roman"/>
        <scheme val="none"/>
      </font>
      <numFmt numFmtId="2" formatCode="0.00"/>
      <fill>
        <patternFill>
          <bgColor theme="0"/>
        </patternFill>
      </fill>
    </dxf>
  </rfmt>
  <rfmt sheetId="9" sqref="K66" start="0" length="0">
    <dxf>
      <font>
        <b/>
        <sz val="14"/>
        <name val="Times New Roman"/>
        <scheme val="none"/>
      </font>
      <numFmt numFmtId="2" formatCode="0.00"/>
      <fill>
        <patternFill>
          <bgColor theme="0"/>
        </patternFill>
      </fill>
    </dxf>
  </rfmt>
  <rcc rId="9537" sId="9" odxf="1" dxf="1" numFmtId="4">
    <nc r="L66">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538" sId="9" odxf="1" dxf="1" numFmtId="4">
    <nc r="M66">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539" sId="9" odxf="1" dxf="1" numFmtId="4">
    <nc r="N66">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540" sId="9" odxf="1" dxf="1" numFmtId="4">
    <nc r="O66">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541" sId="9" odxf="1" dxf="1" numFmtId="4">
    <nc r="P66">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542" sId="9" odxf="1" dxf="1" numFmtId="4">
    <nc r="Q66">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543" sId="9" odxf="1" dxf="1" numFmtId="4">
    <nc r="R66">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544" sId="9" odxf="1" dxf="1" numFmtId="4">
    <nc r="S66">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545" sId="9" odxf="1" dxf="1" numFmtId="4">
    <nc r="T66">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U66" start="0" length="0">
    <dxf>
      <font>
        <b/>
        <sz val="14"/>
        <name val="Times New Roman"/>
        <scheme val="none"/>
      </font>
      <numFmt numFmtId="2" formatCode="0.00"/>
      <fill>
        <patternFill>
          <bgColor theme="0"/>
        </patternFill>
      </fill>
    </dxf>
  </rfmt>
  <rcc rId="9546" sId="9" odxf="1" dxf="1" numFmtId="4">
    <nc r="V66">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W66" start="0" length="0">
    <dxf>
      <font>
        <b/>
        <sz val="14"/>
        <name val="Times New Roman"/>
        <scheme val="none"/>
      </font>
      <numFmt numFmtId="2" formatCode="0.00"/>
      <fill>
        <patternFill>
          <bgColor theme="0"/>
        </patternFill>
      </fill>
    </dxf>
  </rfmt>
  <rcc rId="9547" sId="9" odxf="1" dxf="1" numFmtId="4">
    <nc r="X66">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Y66" start="0" length="0">
    <dxf>
      <font>
        <b/>
        <sz val="14"/>
        <name val="Times New Roman"/>
        <scheme val="none"/>
      </font>
      <numFmt numFmtId="2" formatCode="0.00"/>
      <fill>
        <patternFill>
          <bgColor theme="0"/>
        </patternFill>
      </fill>
    </dxf>
  </rfmt>
  <rcc rId="9548" sId="9" odxf="1" dxf="1" numFmtId="4">
    <nc r="Z66">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A66" start="0" length="0">
    <dxf>
      <font>
        <b/>
        <sz val="14"/>
        <name val="Times New Roman"/>
        <scheme val="none"/>
      </font>
      <numFmt numFmtId="2" formatCode="0.00"/>
      <fill>
        <patternFill>
          <bgColor theme="0"/>
        </patternFill>
      </fill>
    </dxf>
  </rfmt>
  <rcc rId="9549" sId="9" odxf="1" dxf="1" numFmtId="4">
    <nc r="AB66">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C66" start="0" length="0">
    <dxf>
      <font>
        <b/>
        <sz val="14"/>
        <name val="Times New Roman"/>
        <scheme val="none"/>
      </font>
      <numFmt numFmtId="2" formatCode="0.00"/>
      <fill>
        <patternFill>
          <bgColor theme="0"/>
        </patternFill>
      </fill>
    </dxf>
  </rfmt>
  <rcc rId="9550" sId="9" odxf="1" dxf="1" numFmtId="4">
    <nc r="AD66">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E66" start="0" length="0">
    <dxf>
      <font>
        <b/>
        <sz val="14"/>
        <name val="Times New Roman"/>
        <scheme val="none"/>
      </font>
      <numFmt numFmtId="2" formatCode="0.00"/>
      <fill>
        <patternFill>
          <bgColor theme="0"/>
        </patternFill>
      </fill>
    </dxf>
  </rfmt>
  <rfmt sheetId="9" sqref="AF66" start="0" length="0">
    <dxf>
      <fill>
        <patternFill patternType="none">
          <bgColor indexed="65"/>
        </patternFill>
      </fill>
      <alignment horizontal="center" readingOrder="0"/>
      <border outline="0">
        <top/>
      </border>
    </dxf>
  </rfmt>
  <rcc rId="9551" sId="9" odxf="1" dxf="1">
    <oc r="B67">
      <f>B68</f>
    </oc>
    <nc r="B67">
      <f>B68</f>
    </nc>
    <odxf>
      <numFmt numFmtId="4" formatCode="#,##0.00"/>
      <fill>
        <patternFill>
          <bgColor theme="7" tint="0.79998168889431442"/>
        </patternFill>
      </fill>
    </odxf>
    <ndxf>
      <numFmt numFmtId="2" formatCode="0.00"/>
      <fill>
        <patternFill>
          <bgColor theme="0"/>
        </patternFill>
      </fill>
    </ndxf>
  </rcc>
  <rcc rId="9552" sId="9" odxf="1" dxf="1">
    <oc r="C67">
      <f>C68</f>
    </oc>
    <nc r="C67">
      <f>C68</f>
    </nc>
    <odxf>
      <numFmt numFmtId="4" formatCode="#,##0.00"/>
      <fill>
        <patternFill>
          <bgColor theme="7" tint="0.79998168889431442"/>
        </patternFill>
      </fill>
    </odxf>
    <ndxf>
      <numFmt numFmtId="2" formatCode="0.00"/>
      <fill>
        <patternFill>
          <bgColor theme="0"/>
        </patternFill>
      </fill>
    </ndxf>
  </rcc>
  <rcc rId="9553" sId="9" odxf="1" dxf="1">
    <oc r="D67">
      <f>D68</f>
    </oc>
    <nc r="D67">
      <f>E67</f>
    </nc>
    <odxf>
      <numFmt numFmtId="4" formatCode="#,##0.00"/>
      <fill>
        <patternFill>
          <bgColor theme="7" tint="0.79998168889431442"/>
        </patternFill>
      </fill>
    </odxf>
    <ndxf>
      <numFmt numFmtId="2" formatCode="0.00"/>
      <fill>
        <patternFill>
          <bgColor theme="0"/>
        </patternFill>
      </fill>
    </ndxf>
  </rcc>
  <rcc rId="9554" sId="9" odxf="1" dxf="1">
    <oc r="E67">
      <f>E68</f>
    </oc>
    <nc r="E67">
      <f>E68</f>
    </nc>
    <odxf>
      <numFmt numFmtId="4" formatCode="#,##0.00"/>
      <fill>
        <patternFill>
          <bgColor theme="7" tint="0.79998168889431442"/>
        </patternFill>
      </fill>
    </odxf>
    <ndxf>
      <numFmt numFmtId="2" formatCode="0.00"/>
      <fill>
        <patternFill>
          <bgColor theme="0"/>
        </patternFill>
      </fill>
    </ndxf>
  </rcc>
  <rcc rId="9555" sId="9" odxf="1" dxf="1">
    <oc r="F67">
      <f>E67/B67*100</f>
    </oc>
    <nc r="F67">
      <f>E67/B67*100</f>
    </nc>
    <odxf>
      <numFmt numFmtId="4" formatCode="#,##0.00"/>
      <fill>
        <patternFill>
          <bgColor theme="7" tint="0.79998168889431442"/>
        </patternFill>
      </fill>
    </odxf>
    <ndxf>
      <numFmt numFmtId="2" formatCode="0.00"/>
      <fill>
        <patternFill>
          <bgColor theme="9" tint="0.79998168889431442"/>
        </patternFill>
      </fill>
    </ndxf>
  </rcc>
  <rcc rId="9556" sId="9" odxf="1" dxf="1">
    <oc r="G67">
      <f>E67/C67*100</f>
    </oc>
    <nc r="G67">
      <f>E67/C67*100</f>
    </nc>
    <odxf>
      <numFmt numFmtId="4" formatCode="#,##0.00"/>
      <fill>
        <patternFill>
          <bgColor theme="7" tint="0.79998168889431442"/>
        </patternFill>
      </fill>
    </odxf>
    <ndxf>
      <numFmt numFmtId="2" formatCode="0.00"/>
      <fill>
        <patternFill>
          <bgColor theme="9" tint="0.79998168889431442"/>
        </patternFill>
      </fill>
    </ndxf>
  </rcc>
  <rcc rId="9557" sId="9" odxf="1" dxf="1">
    <oc r="H67">
      <f>H68</f>
    </oc>
    <nc r="H67">
      <f>H68</f>
    </nc>
    <odxf>
      <numFmt numFmtId="4" formatCode="#,##0.00"/>
      <fill>
        <patternFill>
          <bgColor theme="7" tint="0.79998168889431442"/>
        </patternFill>
      </fill>
    </odxf>
    <ndxf>
      <numFmt numFmtId="2" formatCode="0.00"/>
      <fill>
        <patternFill>
          <bgColor theme="0"/>
        </patternFill>
      </fill>
    </ndxf>
  </rcc>
  <rcc rId="9558" sId="9" odxf="1" dxf="1">
    <oc r="I67">
      <f>I68</f>
    </oc>
    <nc r="I67">
      <f>I68</f>
    </nc>
    <odxf>
      <numFmt numFmtId="4" formatCode="#,##0.00"/>
      <fill>
        <patternFill>
          <bgColor theme="7" tint="0.79998168889431442"/>
        </patternFill>
      </fill>
    </odxf>
    <ndxf>
      <numFmt numFmtId="2" formatCode="0.00"/>
      <fill>
        <patternFill>
          <bgColor theme="0"/>
        </patternFill>
      </fill>
    </ndxf>
  </rcc>
  <rcc rId="9559" sId="9" odxf="1" dxf="1">
    <oc r="J67">
      <f>J68</f>
    </oc>
    <nc r="J67">
      <f>J68</f>
    </nc>
    <odxf>
      <numFmt numFmtId="4" formatCode="#,##0.00"/>
      <fill>
        <patternFill>
          <bgColor theme="7" tint="0.79998168889431442"/>
        </patternFill>
      </fill>
    </odxf>
    <ndxf>
      <numFmt numFmtId="2" formatCode="0.00"/>
      <fill>
        <patternFill>
          <bgColor theme="0"/>
        </patternFill>
      </fill>
    </ndxf>
  </rcc>
  <rcc rId="9560" sId="9" odxf="1" dxf="1">
    <oc r="K67">
      <f>K68</f>
    </oc>
    <nc r="K67">
      <f>K68</f>
    </nc>
    <odxf>
      <numFmt numFmtId="4" formatCode="#,##0.00"/>
      <fill>
        <patternFill>
          <bgColor theme="7" tint="0.79998168889431442"/>
        </patternFill>
      </fill>
    </odxf>
    <ndxf>
      <numFmt numFmtId="2" formatCode="0.00"/>
      <fill>
        <patternFill>
          <bgColor theme="0"/>
        </patternFill>
      </fill>
    </ndxf>
  </rcc>
  <rcc rId="9561" sId="9" odxf="1" dxf="1">
    <oc r="L67">
      <f>L68</f>
    </oc>
    <nc r="L67">
      <f>L68</f>
    </nc>
    <odxf>
      <numFmt numFmtId="4" formatCode="#,##0.00"/>
      <fill>
        <patternFill>
          <bgColor theme="7" tint="0.79998168889431442"/>
        </patternFill>
      </fill>
    </odxf>
    <ndxf>
      <numFmt numFmtId="2" formatCode="0.00"/>
      <fill>
        <patternFill>
          <bgColor theme="0"/>
        </patternFill>
      </fill>
    </ndxf>
  </rcc>
  <rcc rId="9562" sId="9" odxf="1" dxf="1">
    <nc r="M67">
      <f>M68</f>
    </nc>
    <odxf>
      <numFmt numFmtId="4" formatCode="#,##0.00"/>
      <fill>
        <patternFill>
          <bgColor theme="7" tint="0.79998168889431442"/>
        </patternFill>
      </fill>
    </odxf>
    <ndxf>
      <numFmt numFmtId="2" formatCode="0.00"/>
      <fill>
        <patternFill>
          <bgColor theme="0"/>
        </patternFill>
      </fill>
    </ndxf>
  </rcc>
  <rcc rId="9563" sId="9" odxf="1" dxf="1">
    <oc r="N67">
      <f>N68</f>
    </oc>
    <nc r="N67">
      <f>N68</f>
    </nc>
    <odxf>
      <numFmt numFmtId="4" formatCode="#,##0.00"/>
      <fill>
        <patternFill>
          <bgColor theme="7" tint="0.79998168889431442"/>
        </patternFill>
      </fill>
    </odxf>
    <ndxf>
      <numFmt numFmtId="2" formatCode="0.00"/>
      <fill>
        <patternFill>
          <bgColor theme="0"/>
        </patternFill>
      </fill>
    </ndxf>
  </rcc>
  <rcc rId="9564" sId="9" odxf="1" dxf="1">
    <nc r="O67">
      <f>O68</f>
    </nc>
    <odxf>
      <numFmt numFmtId="4" formatCode="#,##0.00"/>
      <fill>
        <patternFill>
          <bgColor theme="7" tint="0.79998168889431442"/>
        </patternFill>
      </fill>
    </odxf>
    <ndxf>
      <numFmt numFmtId="2" formatCode="0.00"/>
      <fill>
        <patternFill>
          <bgColor theme="0"/>
        </patternFill>
      </fill>
    </ndxf>
  </rcc>
  <rcc rId="9565" sId="9" odxf="1" dxf="1">
    <oc r="P67">
      <f>P68</f>
    </oc>
    <nc r="P67">
      <f>P68</f>
    </nc>
    <odxf>
      <numFmt numFmtId="4" formatCode="#,##0.00"/>
      <fill>
        <patternFill>
          <bgColor theme="7" tint="0.79998168889431442"/>
        </patternFill>
      </fill>
    </odxf>
    <ndxf>
      <numFmt numFmtId="2" formatCode="0.00"/>
      <fill>
        <patternFill>
          <bgColor theme="0"/>
        </patternFill>
      </fill>
    </ndxf>
  </rcc>
  <rcc rId="9566" sId="9" odxf="1" dxf="1">
    <nc r="Q67">
      <f>Q68</f>
    </nc>
    <odxf>
      <numFmt numFmtId="4" formatCode="#,##0.00"/>
      <fill>
        <patternFill>
          <bgColor theme="7" tint="0.79998168889431442"/>
        </patternFill>
      </fill>
    </odxf>
    <ndxf>
      <numFmt numFmtId="2" formatCode="0.00"/>
      <fill>
        <patternFill>
          <bgColor theme="0"/>
        </patternFill>
      </fill>
    </ndxf>
  </rcc>
  <rcc rId="9567" sId="9" odxf="1" dxf="1">
    <oc r="R67">
      <f>R68</f>
    </oc>
    <nc r="R67">
      <f>R68</f>
    </nc>
    <odxf>
      <numFmt numFmtId="4" formatCode="#,##0.00"/>
      <fill>
        <patternFill>
          <bgColor theme="7" tint="0.79998168889431442"/>
        </patternFill>
      </fill>
    </odxf>
    <ndxf>
      <numFmt numFmtId="2" formatCode="0.00"/>
      <fill>
        <patternFill>
          <bgColor theme="0"/>
        </patternFill>
      </fill>
    </ndxf>
  </rcc>
  <rcc rId="9568" sId="9" odxf="1" dxf="1">
    <nc r="S67">
      <f>S68</f>
    </nc>
    <odxf>
      <numFmt numFmtId="4" formatCode="#,##0.00"/>
      <fill>
        <patternFill>
          <bgColor theme="7" tint="0.79998168889431442"/>
        </patternFill>
      </fill>
    </odxf>
    <ndxf>
      <numFmt numFmtId="2" formatCode="0.00"/>
      <fill>
        <patternFill>
          <bgColor theme="0"/>
        </patternFill>
      </fill>
    </ndxf>
  </rcc>
  <rcc rId="9569" sId="9" odxf="1" dxf="1">
    <oc r="T67">
      <f>T68</f>
    </oc>
    <nc r="T67">
      <f>T68</f>
    </nc>
    <odxf>
      <numFmt numFmtId="4" formatCode="#,##0.00"/>
      <fill>
        <patternFill>
          <bgColor theme="7" tint="0.79998168889431442"/>
        </patternFill>
      </fill>
    </odxf>
    <ndxf>
      <numFmt numFmtId="2" formatCode="0.00"/>
      <fill>
        <patternFill>
          <bgColor theme="0"/>
        </patternFill>
      </fill>
    </ndxf>
  </rcc>
  <rfmt sheetId="9" sqref="U67" start="0" length="0">
    <dxf>
      <numFmt numFmtId="2" formatCode="0.00"/>
      <fill>
        <patternFill>
          <bgColor theme="0"/>
        </patternFill>
      </fill>
    </dxf>
  </rfmt>
  <rcc rId="9570" sId="9" odxf="1" dxf="1">
    <oc r="V67">
      <f>V68</f>
    </oc>
    <nc r="V67">
      <f>V68</f>
    </nc>
    <odxf>
      <numFmt numFmtId="4" formatCode="#,##0.00"/>
      <fill>
        <patternFill>
          <bgColor theme="7" tint="0.79998168889431442"/>
        </patternFill>
      </fill>
    </odxf>
    <ndxf>
      <numFmt numFmtId="2" formatCode="0.00"/>
      <fill>
        <patternFill>
          <bgColor theme="0"/>
        </patternFill>
      </fill>
    </ndxf>
  </rcc>
  <rfmt sheetId="9" sqref="W67" start="0" length="0">
    <dxf>
      <numFmt numFmtId="2" formatCode="0.00"/>
      <fill>
        <patternFill>
          <bgColor theme="0"/>
        </patternFill>
      </fill>
    </dxf>
  </rfmt>
  <rcc rId="9571" sId="9" odxf="1" dxf="1">
    <oc r="X67">
      <f>X68</f>
    </oc>
    <nc r="X67">
      <f>X68</f>
    </nc>
    <odxf>
      <numFmt numFmtId="4" formatCode="#,##0.00"/>
      <fill>
        <patternFill>
          <bgColor theme="7" tint="0.79998168889431442"/>
        </patternFill>
      </fill>
    </odxf>
    <ndxf>
      <numFmt numFmtId="2" formatCode="0.00"/>
      <fill>
        <patternFill>
          <bgColor theme="0"/>
        </patternFill>
      </fill>
    </ndxf>
  </rcc>
  <rfmt sheetId="9" sqref="Y67" start="0" length="0">
    <dxf>
      <numFmt numFmtId="2" formatCode="0.00"/>
      <fill>
        <patternFill>
          <bgColor theme="0"/>
        </patternFill>
      </fill>
    </dxf>
  </rfmt>
  <rcc rId="9572" sId="9" odxf="1" dxf="1">
    <oc r="Z67">
      <f>Z68</f>
    </oc>
    <nc r="Z67">
      <f>Z68</f>
    </nc>
    <odxf>
      <numFmt numFmtId="4" formatCode="#,##0.00"/>
      <fill>
        <patternFill>
          <bgColor theme="7" tint="0.79998168889431442"/>
        </patternFill>
      </fill>
    </odxf>
    <ndxf>
      <numFmt numFmtId="2" formatCode="0.00"/>
      <fill>
        <patternFill>
          <bgColor theme="0"/>
        </patternFill>
      </fill>
    </ndxf>
  </rcc>
  <rfmt sheetId="9" sqref="AA67" start="0" length="0">
    <dxf>
      <numFmt numFmtId="2" formatCode="0.00"/>
      <fill>
        <patternFill>
          <bgColor theme="0"/>
        </patternFill>
      </fill>
    </dxf>
  </rfmt>
  <rcc rId="9573" sId="9" odxf="1" dxf="1">
    <oc r="AB67">
      <f>AB68</f>
    </oc>
    <nc r="AB67">
      <f>AB68</f>
    </nc>
    <odxf>
      <numFmt numFmtId="4" formatCode="#,##0.00"/>
      <fill>
        <patternFill>
          <bgColor theme="7" tint="0.79998168889431442"/>
        </patternFill>
      </fill>
    </odxf>
    <ndxf>
      <numFmt numFmtId="2" formatCode="0.00"/>
      <fill>
        <patternFill>
          <bgColor theme="0"/>
        </patternFill>
      </fill>
    </ndxf>
  </rcc>
  <rfmt sheetId="9" sqref="AC67" start="0" length="0">
    <dxf>
      <numFmt numFmtId="2" formatCode="0.00"/>
      <fill>
        <patternFill>
          <bgColor theme="0"/>
        </patternFill>
      </fill>
    </dxf>
  </rfmt>
  <rcc rId="9574" sId="9" odxf="1" dxf="1">
    <oc r="AD67">
      <f>AD68</f>
    </oc>
    <nc r="AD67">
      <f>AD68</f>
    </nc>
    <odxf>
      <numFmt numFmtId="4" formatCode="#,##0.00"/>
      <fill>
        <patternFill>
          <bgColor theme="7" tint="0.79998168889431442"/>
        </patternFill>
      </fill>
    </odxf>
    <ndxf>
      <numFmt numFmtId="2" formatCode="0.00"/>
      <fill>
        <patternFill>
          <bgColor theme="0"/>
        </patternFill>
      </fill>
    </ndxf>
  </rcc>
  <rfmt sheetId="9" sqref="AE67" start="0" length="0">
    <dxf>
      <numFmt numFmtId="2" formatCode="0.00"/>
      <fill>
        <patternFill>
          <bgColor theme="0"/>
        </patternFill>
      </fill>
    </dxf>
  </rfmt>
  <rcc rId="9575" sId="9" odxf="1" dxf="1">
    <oc r="B68">
      <f>B69+B70+B71+B72</f>
    </oc>
    <nc r="B68">
      <f>B69+B70+B71+B72</f>
    </nc>
    <odxf>
      <numFmt numFmtId="4" formatCode="#,##0.00"/>
      <fill>
        <patternFill>
          <bgColor theme="7" tint="0.79998168889431442"/>
        </patternFill>
      </fill>
    </odxf>
    <ndxf>
      <numFmt numFmtId="2" formatCode="0.00"/>
      <fill>
        <patternFill>
          <bgColor theme="0"/>
        </patternFill>
      </fill>
    </ndxf>
  </rcc>
  <rcc rId="9576" sId="9" odxf="1" dxf="1">
    <oc r="C68">
      <f>C69+C70+C71+C72</f>
    </oc>
    <nc r="C68">
      <f>C69+C70+C71+C72</f>
    </nc>
    <odxf>
      <numFmt numFmtId="4" formatCode="#,##0.00"/>
      <fill>
        <patternFill>
          <bgColor theme="7" tint="0.79998168889431442"/>
        </patternFill>
      </fill>
    </odxf>
    <ndxf>
      <numFmt numFmtId="2" formatCode="0.00"/>
      <fill>
        <patternFill>
          <bgColor theme="0"/>
        </patternFill>
      </fill>
    </ndxf>
  </rcc>
  <rcc rId="9577" sId="9" odxf="1" dxf="1">
    <oc r="D68">
      <f>D69+D70+D71+D72</f>
    </oc>
    <nc r="D68">
      <f>E68</f>
    </nc>
    <odxf>
      <numFmt numFmtId="4" formatCode="#,##0.00"/>
      <fill>
        <patternFill>
          <bgColor theme="7" tint="0.79998168889431442"/>
        </patternFill>
      </fill>
    </odxf>
    <ndxf>
      <numFmt numFmtId="2" formatCode="0.00"/>
      <fill>
        <patternFill>
          <bgColor theme="0"/>
        </patternFill>
      </fill>
    </ndxf>
  </rcc>
  <rcc rId="9578" sId="9" odxf="1" dxf="1">
    <oc r="E68">
      <f>E69+E70+E71+E72</f>
    </oc>
    <nc r="E68">
      <f>E69+E70+E71+E72</f>
    </nc>
    <odxf>
      <numFmt numFmtId="4" formatCode="#,##0.00"/>
      <fill>
        <patternFill>
          <bgColor theme="7" tint="0.79998168889431442"/>
        </patternFill>
      </fill>
    </odxf>
    <ndxf>
      <numFmt numFmtId="2" formatCode="0.00"/>
      <fill>
        <patternFill>
          <bgColor theme="0"/>
        </patternFill>
      </fill>
    </ndxf>
  </rcc>
  <rcc rId="9579" sId="9" odxf="1" dxf="1">
    <oc r="F68">
      <f>F69+F70+F71+F72</f>
    </oc>
    <nc r="F68">
      <f>E68/B68*100</f>
    </nc>
    <odxf>
      <numFmt numFmtId="4" formatCode="#,##0.00"/>
      <fill>
        <patternFill>
          <bgColor theme="7" tint="0.79998168889431442"/>
        </patternFill>
      </fill>
    </odxf>
    <ndxf>
      <numFmt numFmtId="2" formatCode="0.00"/>
      <fill>
        <patternFill>
          <bgColor theme="9" tint="0.79998168889431442"/>
        </patternFill>
      </fill>
    </ndxf>
  </rcc>
  <rcc rId="9580" sId="9" odxf="1" dxf="1">
    <oc r="G68">
      <f>E68/C68*100</f>
    </oc>
    <nc r="G68">
      <f>E68/C68*100</f>
    </nc>
    <odxf>
      <numFmt numFmtId="4" formatCode="#,##0.00"/>
      <fill>
        <patternFill>
          <bgColor theme="7" tint="0.79998168889431442"/>
        </patternFill>
      </fill>
    </odxf>
    <ndxf>
      <numFmt numFmtId="2" formatCode="0.00"/>
      <fill>
        <patternFill>
          <bgColor theme="9" tint="0.79998168889431442"/>
        </patternFill>
      </fill>
    </ndxf>
  </rcc>
  <rcc rId="9581" sId="9" odxf="1" dxf="1">
    <oc r="H68">
      <f>H69+H70+H71+H72</f>
    </oc>
    <nc r="H68">
      <f>H69+H70+H71+H72</f>
    </nc>
    <odxf>
      <numFmt numFmtId="4" formatCode="#,##0.00"/>
      <fill>
        <patternFill>
          <bgColor theme="7" tint="0.79998168889431442"/>
        </patternFill>
      </fill>
    </odxf>
    <ndxf>
      <numFmt numFmtId="2" formatCode="0.00"/>
      <fill>
        <patternFill>
          <bgColor theme="0"/>
        </patternFill>
      </fill>
    </ndxf>
  </rcc>
  <rcc rId="9582" sId="9" odxf="1" dxf="1">
    <oc r="I68">
      <f>I69+I70+I71+I72</f>
    </oc>
    <nc r="I68">
      <f>I69+I70+I71+I72</f>
    </nc>
    <odxf>
      <numFmt numFmtId="4" formatCode="#,##0.00"/>
      <fill>
        <patternFill>
          <bgColor theme="7" tint="0.79998168889431442"/>
        </patternFill>
      </fill>
    </odxf>
    <ndxf>
      <numFmt numFmtId="2" formatCode="0.00"/>
      <fill>
        <patternFill>
          <bgColor theme="0"/>
        </patternFill>
      </fill>
    </ndxf>
  </rcc>
  <rcc rId="9583" sId="9" odxf="1" dxf="1">
    <oc r="J68">
      <f>J69+J70+J71+J72</f>
    </oc>
    <nc r="J68">
      <f>J69+J70+J71+J72</f>
    </nc>
    <odxf>
      <numFmt numFmtId="4" formatCode="#,##0.00"/>
      <fill>
        <patternFill>
          <bgColor theme="7" tint="0.79998168889431442"/>
        </patternFill>
      </fill>
    </odxf>
    <ndxf>
      <numFmt numFmtId="2" formatCode="0.00"/>
      <fill>
        <patternFill>
          <bgColor theme="0"/>
        </patternFill>
      </fill>
    </ndxf>
  </rcc>
  <rcc rId="9584" sId="9" odxf="1" dxf="1">
    <oc r="K68">
      <f>K69+K70+K71+K72</f>
    </oc>
    <nc r="K68">
      <f>K69+K70+K71+K72</f>
    </nc>
    <odxf>
      <numFmt numFmtId="4" formatCode="#,##0.00"/>
      <fill>
        <patternFill>
          <bgColor theme="7" tint="0.79998168889431442"/>
        </patternFill>
      </fill>
    </odxf>
    <ndxf>
      <numFmt numFmtId="2" formatCode="0.00"/>
      <fill>
        <patternFill>
          <bgColor theme="0"/>
        </patternFill>
      </fill>
    </ndxf>
  </rcc>
  <rcc rId="9585" sId="9" odxf="1" dxf="1">
    <oc r="L68">
      <f>L69+L70+L71+L72</f>
    </oc>
    <nc r="L68">
      <f>L69+L70+L71+L72</f>
    </nc>
    <odxf>
      <numFmt numFmtId="4" formatCode="#,##0.00"/>
      <fill>
        <patternFill>
          <bgColor theme="7" tint="0.79998168889431442"/>
        </patternFill>
      </fill>
    </odxf>
    <ndxf>
      <numFmt numFmtId="2" formatCode="0.00"/>
      <fill>
        <patternFill>
          <bgColor theme="0"/>
        </patternFill>
      </fill>
    </ndxf>
  </rcc>
  <rcc rId="9586" sId="9" odxf="1" dxf="1">
    <nc r="M68">
      <f>M69+M70+M71+M72</f>
    </nc>
    <odxf>
      <numFmt numFmtId="4" formatCode="#,##0.00"/>
      <fill>
        <patternFill>
          <bgColor theme="7" tint="0.79998168889431442"/>
        </patternFill>
      </fill>
    </odxf>
    <ndxf>
      <numFmt numFmtId="2" formatCode="0.00"/>
      <fill>
        <patternFill>
          <bgColor theme="0"/>
        </patternFill>
      </fill>
    </ndxf>
  </rcc>
  <rcc rId="9587" sId="9" odxf="1" dxf="1">
    <oc r="N68">
      <f>N69+N70+N71+N72</f>
    </oc>
    <nc r="N68">
      <f>N69+N70+N71+N72</f>
    </nc>
    <odxf>
      <numFmt numFmtId="4" formatCode="#,##0.00"/>
      <fill>
        <patternFill>
          <bgColor theme="7" tint="0.79998168889431442"/>
        </patternFill>
      </fill>
    </odxf>
    <ndxf>
      <numFmt numFmtId="2" formatCode="0.00"/>
      <fill>
        <patternFill>
          <bgColor theme="0"/>
        </patternFill>
      </fill>
    </ndxf>
  </rcc>
  <rcc rId="9588" sId="9" odxf="1" dxf="1">
    <nc r="O68">
      <f>O69+O70+O71+O72</f>
    </nc>
    <odxf>
      <numFmt numFmtId="4" formatCode="#,##0.00"/>
      <fill>
        <patternFill>
          <bgColor theme="7" tint="0.79998168889431442"/>
        </patternFill>
      </fill>
    </odxf>
    <ndxf>
      <numFmt numFmtId="2" formatCode="0.00"/>
      <fill>
        <patternFill>
          <bgColor theme="0"/>
        </patternFill>
      </fill>
    </ndxf>
  </rcc>
  <rcc rId="9589" sId="9" odxf="1" dxf="1">
    <oc r="P68">
      <f>P69+P70+P71+P72</f>
    </oc>
    <nc r="P68">
      <f>P69+P70+P71+P72</f>
    </nc>
    <odxf>
      <numFmt numFmtId="4" formatCode="#,##0.00"/>
      <fill>
        <patternFill>
          <bgColor theme="7" tint="0.79998168889431442"/>
        </patternFill>
      </fill>
    </odxf>
    <ndxf>
      <numFmt numFmtId="2" formatCode="0.00"/>
      <fill>
        <patternFill>
          <bgColor theme="0"/>
        </patternFill>
      </fill>
    </ndxf>
  </rcc>
  <rcc rId="9590" sId="9" odxf="1" dxf="1">
    <nc r="Q68">
      <f>Q69+Q70+Q71+Q72</f>
    </nc>
    <odxf>
      <numFmt numFmtId="4" formatCode="#,##0.00"/>
      <fill>
        <patternFill>
          <bgColor theme="7" tint="0.79998168889431442"/>
        </patternFill>
      </fill>
    </odxf>
    <ndxf>
      <numFmt numFmtId="2" formatCode="0.00"/>
      <fill>
        <patternFill>
          <bgColor theme="0"/>
        </patternFill>
      </fill>
    </ndxf>
  </rcc>
  <rcc rId="9591" sId="9" odxf="1" dxf="1">
    <oc r="R68">
      <f>R69+R70+R71+R72</f>
    </oc>
    <nc r="R68">
      <f>R69+R70+R71+R72</f>
    </nc>
    <odxf>
      <numFmt numFmtId="4" formatCode="#,##0.00"/>
      <fill>
        <patternFill>
          <bgColor theme="7" tint="0.79998168889431442"/>
        </patternFill>
      </fill>
    </odxf>
    <ndxf>
      <numFmt numFmtId="2" formatCode="0.00"/>
      <fill>
        <patternFill>
          <bgColor theme="0"/>
        </patternFill>
      </fill>
    </ndxf>
  </rcc>
  <rcc rId="9592" sId="9" odxf="1" dxf="1">
    <nc r="S68">
      <f>S69+S70+S71+S72</f>
    </nc>
    <odxf>
      <numFmt numFmtId="4" formatCode="#,##0.00"/>
      <fill>
        <patternFill>
          <bgColor theme="7" tint="0.79998168889431442"/>
        </patternFill>
      </fill>
    </odxf>
    <ndxf>
      <numFmt numFmtId="2" formatCode="0.00"/>
      <fill>
        <patternFill>
          <bgColor theme="0"/>
        </patternFill>
      </fill>
    </ndxf>
  </rcc>
  <rcc rId="9593" sId="9" odxf="1" dxf="1">
    <oc r="T68">
      <f>T69+T70+T71+T72</f>
    </oc>
    <nc r="T68">
      <f>T69+T70+T71+T72</f>
    </nc>
    <odxf>
      <numFmt numFmtId="4" formatCode="#,##0.00"/>
      <fill>
        <patternFill>
          <bgColor theme="7" tint="0.79998168889431442"/>
        </patternFill>
      </fill>
    </odxf>
    <ndxf>
      <numFmt numFmtId="2" formatCode="0.00"/>
      <fill>
        <patternFill>
          <bgColor theme="0"/>
        </patternFill>
      </fill>
    </ndxf>
  </rcc>
  <rfmt sheetId="9" sqref="U68" start="0" length="0">
    <dxf>
      <numFmt numFmtId="2" formatCode="0.00"/>
      <fill>
        <patternFill>
          <bgColor theme="0"/>
        </patternFill>
      </fill>
    </dxf>
  </rfmt>
  <rcc rId="9594" sId="9" odxf="1" dxf="1">
    <oc r="V68">
      <f>V69+V70+V71+V72</f>
    </oc>
    <nc r="V68">
      <f>V69+V70+V71+V72</f>
    </nc>
    <odxf>
      <numFmt numFmtId="4" formatCode="#,##0.00"/>
      <fill>
        <patternFill>
          <bgColor theme="7" tint="0.79998168889431442"/>
        </patternFill>
      </fill>
    </odxf>
    <ndxf>
      <numFmt numFmtId="2" formatCode="0.00"/>
      <fill>
        <patternFill>
          <bgColor theme="0"/>
        </patternFill>
      </fill>
    </ndxf>
  </rcc>
  <rfmt sheetId="9" sqref="W68" start="0" length="0">
    <dxf>
      <numFmt numFmtId="2" formatCode="0.00"/>
      <fill>
        <patternFill>
          <bgColor theme="0"/>
        </patternFill>
      </fill>
    </dxf>
  </rfmt>
  <rcc rId="9595" sId="9" odxf="1" dxf="1">
    <oc r="X68">
      <f>X69+X70+X71+X72</f>
    </oc>
    <nc r="X68">
      <f>X69+X70+X71+X72</f>
    </nc>
    <odxf>
      <numFmt numFmtId="4" formatCode="#,##0.00"/>
      <fill>
        <patternFill>
          <bgColor theme="7" tint="0.79998168889431442"/>
        </patternFill>
      </fill>
    </odxf>
    <ndxf>
      <numFmt numFmtId="2" formatCode="0.00"/>
      <fill>
        <patternFill>
          <bgColor theme="0"/>
        </patternFill>
      </fill>
    </ndxf>
  </rcc>
  <rfmt sheetId="9" sqref="Y68" start="0" length="0">
    <dxf>
      <numFmt numFmtId="2" formatCode="0.00"/>
      <fill>
        <patternFill>
          <bgColor theme="0"/>
        </patternFill>
      </fill>
    </dxf>
  </rfmt>
  <rcc rId="9596" sId="9" odxf="1" dxf="1">
    <oc r="Z68">
      <f>Z69+Z70+Z71+Z72</f>
    </oc>
    <nc r="Z68">
      <f>Z69+Z70+Z71+Z72</f>
    </nc>
    <odxf>
      <numFmt numFmtId="4" formatCode="#,##0.00"/>
      <fill>
        <patternFill>
          <bgColor theme="7" tint="0.79998168889431442"/>
        </patternFill>
      </fill>
    </odxf>
    <ndxf>
      <numFmt numFmtId="2" formatCode="0.00"/>
      <fill>
        <patternFill>
          <bgColor theme="0"/>
        </patternFill>
      </fill>
    </ndxf>
  </rcc>
  <rfmt sheetId="9" sqref="AA68" start="0" length="0">
    <dxf>
      <numFmt numFmtId="2" formatCode="0.00"/>
      <fill>
        <patternFill>
          <bgColor theme="0"/>
        </patternFill>
      </fill>
    </dxf>
  </rfmt>
  <rcc rId="9597" sId="9" odxf="1" dxf="1">
    <oc r="AB68">
      <f>AB69+AB70+AB71+AB72</f>
    </oc>
    <nc r="AB68">
      <f>AB69+AB70+AB71+AB72</f>
    </nc>
    <odxf>
      <numFmt numFmtId="4" formatCode="#,##0.00"/>
      <fill>
        <patternFill>
          <bgColor theme="7" tint="0.79998168889431442"/>
        </patternFill>
      </fill>
    </odxf>
    <ndxf>
      <numFmt numFmtId="2" formatCode="0.00"/>
      <fill>
        <patternFill>
          <bgColor theme="0"/>
        </patternFill>
      </fill>
    </ndxf>
  </rcc>
  <rfmt sheetId="9" sqref="AC68" start="0" length="0">
    <dxf>
      <numFmt numFmtId="2" formatCode="0.00"/>
      <fill>
        <patternFill>
          <bgColor theme="0"/>
        </patternFill>
      </fill>
    </dxf>
  </rfmt>
  <rcc rId="9598" sId="9" odxf="1" dxf="1">
    <oc r="AD68">
      <f>AD69+AD70+AD71+AD72</f>
    </oc>
    <nc r="AD68">
      <f>AD69+AD70+AD71+AD72</f>
    </nc>
    <odxf>
      <numFmt numFmtId="4" formatCode="#,##0.00"/>
      <fill>
        <patternFill>
          <bgColor theme="7" tint="0.79998168889431442"/>
        </patternFill>
      </fill>
    </odxf>
    <ndxf>
      <numFmt numFmtId="2" formatCode="0.00"/>
      <fill>
        <patternFill>
          <bgColor theme="0"/>
        </patternFill>
      </fill>
    </ndxf>
  </rcc>
  <rfmt sheetId="9" sqref="AE68" start="0" length="0">
    <dxf>
      <numFmt numFmtId="2" formatCode="0.00"/>
      <fill>
        <patternFill>
          <bgColor theme="0"/>
        </patternFill>
      </fill>
    </dxf>
  </rfmt>
  <rcc rId="9599" sId="9" odxf="1" dxf="1">
    <oc r="B69">
      <f>H69+J69+L69+N69+P69+R69+T69+V69+X69+Z69+AB69+AD69</f>
    </oc>
    <nc r="B69">
      <f>H69+J69+L69+N69+P69+R69+T69+V69+X69+Z69+AB69+AD69</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600" sId="9" odxf="1" dxf="1">
    <oc r="C69">
      <f>H69+J69</f>
    </oc>
    <nc r="C69">
      <f>H69</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601" sId="9" odxf="1" dxf="1">
    <oc r="D69">
      <f>E69</f>
    </oc>
    <nc r="D69">
      <f>E69</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E69" start="0" length="0">
    <dxf>
      <font>
        <b/>
        <sz val="14"/>
        <name val="Times New Roman"/>
        <scheme val="none"/>
      </font>
      <numFmt numFmtId="2" formatCode="0.00"/>
      <fill>
        <patternFill>
          <bgColor theme="0"/>
        </patternFill>
      </fill>
    </dxf>
  </rfmt>
  <rfmt sheetId="9" sqref="F69" start="0" length="0">
    <dxf>
      <font>
        <b/>
        <sz val="14"/>
        <name val="Times New Roman"/>
        <scheme val="none"/>
      </font>
      <numFmt numFmtId="2" formatCode="0.00"/>
      <fill>
        <patternFill>
          <bgColor theme="9" tint="0.79998168889431442"/>
        </patternFill>
      </fill>
    </dxf>
  </rfmt>
  <rfmt sheetId="9" sqref="G69" start="0" length="0">
    <dxf>
      <font>
        <b/>
        <sz val="14"/>
        <name val="Times New Roman"/>
        <scheme val="none"/>
      </font>
      <numFmt numFmtId="2" formatCode="0.00"/>
      <fill>
        <patternFill>
          <bgColor theme="9" tint="0.79998168889431442"/>
        </patternFill>
      </fill>
    </dxf>
  </rfmt>
  <rfmt sheetId="9" sqref="H69" start="0" length="0">
    <dxf>
      <font>
        <b/>
        <sz val="14"/>
        <name val="Times New Roman"/>
        <scheme val="none"/>
      </font>
      <numFmt numFmtId="2" formatCode="0.00"/>
      <fill>
        <patternFill>
          <bgColor theme="0"/>
        </patternFill>
      </fill>
    </dxf>
  </rfmt>
  <rfmt sheetId="9" sqref="I69" start="0" length="0">
    <dxf>
      <font>
        <b/>
        <sz val="14"/>
        <name val="Times New Roman"/>
        <scheme val="none"/>
      </font>
      <numFmt numFmtId="2" formatCode="0.00"/>
      <fill>
        <patternFill>
          <bgColor theme="0"/>
        </patternFill>
      </fill>
    </dxf>
  </rfmt>
  <rfmt sheetId="9" sqref="J69" start="0" length="0">
    <dxf>
      <font>
        <b/>
        <sz val="14"/>
        <name val="Times New Roman"/>
        <scheme val="none"/>
      </font>
      <numFmt numFmtId="2" formatCode="0.00"/>
      <fill>
        <patternFill>
          <bgColor theme="0"/>
        </patternFill>
      </fill>
    </dxf>
  </rfmt>
  <rfmt sheetId="9" sqref="K69" start="0" length="0">
    <dxf>
      <font>
        <b/>
        <sz val="14"/>
        <name val="Times New Roman"/>
        <scheme val="none"/>
      </font>
      <numFmt numFmtId="2" formatCode="0.00"/>
      <fill>
        <patternFill>
          <bgColor theme="0"/>
        </patternFill>
      </fill>
    </dxf>
  </rfmt>
  <rcc rId="9602" sId="9" odxf="1" dxf="1" numFmtId="4">
    <nc r="L69">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603" sId="9" odxf="1" dxf="1" numFmtId="4">
    <nc r="M69">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604" sId="9" odxf="1" dxf="1" numFmtId="4">
    <nc r="N69">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605" sId="9" odxf="1" dxf="1" numFmtId="4">
    <nc r="O69">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606" sId="9" odxf="1" dxf="1" numFmtId="4">
    <nc r="P69">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607" sId="9" odxf="1" dxf="1" numFmtId="4">
    <nc r="Q69">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608" sId="9" odxf="1" dxf="1" numFmtId="4">
    <nc r="R69">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609" sId="9" odxf="1" dxf="1" numFmtId="4">
    <nc r="S69">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610" sId="9" odxf="1" dxf="1" numFmtId="4">
    <nc r="T69">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U69" start="0" length="0">
    <dxf>
      <font>
        <b/>
        <sz val="14"/>
        <name val="Times New Roman"/>
        <scheme val="none"/>
      </font>
      <numFmt numFmtId="2" formatCode="0.00"/>
      <fill>
        <patternFill>
          <bgColor theme="0"/>
        </patternFill>
      </fill>
    </dxf>
  </rfmt>
  <rcc rId="9611" sId="9" odxf="1" dxf="1" numFmtId="4">
    <nc r="V69">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W69" start="0" length="0">
    <dxf>
      <font>
        <b/>
        <sz val="14"/>
        <name val="Times New Roman"/>
        <scheme val="none"/>
      </font>
      <numFmt numFmtId="2" formatCode="0.00"/>
      <fill>
        <patternFill>
          <bgColor theme="0"/>
        </patternFill>
      </fill>
    </dxf>
  </rfmt>
  <rcc rId="9612" sId="9" odxf="1" dxf="1" numFmtId="4">
    <nc r="X69">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Y69" start="0" length="0">
    <dxf>
      <font>
        <b/>
        <sz val="14"/>
        <name val="Times New Roman"/>
        <scheme val="none"/>
      </font>
      <numFmt numFmtId="2" formatCode="0.00"/>
      <fill>
        <patternFill>
          <bgColor theme="0"/>
        </patternFill>
      </fill>
    </dxf>
  </rfmt>
  <rcc rId="9613" sId="9" odxf="1" dxf="1" numFmtId="4">
    <nc r="Z69">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A69" start="0" length="0">
    <dxf>
      <font>
        <b/>
        <sz val="14"/>
        <name val="Times New Roman"/>
        <scheme val="none"/>
      </font>
      <numFmt numFmtId="2" formatCode="0.00"/>
      <fill>
        <patternFill>
          <bgColor theme="0"/>
        </patternFill>
      </fill>
    </dxf>
  </rfmt>
  <rcc rId="9614" sId="9" odxf="1" dxf="1" numFmtId="4">
    <nc r="AB69">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C69" start="0" length="0">
    <dxf>
      <font>
        <b/>
        <sz val="14"/>
        <name val="Times New Roman"/>
        <scheme val="none"/>
      </font>
      <numFmt numFmtId="2" formatCode="0.00"/>
      <fill>
        <patternFill>
          <bgColor theme="0"/>
        </patternFill>
      </fill>
    </dxf>
  </rfmt>
  <rcc rId="9615" sId="9" odxf="1" dxf="1" numFmtId="4">
    <nc r="AD69">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E69" start="0" length="0">
    <dxf>
      <font>
        <b/>
        <sz val="14"/>
        <name val="Times New Roman"/>
        <scheme val="none"/>
      </font>
      <numFmt numFmtId="2" formatCode="0.00"/>
      <fill>
        <patternFill>
          <bgColor theme="0"/>
        </patternFill>
      </fill>
    </dxf>
  </rfmt>
  <rcc rId="9616" sId="9" odxf="1" dxf="1">
    <oc r="B70">
      <f>H70+J70+L70+N70+P70+R70+T70+V70+X70+Z70+AB70+AD70</f>
    </oc>
    <nc r="B70">
      <f>H70+J70+L70+N70+P70+R70+T70+V70+X70+Z70+AB70+AD70</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617" sId="9" odxf="1" dxf="1">
    <oc r="C70">
      <f>H70+J70</f>
    </oc>
    <nc r="C70">
      <f>H70+J70+L70+N70+P70+R70</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618" sId="9" odxf="1" dxf="1">
    <oc r="D70">
      <f>E70</f>
    </oc>
    <nc r="D70">
      <f>I70+K70+M70+O70+Q70</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619" sId="9" odxf="1" dxf="1" numFmtId="4">
    <oc r="E70">
      <v>0</v>
    </oc>
    <nc r="E70">
      <f>I70+K70+M70+O70+Q706+Q70+S70</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620" sId="9" odxf="1" dxf="1" numFmtId="4">
    <oc r="F70">
      <v>0</v>
    </oc>
    <nc r="F70">
      <f>E70/B70*100</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9" tint="0.79998168889431442"/>
        </patternFill>
      </fill>
    </ndxf>
  </rcc>
  <rcc rId="9621" sId="9" odxf="1" dxf="1" numFmtId="4">
    <oc r="G70">
      <v>0</v>
    </oc>
    <nc r="G70">
      <f>E70/C70*100</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9" tint="0.79998168889431442"/>
        </patternFill>
      </fill>
    </ndxf>
  </rcc>
  <rfmt sheetId="9" sqref="H70" start="0" length="0">
    <dxf>
      <font>
        <b/>
        <sz val="14"/>
        <name val="Times New Roman"/>
        <scheme val="none"/>
      </font>
      <numFmt numFmtId="2" formatCode="0.00"/>
      <fill>
        <patternFill>
          <bgColor theme="0"/>
        </patternFill>
      </fill>
    </dxf>
  </rfmt>
  <rfmt sheetId="9" sqref="I70" start="0" length="0">
    <dxf>
      <font>
        <b/>
        <sz val="14"/>
        <name val="Times New Roman"/>
        <scheme val="none"/>
      </font>
      <numFmt numFmtId="2" formatCode="0.00"/>
      <fill>
        <patternFill>
          <bgColor theme="0"/>
        </patternFill>
      </fill>
    </dxf>
  </rfmt>
  <rfmt sheetId="9" sqref="J70" start="0" length="0">
    <dxf>
      <font>
        <b/>
        <sz val="14"/>
        <name val="Times New Roman"/>
        <scheme val="none"/>
      </font>
      <numFmt numFmtId="2" formatCode="0.00"/>
      <fill>
        <patternFill>
          <bgColor theme="0"/>
        </patternFill>
      </fill>
    </dxf>
  </rfmt>
  <rfmt sheetId="9" sqref="K70" start="0" length="0">
    <dxf>
      <font>
        <b/>
        <sz val="14"/>
        <name val="Times New Roman"/>
        <scheme val="none"/>
      </font>
      <numFmt numFmtId="2" formatCode="0.00"/>
      <fill>
        <patternFill>
          <bgColor theme="0"/>
        </patternFill>
      </fill>
    </dxf>
  </rfmt>
  <rcc rId="9622" sId="9" odxf="1" dxf="1" numFmtId="4">
    <nc r="L70">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623" sId="9" odxf="1" dxf="1" numFmtId="4">
    <nc r="M70">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624" sId="9" odxf="1" dxf="1" numFmtId="4">
    <nc r="N70">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625" sId="9" odxf="1" dxf="1" numFmtId="4">
    <nc r="O70">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626" sId="9" odxf="1" dxf="1" numFmtId="4">
    <nc r="P70">
      <v>793.15094999999997</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627" sId="9" odxf="1" dxf="1" numFmtId="4">
    <nc r="Q70">
      <v>793.15094999999997</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628" sId="9" odxf="1" dxf="1" numFmtId="4">
    <nc r="R70">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629" sId="9" odxf="1" dxf="1" numFmtId="4">
    <nc r="S70">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630" sId="9" odxf="1" dxf="1" numFmtId="4">
    <nc r="T70">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U70" start="0" length="0">
    <dxf>
      <font>
        <b/>
        <sz val="14"/>
        <name val="Times New Roman"/>
        <scheme val="none"/>
      </font>
      <numFmt numFmtId="2" formatCode="0.00"/>
      <fill>
        <patternFill>
          <bgColor theme="0"/>
        </patternFill>
      </fill>
    </dxf>
  </rfmt>
  <rcc rId="9631" sId="9" odxf="1" dxf="1" numFmtId="4">
    <nc r="V70">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W70" start="0" length="0">
    <dxf>
      <font>
        <b/>
        <sz val="14"/>
        <name val="Times New Roman"/>
        <scheme val="none"/>
      </font>
      <numFmt numFmtId="2" formatCode="0.00"/>
      <fill>
        <patternFill>
          <bgColor theme="0"/>
        </patternFill>
      </fill>
    </dxf>
  </rfmt>
  <rcc rId="9632" sId="9" odxf="1" dxf="1" numFmtId="4">
    <nc r="X70">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Y70" start="0" length="0">
    <dxf>
      <font>
        <b/>
        <sz val="14"/>
        <name val="Times New Roman"/>
        <scheme val="none"/>
      </font>
      <numFmt numFmtId="2" formatCode="0.00"/>
      <fill>
        <patternFill>
          <bgColor theme="0"/>
        </patternFill>
      </fill>
    </dxf>
  </rfmt>
  <rcc rId="9633" sId="9" odxf="1" dxf="1" numFmtId="4">
    <nc r="Z70">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A70" start="0" length="0">
    <dxf>
      <font>
        <b/>
        <sz val="14"/>
        <name val="Times New Roman"/>
        <scheme val="none"/>
      </font>
      <numFmt numFmtId="2" formatCode="0.00"/>
      <fill>
        <patternFill>
          <bgColor theme="0"/>
        </patternFill>
      </fill>
    </dxf>
  </rfmt>
  <rcc rId="9634" sId="9" odxf="1" dxf="1" numFmtId="4">
    <nc r="AB70">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C70" start="0" length="0">
    <dxf>
      <font>
        <b/>
        <sz val="14"/>
        <name val="Times New Roman"/>
        <scheme val="none"/>
      </font>
      <numFmt numFmtId="2" formatCode="0.00"/>
      <fill>
        <patternFill>
          <bgColor theme="0"/>
        </patternFill>
      </fill>
    </dxf>
  </rfmt>
  <rcc rId="9635" sId="9" odxf="1" dxf="1" numFmtId="4">
    <nc r="AD70">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E70" start="0" length="0">
    <dxf>
      <font>
        <b/>
        <sz val="14"/>
        <name val="Times New Roman"/>
        <scheme val="none"/>
      </font>
      <numFmt numFmtId="2" formatCode="0.00"/>
      <fill>
        <patternFill>
          <bgColor theme="0"/>
        </patternFill>
      </fill>
    </dxf>
  </rfmt>
  <rcc rId="9636" sId="9" odxf="1" dxf="1">
    <oc r="B71">
      <f>H71+J71+L71+N71+P71+R71+T71+V71+X71+Z71+AB71+AD71</f>
    </oc>
    <nc r="B71">
      <f>H71+J71+L71+N71+P71+R71+T71+V71+X71+Z71+AB71+AD71</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637" sId="9" odxf="1" dxf="1">
    <oc r="C71">
      <f>H71+J71</f>
    </oc>
    <nc r="C71">
      <f>H71+J71+L71+N71+P71+R71</f>
    </nc>
    <odxf>
      <font>
        <b val="0"/>
        <sz val="14"/>
        <name val="Times New Roman"/>
        <scheme val="none"/>
      </font>
      <numFmt numFmtId="4" formatCode="#,##0.00"/>
      <fill>
        <patternFill>
          <bgColor theme="7" tint="0.79998168889431442"/>
        </patternFill>
      </fill>
      <border outline="0">
        <right style="thin">
          <color indexed="64"/>
        </right>
      </border>
    </odxf>
    <ndxf>
      <font>
        <b/>
        <sz val="14"/>
        <name val="Times New Roman"/>
        <scheme val="none"/>
      </font>
      <numFmt numFmtId="2" formatCode="0.00"/>
      <fill>
        <patternFill>
          <bgColor theme="0"/>
        </patternFill>
      </fill>
      <border outline="0">
        <right/>
      </border>
    </ndxf>
  </rcc>
  <rcc rId="9638" sId="9" odxf="1" dxf="1">
    <oc r="D71">
      <f>E71</f>
    </oc>
    <nc r="D71">
      <f>E71</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639" sId="9" odxf="1" dxf="1">
    <oc r="E71">
      <f>I71</f>
    </oc>
    <nc r="E71">
      <f>I71+K71+M71+O71+Q71+S71</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640" sId="9" odxf="1" dxf="1">
    <oc r="F71">
      <f>E71/B71*100</f>
    </oc>
    <nc r="F71">
      <f>E71/B71*100</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9" tint="0.79998168889431442"/>
        </patternFill>
      </fill>
    </ndxf>
  </rcc>
  <rcc rId="9641" sId="9" odxf="1" dxf="1">
    <oc r="G71">
      <f>E71/C71*100</f>
    </oc>
    <nc r="G71">
      <f>E71/C71*100</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9" tint="0.79998168889431442"/>
        </patternFill>
      </fill>
    </ndxf>
  </rcc>
  <rfmt sheetId="9" sqref="H71" start="0" length="0">
    <dxf>
      <font>
        <b/>
        <sz val="14"/>
        <name val="Times New Roman"/>
        <scheme val="none"/>
      </font>
      <numFmt numFmtId="2" formatCode="0.00"/>
      <fill>
        <patternFill>
          <bgColor theme="0"/>
        </patternFill>
      </fill>
    </dxf>
  </rfmt>
  <rcc rId="9642" sId="9" odxf="1" dxf="1" numFmtId="4">
    <oc r="I71">
      <v>8722.14</v>
    </oc>
    <nc r="I71">
      <v>8722.1401499999993</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643" sId="9" odxf="1" dxf="1" numFmtId="4">
    <oc r="J71">
      <v>10231.24</v>
    </oc>
    <nc r="J71">
      <v>10231.241</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644" sId="9" odxf="1" dxf="1" numFmtId="4">
    <oc r="K71">
      <v>10924.62</v>
    </oc>
    <nc r="K71">
      <v>10924.62283</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645" sId="9" odxf="1" dxf="1" numFmtId="4">
    <oc r="L71">
      <v>8238.3040000000001</v>
    </oc>
    <nc r="L71">
      <v>8299.1039999999994</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646" sId="9" odxf="1" dxf="1" numFmtId="4">
    <nc r="M71">
      <v>9483.1396499999992</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647" sId="9" odxf="1" dxf="1" numFmtId="4">
    <oc r="N71">
      <v>11698.712</v>
    </oc>
    <nc r="N71">
      <v>11763.312</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648" sId="9" odxf="1" dxf="1" numFmtId="4">
    <nc r="O71">
      <v>9406.4896000000008</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649" sId="9" odxf="1" dxf="1" numFmtId="4">
    <oc r="P71">
      <v>9179.1959999999999</v>
    </oc>
    <nc r="P71">
      <v>9402.1980000000003</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650" sId="9" odxf="1" dxf="1" numFmtId="4">
    <nc r="Q71">
      <v>8666.3855299999996</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651" sId="9" odxf="1" dxf="1" numFmtId="4">
    <oc r="R71">
      <v>7993.1729999999998</v>
    </oc>
    <nc r="R71">
      <v>9104.8050000000003</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652" sId="9" odxf="1" dxf="1" numFmtId="4">
    <nc r="S71">
      <v>10277.18973</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653" sId="9" odxf="1" dxf="1" numFmtId="4">
    <oc r="T71">
      <v>11436.621999999999</v>
    </oc>
    <nc r="T71">
      <v>11671.434999999999</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U71" start="0" length="0">
    <dxf>
      <font>
        <b/>
        <sz val="14"/>
        <name val="Times New Roman"/>
        <scheme val="none"/>
      </font>
      <numFmt numFmtId="2" formatCode="0.00"/>
      <fill>
        <patternFill>
          <bgColor theme="0"/>
        </patternFill>
      </fill>
    </dxf>
  </rfmt>
  <rcc rId="9654" sId="9" odxf="1" dxf="1" numFmtId="4">
    <oc r="V71">
      <v>8819.4140000000007</v>
    </oc>
    <nc r="V71">
      <v>8930.23</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W71" start="0" length="0">
    <dxf>
      <font>
        <b/>
        <sz val="14"/>
        <name val="Times New Roman"/>
        <scheme val="none"/>
      </font>
      <numFmt numFmtId="2" formatCode="0.00"/>
      <fill>
        <patternFill>
          <bgColor theme="0"/>
        </patternFill>
      </fill>
    </dxf>
  </rfmt>
  <rcc rId="9655" sId="9" odxf="1" dxf="1" numFmtId="4">
    <oc r="X71">
      <v>7971.4210000000003</v>
    </oc>
    <nc r="X71">
      <v>8082.0829999999996</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Y71" start="0" length="0">
    <dxf>
      <font>
        <b/>
        <sz val="14"/>
        <name val="Times New Roman"/>
        <scheme val="none"/>
      </font>
      <numFmt numFmtId="2" formatCode="0.00"/>
      <fill>
        <patternFill>
          <bgColor theme="0"/>
        </patternFill>
      </fill>
    </dxf>
  </rfmt>
  <rcc rId="9656" sId="9" odxf="1" dxf="1" numFmtId="4">
    <oc r="Z71">
      <v>11918.214</v>
    </oc>
    <nc r="Z71">
      <v>11257.168</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A71" start="0" length="0">
    <dxf>
      <font>
        <b/>
        <sz val="14"/>
        <name val="Times New Roman"/>
        <scheme val="none"/>
      </font>
      <numFmt numFmtId="2" formatCode="0.00"/>
      <fill>
        <patternFill>
          <bgColor theme="0"/>
        </patternFill>
      </fill>
    </dxf>
  </rfmt>
  <rcc rId="9657" sId="9" odxf="1" dxf="1" numFmtId="4">
    <oc r="AB71">
      <v>8964.8549999999996</v>
    </oc>
    <nc r="AB71">
      <v>9021.9249999999993</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C71" start="0" length="0">
    <dxf>
      <font>
        <b/>
        <sz val="14"/>
        <name val="Times New Roman"/>
        <scheme val="none"/>
      </font>
      <numFmt numFmtId="2" formatCode="0.00"/>
      <fill>
        <patternFill>
          <bgColor theme="0"/>
        </patternFill>
      </fill>
    </dxf>
  </rfmt>
  <rcc rId="9658" sId="9" odxf="1" dxf="1" numFmtId="4">
    <oc r="AD71">
      <v>6974.12</v>
    </oc>
    <nc r="AD71">
      <v>7323.6729999999998</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E71" start="0" length="0">
    <dxf>
      <font>
        <b/>
        <sz val="14"/>
        <name val="Times New Roman"/>
        <scheme val="none"/>
      </font>
      <numFmt numFmtId="2" formatCode="0.00"/>
      <fill>
        <patternFill>
          <bgColor theme="0"/>
        </patternFill>
      </fill>
    </dxf>
  </rfmt>
  <rcc rId="9659" sId="9" odxf="1" dxf="1">
    <oc r="B72">
      <f>H72+J72+L72+N72+P72+R72+T72+V72+X72+Z72+AB72+AD72</f>
    </oc>
    <nc r="B72">
      <f>H72+J72+L72+N72+P72+R72+T72+V72+X72+Z72+AB72+AD72</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660" sId="9" odxf="1" dxf="1">
    <oc r="C72">
      <f>H72+J72</f>
    </oc>
    <nc r="C72">
      <f>H72</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661" sId="9" odxf="1" dxf="1">
    <oc r="D72">
      <f>E72</f>
    </oc>
    <nc r="D72">
      <f>E72</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E72" start="0" length="0">
    <dxf>
      <font>
        <b/>
        <sz val="14"/>
        <name val="Times New Roman"/>
        <scheme val="none"/>
      </font>
      <numFmt numFmtId="2" formatCode="0.00"/>
      <fill>
        <patternFill>
          <bgColor theme="0"/>
        </patternFill>
      </fill>
    </dxf>
  </rfmt>
  <rfmt sheetId="9" sqref="F72" start="0" length="0">
    <dxf>
      <font>
        <b/>
        <sz val="14"/>
        <name val="Times New Roman"/>
        <scheme val="none"/>
      </font>
      <numFmt numFmtId="2" formatCode="0.00"/>
      <fill>
        <patternFill>
          <bgColor theme="9" tint="0.79998168889431442"/>
        </patternFill>
      </fill>
    </dxf>
  </rfmt>
  <rfmt sheetId="9" sqref="G72" start="0" length="0">
    <dxf>
      <font>
        <b/>
        <sz val="14"/>
        <name val="Times New Roman"/>
        <scheme val="none"/>
      </font>
      <numFmt numFmtId="2" formatCode="0.00"/>
      <fill>
        <patternFill>
          <bgColor theme="9" tint="0.79998168889431442"/>
        </patternFill>
      </fill>
    </dxf>
  </rfmt>
  <rfmt sheetId="9" sqref="H72" start="0" length="0">
    <dxf>
      <font>
        <b/>
        <sz val="14"/>
        <name val="Times New Roman"/>
        <scheme val="none"/>
      </font>
      <numFmt numFmtId="2" formatCode="0.00"/>
      <fill>
        <patternFill>
          <bgColor theme="0"/>
        </patternFill>
      </fill>
    </dxf>
  </rfmt>
  <rfmt sheetId="9" sqref="I72" start="0" length="0">
    <dxf>
      <font>
        <b/>
        <sz val="14"/>
        <name val="Times New Roman"/>
        <scheme val="none"/>
      </font>
      <numFmt numFmtId="2" formatCode="0.00"/>
      <fill>
        <patternFill>
          <bgColor theme="0"/>
        </patternFill>
      </fill>
    </dxf>
  </rfmt>
  <rfmt sheetId="9" sqref="J72" start="0" length="0">
    <dxf>
      <font>
        <b/>
        <sz val="14"/>
        <name val="Times New Roman"/>
        <scheme val="none"/>
      </font>
      <numFmt numFmtId="2" formatCode="0.00"/>
      <fill>
        <patternFill>
          <bgColor theme="0"/>
        </patternFill>
      </fill>
    </dxf>
  </rfmt>
  <rfmt sheetId="9" sqref="K72" start="0" length="0">
    <dxf>
      <font>
        <b/>
        <sz val="14"/>
        <name val="Times New Roman"/>
        <scheme val="none"/>
      </font>
      <numFmt numFmtId="2" formatCode="0.00"/>
      <fill>
        <patternFill>
          <bgColor theme="0"/>
        </patternFill>
      </fill>
    </dxf>
  </rfmt>
  <rcc rId="9662" sId="9" odxf="1" dxf="1" numFmtId="4">
    <nc r="L72">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663" sId="9" odxf="1" dxf="1" numFmtId="4">
    <nc r="M72">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664" sId="9" odxf="1" dxf="1" numFmtId="4">
    <nc r="N72">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665" sId="9" odxf="1" dxf="1" numFmtId="4">
    <nc r="O72">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666" sId="9" odxf="1" dxf="1" numFmtId="4">
    <nc r="P72">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667" sId="9" odxf="1" dxf="1" numFmtId="4">
    <nc r="Q72">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668" sId="9" odxf="1" dxf="1" numFmtId="4">
    <nc r="R72">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669" sId="9" odxf="1" dxf="1" numFmtId="4">
    <nc r="S72">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670" sId="9" odxf="1" dxf="1" numFmtId="4">
    <nc r="T72">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U72" start="0" length="0">
    <dxf>
      <font>
        <b/>
        <sz val="14"/>
        <name val="Times New Roman"/>
        <scheme val="none"/>
      </font>
      <numFmt numFmtId="2" formatCode="0.00"/>
      <fill>
        <patternFill>
          <bgColor theme="0"/>
        </patternFill>
      </fill>
    </dxf>
  </rfmt>
  <rcc rId="9671" sId="9" odxf="1" dxf="1" numFmtId="4">
    <nc r="V72">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W72" start="0" length="0">
    <dxf>
      <font>
        <b/>
        <sz val="14"/>
        <name val="Times New Roman"/>
        <scheme val="none"/>
      </font>
      <numFmt numFmtId="2" formatCode="0.00"/>
      <fill>
        <patternFill>
          <bgColor theme="0"/>
        </patternFill>
      </fill>
    </dxf>
  </rfmt>
  <rcc rId="9672" sId="9" odxf="1" dxf="1" numFmtId="4">
    <nc r="X72">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Y72" start="0" length="0">
    <dxf>
      <font>
        <b/>
        <sz val="14"/>
        <name val="Times New Roman"/>
        <scheme val="none"/>
      </font>
      <numFmt numFmtId="2" formatCode="0.00"/>
      <fill>
        <patternFill>
          <bgColor theme="0"/>
        </patternFill>
      </fill>
    </dxf>
  </rfmt>
  <rcc rId="9673" sId="9" odxf="1" dxf="1" numFmtId="4">
    <nc r="Z72">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A72" start="0" length="0">
    <dxf>
      <font>
        <b/>
        <sz val="14"/>
        <name val="Times New Roman"/>
        <scheme val="none"/>
      </font>
      <numFmt numFmtId="2" formatCode="0.00"/>
      <fill>
        <patternFill>
          <bgColor theme="0"/>
        </patternFill>
      </fill>
    </dxf>
  </rfmt>
  <rcc rId="9674" sId="9" odxf="1" dxf="1" numFmtId="4">
    <nc r="AB72">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C72" start="0" length="0">
    <dxf>
      <font>
        <b/>
        <sz val="14"/>
        <name val="Times New Roman"/>
        <scheme val="none"/>
      </font>
      <numFmt numFmtId="2" formatCode="0.00"/>
      <fill>
        <patternFill>
          <bgColor theme="0"/>
        </patternFill>
      </fill>
    </dxf>
  </rfmt>
  <rcc rId="9675" sId="9" odxf="1" dxf="1" numFmtId="4">
    <nc r="AD72">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E72" start="0" length="0">
    <dxf>
      <font>
        <b/>
        <sz val="14"/>
        <name val="Times New Roman"/>
        <scheme val="none"/>
      </font>
      <numFmt numFmtId="2" formatCode="0.00"/>
      <fill>
        <patternFill>
          <bgColor theme="0"/>
        </patternFill>
      </fill>
    </dxf>
  </rfmt>
  <rcc rId="9676" sId="9" odxf="1" dxf="1">
    <oc r="B73">
      <f>B74</f>
    </oc>
    <nc r="B73">
      <f>B74</f>
    </nc>
    <odxf>
      <numFmt numFmtId="4" formatCode="#,##0.00"/>
      <fill>
        <patternFill>
          <bgColor theme="7" tint="0.79998168889431442"/>
        </patternFill>
      </fill>
    </odxf>
    <ndxf>
      <numFmt numFmtId="2" formatCode="0.00"/>
      <fill>
        <patternFill>
          <bgColor theme="0"/>
        </patternFill>
      </fill>
    </ndxf>
  </rcc>
  <rcc rId="9677" sId="9" odxf="1" dxf="1">
    <oc r="C73">
      <f>C74</f>
    </oc>
    <nc r="C73">
      <f>C74</f>
    </nc>
    <odxf>
      <numFmt numFmtId="4" formatCode="#,##0.00"/>
      <fill>
        <patternFill>
          <bgColor theme="7" tint="0.79998168889431442"/>
        </patternFill>
      </fill>
    </odxf>
    <ndxf>
      <numFmt numFmtId="2" formatCode="0.00"/>
      <fill>
        <patternFill>
          <bgColor theme="0"/>
        </patternFill>
      </fill>
    </ndxf>
  </rcc>
  <rcc rId="9678" sId="9" odxf="1" dxf="1">
    <oc r="D73">
      <f>D74</f>
    </oc>
    <nc r="D73">
      <f>D74</f>
    </nc>
    <odxf>
      <numFmt numFmtId="4" formatCode="#,##0.00"/>
      <fill>
        <patternFill>
          <bgColor theme="7" tint="0.79998168889431442"/>
        </patternFill>
      </fill>
    </odxf>
    <ndxf>
      <numFmt numFmtId="2" formatCode="0.00"/>
      <fill>
        <patternFill>
          <bgColor theme="0"/>
        </patternFill>
      </fill>
    </ndxf>
  </rcc>
  <rcc rId="9679" sId="9" odxf="1" dxf="1">
    <oc r="E73">
      <f>E74</f>
    </oc>
    <nc r="E73">
      <f>E74</f>
    </nc>
    <odxf>
      <numFmt numFmtId="4" formatCode="#,##0.00"/>
      <fill>
        <patternFill>
          <bgColor theme="7" tint="0.79998168889431442"/>
        </patternFill>
      </fill>
    </odxf>
    <ndxf>
      <numFmt numFmtId="2" formatCode="0.00"/>
      <fill>
        <patternFill>
          <bgColor theme="0"/>
        </patternFill>
      </fill>
    </ndxf>
  </rcc>
  <rcc rId="9680" sId="9" odxf="1" dxf="1">
    <oc r="F73">
      <f>E73/B73*100</f>
    </oc>
    <nc r="F73">
      <f>E73/B73*100</f>
    </nc>
    <odxf>
      <numFmt numFmtId="4" formatCode="#,##0.00"/>
      <fill>
        <patternFill>
          <bgColor theme="7" tint="0.79998168889431442"/>
        </patternFill>
      </fill>
    </odxf>
    <ndxf>
      <numFmt numFmtId="2" formatCode="0.00"/>
      <fill>
        <patternFill>
          <bgColor theme="9" tint="0.79998168889431442"/>
        </patternFill>
      </fill>
    </ndxf>
  </rcc>
  <rcc rId="9681" sId="9" odxf="1" dxf="1">
    <oc r="G73">
      <f>E73/C73*100</f>
    </oc>
    <nc r="G73">
      <f>E73/C73*100</f>
    </nc>
    <odxf>
      <numFmt numFmtId="4" formatCode="#,##0.00"/>
      <fill>
        <patternFill>
          <bgColor theme="7" tint="0.79998168889431442"/>
        </patternFill>
      </fill>
    </odxf>
    <ndxf>
      <numFmt numFmtId="2" formatCode="0.00"/>
      <fill>
        <patternFill>
          <bgColor theme="9" tint="0.79998168889431442"/>
        </patternFill>
      </fill>
    </ndxf>
  </rcc>
  <rcc rId="9682" sId="9" odxf="1" dxf="1">
    <oc r="H73">
      <f>H74</f>
    </oc>
    <nc r="H73">
      <f>H74</f>
    </nc>
    <odxf>
      <numFmt numFmtId="4" formatCode="#,##0.00"/>
      <fill>
        <patternFill>
          <bgColor theme="7" tint="0.79998168889431442"/>
        </patternFill>
      </fill>
    </odxf>
    <ndxf>
      <numFmt numFmtId="2" formatCode="0.00"/>
      <fill>
        <patternFill>
          <bgColor theme="0"/>
        </patternFill>
      </fill>
    </ndxf>
  </rcc>
  <rcc rId="9683" sId="9" odxf="1" dxf="1">
    <oc r="I73">
      <f>I74</f>
    </oc>
    <nc r="I73">
      <f>I74</f>
    </nc>
    <odxf>
      <numFmt numFmtId="4" formatCode="#,##0.00"/>
      <fill>
        <patternFill>
          <bgColor theme="7" tint="0.79998168889431442"/>
        </patternFill>
      </fill>
    </odxf>
    <ndxf>
      <numFmt numFmtId="2" formatCode="0.00"/>
      <fill>
        <patternFill>
          <bgColor theme="0"/>
        </patternFill>
      </fill>
    </ndxf>
  </rcc>
  <rcc rId="9684" sId="9" odxf="1" dxf="1">
    <oc r="J73">
      <f>J74</f>
    </oc>
    <nc r="J73">
      <f>J74</f>
    </nc>
    <odxf>
      <numFmt numFmtId="4" formatCode="#,##0.00"/>
      <fill>
        <patternFill>
          <bgColor theme="7" tint="0.79998168889431442"/>
        </patternFill>
      </fill>
    </odxf>
    <ndxf>
      <numFmt numFmtId="2" formatCode="0.00"/>
      <fill>
        <patternFill>
          <bgColor theme="0"/>
        </patternFill>
      </fill>
    </ndxf>
  </rcc>
  <rcc rId="9685" sId="9" odxf="1" dxf="1">
    <oc r="K73">
      <f>K74</f>
    </oc>
    <nc r="K73">
      <f>K74</f>
    </nc>
    <odxf>
      <numFmt numFmtId="4" formatCode="#,##0.00"/>
      <fill>
        <patternFill>
          <bgColor theme="7" tint="0.79998168889431442"/>
        </patternFill>
      </fill>
    </odxf>
    <ndxf>
      <numFmt numFmtId="2" formatCode="0.00"/>
      <fill>
        <patternFill>
          <bgColor theme="0"/>
        </patternFill>
      </fill>
    </ndxf>
  </rcc>
  <rcc rId="9686" sId="9" odxf="1" dxf="1">
    <oc r="L73">
      <f>L74</f>
    </oc>
    <nc r="L73">
      <f>L74</f>
    </nc>
    <odxf>
      <numFmt numFmtId="4" formatCode="#,##0.00"/>
      <fill>
        <patternFill>
          <bgColor theme="7" tint="0.79998168889431442"/>
        </patternFill>
      </fill>
    </odxf>
    <ndxf>
      <numFmt numFmtId="2" formatCode="0.00"/>
      <fill>
        <patternFill>
          <bgColor theme="0"/>
        </patternFill>
      </fill>
    </ndxf>
  </rcc>
  <rcc rId="9687" sId="9" odxf="1" dxf="1">
    <nc r="M73">
      <f>M74</f>
    </nc>
    <odxf>
      <numFmt numFmtId="4" formatCode="#,##0.00"/>
      <fill>
        <patternFill>
          <bgColor theme="7" tint="0.79998168889431442"/>
        </patternFill>
      </fill>
    </odxf>
    <ndxf>
      <numFmt numFmtId="2" formatCode="0.00"/>
      <fill>
        <patternFill>
          <bgColor theme="0"/>
        </patternFill>
      </fill>
    </ndxf>
  </rcc>
  <rcc rId="9688" sId="9" odxf="1" dxf="1">
    <oc r="N73">
      <f>N74</f>
    </oc>
    <nc r="N73">
      <f>N74</f>
    </nc>
    <odxf>
      <numFmt numFmtId="4" formatCode="#,##0.00"/>
      <fill>
        <patternFill>
          <bgColor theme="7" tint="0.79998168889431442"/>
        </patternFill>
      </fill>
    </odxf>
    <ndxf>
      <numFmt numFmtId="2" formatCode="0.00"/>
      <fill>
        <patternFill>
          <bgColor theme="0"/>
        </patternFill>
      </fill>
    </ndxf>
  </rcc>
  <rcc rId="9689" sId="9" odxf="1" dxf="1">
    <nc r="O73">
      <f>O74</f>
    </nc>
    <odxf>
      <numFmt numFmtId="4" formatCode="#,##0.00"/>
      <fill>
        <patternFill>
          <bgColor theme="7" tint="0.79998168889431442"/>
        </patternFill>
      </fill>
    </odxf>
    <ndxf>
      <numFmt numFmtId="2" formatCode="0.00"/>
      <fill>
        <patternFill>
          <bgColor theme="0"/>
        </patternFill>
      </fill>
    </ndxf>
  </rcc>
  <rcc rId="9690" sId="9" odxf="1" dxf="1">
    <oc r="P73">
      <f>P74</f>
    </oc>
    <nc r="P73">
      <f>P74</f>
    </nc>
    <odxf>
      <numFmt numFmtId="4" formatCode="#,##0.00"/>
      <fill>
        <patternFill>
          <bgColor theme="7" tint="0.79998168889431442"/>
        </patternFill>
      </fill>
    </odxf>
    <ndxf>
      <numFmt numFmtId="2" formatCode="0.00"/>
      <fill>
        <patternFill>
          <bgColor theme="0"/>
        </patternFill>
      </fill>
    </ndxf>
  </rcc>
  <rcc rId="9691" sId="9" odxf="1" dxf="1">
    <nc r="Q73">
      <f>Q74</f>
    </nc>
    <odxf>
      <numFmt numFmtId="4" formatCode="#,##0.00"/>
      <fill>
        <patternFill>
          <bgColor theme="7" tint="0.79998168889431442"/>
        </patternFill>
      </fill>
    </odxf>
    <ndxf>
      <numFmt numFmtId="2" formatCode="0.00"/>
      <fill>
        <patternFill>
          <bgColor theme="0"/>
        </patternFill>
      </fill>
    </ndxf>
  </rcc>
  <rcc rId="9692" sId="9" odxf="1" dxf="1">
    <oc r="R73">
      <f>R74</f>
    </oc>
    <nc r="R73">
      <f>R74</f>
    </nc>
    <odxf>
      <numFmt numFmtId="4" formatCode="#,##0.00"/>
      <fill>
        <patternFill>
          <bgColor theme="7" tint="0.79998168889431442"/>
        </patternFill>
      </fill>
    </odxf>
    <ndxf>
      <numFmt numFmtId="2" formatCode="0.00"/>
      <fill>
        <patternFill>
          <bgColor theme="0"/>
        </patternFill>
      </fill>
    </ndxf>
  </rcc>
  <rcc rId="9693" sId="9" odxf="1" dxf="1">
    <nc r="S73">
      <f>S74</f>
    </nc>
    <odxf>
      <numFmt numFmtId="4" formatCode="#,##0.00"/>
      <fill>
        <patternFill>
          <bgColor theme="7" tint="0.79998168889431442"/>
        </patternFill>
      </fill>
    </odxf>
    <ndxf>
      <numFmt numFmtId="2" formatCode="0.00"/>
      <fill>
        <patternFill>
          <bgColor theme="0"/>
        </patternFill>
      </fill>
    </ndxf>
  </rcc>
  <rcc rId="9694" sId="9" odxf="1" dxf="1">
    <oc r="T73">
      <f>T74</f>
    </oc>
    <nc r="T73">
      <f>T74</f>
    </nc>
    <odxf>
      <numFmt numFmtId="4" formatCode="#,##0.00"/>
      <fill>
        <patternFill>
          <bgColor theme="7" tint="0.79998168889431442"/>
        </patternFill>
      </fill>
    </odxf>
    <ndxf>
      <numFmt numFmtId="2" formatCode="0.00"/>
      <fill>
        <patternFill>
          <bgColor theme="0"/>
        </patternFill>
      </fill>
    </ndxf>
  </rcc>
  <rfmt sheetId="9" sqref="U73" start="0" length="0">
    <dxf>
      <numFmt numFmtId="2" formatCode="0.00"/>
      <fill>
        <patternFill>
          <bgColor theme="0"/>
        </patternFill>
      </fill>
    </dxf>
  </rfmt>
  <rcc rId="9695" sId="9" odxf="1" dxf="1">
    <oc r="V73">
      <f>V74</f>
    </oc>
    <nc r="V73">
      <f>V74</f>
    </nc>
    <odxf>
      <numFmt numFmtId="4" formatCode="#,##0.00"/>
      <fill>
        <patternFill>
          <bgColor theme="7" tint="0.79998168889431442"/>
        </patternFill>
      </fill>
    </odxf>
    <ndxf>
      <numFmt numFmtId="2" formatCode="0.00"/>
      <fill>
        <patternFill>
          <bgColor theme="0"/>
        </patternFill>
      </fill>
    </ndxf>
  </rcc>
  <rfmt sheetId="9" sqref="W73" start="0" length="0">
    <dxf>
      <numFmt numFmtId="2" formatCode="0.00"/>
      <fill>
        <patternFill>
          <bgColor theme="0"/>
        </patternFill>
      </fill>
    </dxf>
  </rfmt>
  <rcc rId="9696" sId="9" odxf="1" dxf="1">
    <oc r="X73">
      <f>X74</f>
    </oc>
    <nc r="X73">
      <f>X74</f>
    </nc>
    <odxf>
      <numFmt numFmtId="4" formatCode="#,##0.00"/>
      <fill>
        <patternFill>
          <bgColor theme="7" tint="0.79998168889431442"/>
        </patternFill>
      </fill>
    </odxf>
    <ndxf>
      <numFmt numFmtId="2" formatCode="0.00"/>
      <fill>
        <patternFill>
          <bgColor theme="0"/>
        </patternFill>
      </fill>
    </ndxf>
  </rcc>
  <rfmt sheetId="9" sqref="Y73" start="0" length="0">
    <dxf>
      <numFmt numFmtId="2" formatCode="0.00"/>
      <fill>
        <patternFill>
          <bgColor theme="0"/>
        </patternFill>
      </fill>
    </dxf>
  </rfmt>
  <rcc rId="9697" sId="9" odxf="1" dxf="1">
    <oc r="Z73">
      <f>Z74</f>
    </oc>
    <nc r="Z73">
      <f>Z74</f>
    </nc>
    <odxf>
      <numFmt numFmtId="4" formatCode="#,##0.00"/>
      <fill>
        <patternFill>
          <bgColor theme="7" tint="0.79998168889431442"/>
        </patternFill>
      </fill>
    </odxf>
    <ndxf>
      <numFmt numFmtId="2" formatCode="0.00"/>
      <fill>
        <patternFill>
          <bgColor theme="0"/>
        </patternFill>
      </fill>
    </ndxf>
  </rcc>
  <rfmt sheetId="9" sqref="AA73" start="0" length="0">
    <dxf>
      <numFmt numFmtId="2" formatCode="0.00"/>
      <fill>
        <patternFill>
          <bgColor theme="0"/>
        </patternFill>
      </fill>
    </dxf>
  </rfmt>
  <rcc rId="9698" sId="9" odxf="1" dxf="1">
    <oc r="AB73">
      <f>AB74</f>
    </oc>
    <nc r="AB73">
      <f>AB74</f>
    </nc>
    <odxf>
      <numFmt numFmtId="4" formatCode="#,##0.00"/>
      <fill>
        <patternFill>
          <bgColor theme="7" tint="0.79998168889431442"/>
        </patternFill>
      </fill>
    </odxf>
    <ndxf>
      <numFmt numFmtId="2" formatCode="0.00"/>
      <fill>
        <patternFill>
          <bgColor theme="0"/>
        </patternFill>
      </fill>
    </ndxf>
  </rcc>
  <rfmt sheetId="9" sqref="AC73" start="0" length="0">
    <dxf>
      <numFmt numFmtId="2" formatCode="0.00"/>
      <fill>
        <patternFill>
          <bgColor theme="0"/>
        </patternFill>
      </fill>
    </dxf>
  </rfmt>
  <rcc rId="9699" sId="9" odxf="1" dxf="1">
    <oc r="AD73">
      <f>AD74</f>
    </oc>
    <nc r="AD73">
      <f>AD74</f>
    </nc>
    <odxf>
      <numFmt numFmtId="4" formatCode="#,##0.00"/>
      <fill>
        <patternFill>
          <bgColor theme="7" tint="0.79998168889431442"/>
        </patternFill>
      </fill>
    </odxf>
    <ndxf>
      <numFmt numFmtId="2" formatCode="0.00"/>
      <fill>
        <patternFill>
          <bgColor theme="0"/>
        </patternFill>
      </fill>
    </ndxf>
  </rcc>
  <rfmt sheetId="9" sqref="AE73" start="0" length="0">
    <dxf>
      <numFmt numFmtId="2" formatCode="0.00"/>
      <fill>
        <patternFill>
          <bgColor theme="0"/>
        </patternFill>
      </fill>
    </dxf>
  </rfmt>
  <rcc rId="9700" sId="9" odxf="1" dxf="1">
    <oc r="B74">
      <f>B75+B76+B77+B78</f>
    </oc>
    <nc r="B74">
      <f>B75+B76+B77+B78</f>
    </nc>
    <odxf>
      <numFmt numFmtId="4" formatCode="#,##0.00"/>
      <fill>
        <patternFill>
          <bgColor theme="7" tint="0.79998168889431442"/>
        </patternFill>
      </fill>
    </odxf>
    <ndxf>
      <numFmt numFmtId="2" formatCode="0.00"/>
      <fill>
        <patternFill>
          <bgColor theme="0"/>
        </patternFill>
      </fill>
    </ndxf>
  </rcc>
  <rcc rId="9701" sId="9" odxf="1" dxf="1">
    <oc r="C74">
      <f>C75+C76+C77+C78</f>
    </oc>
    <nc r="C74">
      <f>C75+C76+C77+C78</f>
    </nc>
    <odxf>
      <numFmt numFmtId="4" formatCode="#,##0.00"/>
      <fill>
        <patternFill>
          <bgColor theme="7" tint="0.79998168889431442"/>
        </patternFill>
      </fill>
    </odxf>
    <ndxf>
      <numFmt numFmtId="2" formatCode="0.00"/>
      <fill>
        <patternFill>
          <bgColor theme="0"/>
        </patternFill>
      </fill>
    </ndxf>
  </rcc>
  <rcc rId="9702" sId="9" odxf="1" dxf="1">
    <oc r="D74">
      <f>D75+D76+D77+D78</f>
    </oc>
    <nc r="D74">
      <f>D75+D76+D77+D78</f>
    </nc>
    <odxf>
      <numFmt numFmtId="4" formatCode="#,##0.00"/>
      <fill>
        <patternFill>
          <bgColor theme="7" tint="0.79998168889431442"/>
        </patternFill>
      </fill>
    </odxf>
    <ndxf>
      <numFmt numFmtId="2" formatCode="0.00"/>
      <fill>
        <patternFill>
          <bgColor theme="0"/>
        </patternFill>
      </fill>
    </ndxf>
  </rcc>
  <rcc rId="9703" sId="9" odxf="1" dxf="1">
    <oc r="E74">
      <f>E75+E76+E77+E78</f>
    </oc>
    <nc r="E74">
      <f>E75+E76+E77+E78</f>
    </nc>
    <odxf>
      <numFmt numFmtId="4" formatCode="#,##0.00"/>
      <fill>
        <patternFill>
          <bgColor theme="7" tint="0.79998168889431442"/>
        </patternFill>
      </fill>
    </odxf>
    <ndxf>
      <numFmt numFmtId="2" formatCode="0.00"/>
      <fill>
        <patternFill>
          <bgColor theme="0"/>
        </patternFill>
      </fill>
    </ndxf>
  </rcc>
  <rcc rId="9704" sId="9" odxf="1" dxf="1">
    <oc r="F74">
      <f>E74/B74*100</f>
    </oc>
    <nc r="F74">
      <f>E74/B74*100</f>
    </nc>
    <odxf>
      <numFmt numFmtId="4" formatCode="#,##0.00"/>
      <fill>
        <patternFill>
          <bgColor theme="7" tint="0.79998168889431442"/>
        </patternFill>
      </fill>
    </odxf>
    <ndxf>
      <numFmt numFmtId="2" formatCode="0.00"/>
      <fill>
        <patternFill>
          <bgColor theme="9" tint="0.79998168889431442"/>
        </patternFill>
      </fill>
    </ndxf>
  </rcc>
  <rcc rId="9705" sId="9" odxf="1" dxf="1">
    <oc r="G74">
      <f>E74/C74*100</f>
    </oc>
    <nc r="G74">
      <f>E74/C74*100</f>
    </nc>
    <odxf>
      <numFmt numFmtId="4" formatCode="#,##0.00"/>
      <fill>
        <patternFill>
          <bgColor theme="7" tint="0.79998168889431442"/>
        </patternFill>
      </fill>
    </odxf>
    <ndxf>
      <numFmt numFmtId="2" formatCode="0.00"/>
      <fill>
        <patternFill>
          <bgColor theme="9" tint="0.79998168889431442"/>
        </patternFill>
      </fill>
    </ndxf>
  </rcc>
  <rcc rId="9706" sId="9" odxf="1" dxf="1">
    <oc r="H74">
      <f>H75+H76+H77+H78</f>
    </oc>
    <nc r="H74">
      <f>H75+H76+H77+H78</f>
    </nc>
    <odxf>
      <numFmt numFmtId="4" formatCode="#,##0.00"/>
      <fill>
        <patternFill>
          <bgColor theme="7" tint="0.79998168889431442"/>
        </patternFill>
      </fill>
    </odxf>
    <ndxf>
      <numFmt numFmtId="2" formatCode="0.00"/>
      <fill>
        <patternFill>
          <bgColor theme="0"/>
        </patternFill>
      </fill>
    </ndxf>
  </rcc>
  <rcc rId="9707" sId="9" odxf="1" dxf="1">
    <oc r="I74">
      <f>I75+I76+I77+I78</f>
    </oc>
    <nc r="I74">
      <f>I75+I76+I77+I78</f>
    </nc>
    <odxf>
      <numFmt numFmtId="4" formatCode="#,##0.00"/>
      <fill>
        <patternFill>
          <bgColor theme="7" tint="0.79998168889431442"/>
        </patternFill>
      </fill>
    </odxf>
    <ndxf>
      <numFmt numFmtId="2" formatCode="0.00"/>
      <fill>
        <patternFill>
          <bgColor theme="0"/>
        </patternFill>
      </fill>
    </ndxf>
  </rcc>
  <rcc rId="9708" sId="9" odxf="1" dxf="1">
    <oc r="J74">
      <f>J75+J76+J77+J78</f>
    </oc>
    <nc r="J74">
      <f>J75+J76+J77+J78</f>
    </nc>
    <odxf>
      <numFmt numFmtId="4" formatCode="#,##0.00"/>
      <fill>
        <patternFill>
          <bgColor theme="7" tint="0.79998168889431442"/>
        </patternFill>
      </fill>
    </odxf>
    <ndxf>
      <numFmt numFmtId="2" formatCode="0.00"/>
      <fill>
        <patternFill>
          <bgColor theme="0"/>
        </patternFill>
      </fill>
    </ndxf>
  </rcc>
  <rcc rId="9709" sId="9" odxf="1" dxf="1">
    <oc r="K74">
      <f>K75+K76+K77+K78</f>
    </oc>
    <nc r="K74">
      <f>K75+K76+K77+K78</f>
    </nc>
    <odxf>
      <numFmt numFmtId="4" formatCode="#,##0.00"/>
      <fill>
        <patternFill>
          <bgColor theme="7" tint="0.79998168889431442"/>
        </patternFill>
      </fill>
    </odxf>
    <ndxf>
      <numFmt numFmtId="2" formatCode="0.00"/>
      <fill>
        <patternFill>
          <bgColor theme="0"/>
        </patternFill>
      </fill>
    </ndxf>
  </rcc>
  <rcc rId="9710" sId="9" odxf="1" dxf="1">
    <oc r="L74">
      <f>L75+L76+L77+L78</f>
    </oc>
    <nc r="L74">
      <f>L75+L76+L77+L78</f>
    </nc>
    <odxf>
      <numFmt numFmtId="4" formatCode="#,##0.00"/>
      <fill>
        <patternFill>
          <bgColor theme="7" tint="0.79998168889431442"/>
        </patternFill>
      </fill>
    </odxf>
    <ndxf>
      <numFmt numFmtId="2" formatCode="0.00"/>
      <fill>
        <patternFill>
          <bgColor theme="0"/>
        </patternFill>
      </fill>
    </ndxf>
  </rcc>
  <rcc rId="9711" sId="9" odxf="1" dxf="1">
    <nc r="M74">
      <f>M75+M76+M77+M78</f>
    </nc>
    <odxf>
      <numFmt numFmtId="4" formatCode="#,##0.00"/>
      <fill>
        <patternFill>
          <bgColor theme="7" tint="0.79998168889431442"/>
        </patternFill>
      </fill>
    </odxf>
    <ndxf>
      <numFmt numFmtId="2" formatCode="0.00"/>
      <fill>
        <patternFill>
          <bgColor theme="0"/>
        </patternFill>
      </fill>
    </ndxf>
  </rcc>
  <rcc rId="9712" sId="9" odxf="1" dxf="1">
    <oc r="N74">
      <f>N75+N76+N77+N78</f>
    </oc>
    <nc r="N74">
      <f>N75+N76+N77+N78</f>
    </nc>
    <odxf>
      <numFmt numFmtId="4" formatCode="#,##0.00"/>
      <fill>
        <patternFill>
          <bgColor theme="7" tint="0.79998168889431442"/>
        </patternFill>
      </fill>
    </odxf>
    <ndxf>
      <numFmt numFmtId="2" formatCode="0.00"/>
      <fill>
        <patternFill>
          <bgColor theme="0"/>
        </patternFill>
      </fill>
    </ndxf>
  </rcc>
  <rcc rId="9713" sId="9" odxf="1" dxf="1">
    <nc r="O74">
      <f>O75+O76+O77+O78</f>
    </nc>
    <odxf>
      <numFmt numFmtId="4" formatCode="#,##0.00"/>
      <fill>
        <patternFill>
          <bgColor theme="7" tint="0.79998168889431442"/>
        </patternFill>
      </fill>
    </odxf>
    <ndxf>
      <numFmt numFmtId="2" formatCode="0.00"/>
      <fill>
        <patternFill>
          <bgColor theme="0"/>
        </patternFill>
      </fill>
    </ndxf>
  </rcc>
  <rcc rId="9714" sId="9" odxf="1" dxf="1">
    <oc r="P74">
      <f>P75+P76+P77+P78</f>
    </oc>
    <nc r="P74">
      <f>P75+P76+P77+P78</f>
    </nc>
    <odxf>
      <numFmt numFmtId="4" formatCode="#,##0.00"/>
      <fill>
        <patternFill>
          <bgColor theme="7" tint="0.79998168889431442"/>
        </patternFill>
      </fill>
    </odxf>
    <ndxf>
      <numFmt numFmtId="2" formatCode="0.00"/>
      <fill>
        <patternFill>
          <bgColor theme="0"/>
        </patternFill>
      </fill>
    </ndxf>
  </rcc>
  <rcc rId="9715" sId="9" odxf="1" dxf="1">
    <nc r="Q74">
      <f>Q75+Q76+Q77+Q78</f>
    </nc>
    <odxf>
      <numFmt numFmtId="4" formatCode="#,##0.00"/>
      <fill>
        <patternFill>
          <bgColor theme="7" tint="0.79998168889431442"/>
        </patternFill>
      </fill>
    </odxf>
    <ndxf>
      <numFmt numFmtId="2" formatCode="0.00"/>
      <fill>
        <patternFill>
          <bgColor theme="0"/>
        </patternFill>
      </fill>
    </ndxf>
  </rcc>
  <rcc rId="9716" sId="9" odxf="1" dxf="1">
    <oc r="R74">
      <f>R75+R76+R77+R78</f>
    </oc>
    <nc r="R74">
      <f>R75+R76+R77+R78</f>
    </nc>
    <odxf>
      <numFmt numFmtId="4" formatCode="#,##0.00"/>
      <fill>
        <patternFill>
          <bgColor theme="7" tint="0.79998168889431442"/>
        </patternFill>
      </fill>
    </odxf>
    <ndxf>
      <numFmt numFmtId="2" formatCode="0.00"/>
      <fill>
        <patternFill>
          <bgColor theme="0"/>
        </patternFill>
      </fill>
    </ndxf>
  </rcc>
  <rcc rId="9717" sId="9" odxf="1" dxf="1">
    <nc r="S74">
      <f>S75+S76+S77+S78</f>
    </nc>
    <odxf>
      <numFmt numFmtId="4" formatCode="#,##0.00"/>
      <fill>
        <patternFill>
          <bgColor theme="7" tint="0.79998168889431442"/>
        </patternFill>
      </fill>
    </odxf>
    <ndxf>
      <numFmt numFmtId="2" formatCode="0.00"/>
      <fill>
        <patternFill>
          <bgColor theme="0"/>
        </patternFill>
      </fill>
    </ndxf>
  </rcc>
  <rcc rId="9718" sId="9" odxf="1" dxf="1">
    <oc r="T74">
      <f>T75+T76+T77+T78</f>
    </oc>
    <nc r="T74">
      <f>T75+T76+T77+T78</f>
    </nc>
    <odxf>
      <numFmt numFmtId="4" formatCode="#,##0.00"/>
      <fill>
        <patternFill>
          <bgColor theme="7" tint="0.79998168889431442"/>
        </patternFill>
      </fill>
    </odxf>
    <ndxf>
      <numFmt numFmtId="2" formatCode="0.00"/>
      <fill>
        <patternFill>
          <bgColor theme="0"/>
        </patternFill>
      </fill>
    </ndxf>
  </rcc>
  <rfmt sheetId="9" sqref="U74" start="0" length="0">
    <dxf>
      <numFmt numFmtId="2" formatCode="0.00"/>
      <fill>
        <patternFill>
          <bgColor theme="0"/>
        </patternFill>
      </fill>
    </dxf>
  </rfmt>
  <rcc rId="9719" sId="9" odxf="1" dxf="1">
    <oc r="V74">
      <f>V75+V76+V77+V78</f>
    </oc>
    <nc r="V74">
      <f>V75+V76+V77+V78</f>
    </nc>
    <odxf>
      <numFmt numFmtId="4" formatCode="#,##0.00"/>
      <fill>
        <patternFill>
          <bgColor theme="7" tint="0.79998168889431442"/>
        </patternFill>
      </fill>
    </odxf>
    <ndxf>
      <numFmt numFmtId="2" formatCode="0.00"/>
      <fill>
        <patternFill>
          <bgColor theme="0"/>
        </patternFill>
      </fill>
    </ndxf>
  </rcc>
  <rfmt sheetId="9" sqref="W74" start="0" length="0">
    <dxf>
      <numFmt numFmtId="2" formatCode="0.00"/>
      <fill>
        <patternFill>
          <bgColor theme="0"/>
        </patternFill>
      </fill>
    </dxf>
  </rfmt>
  <rcc rId="9720" sId="9" odxf="1" dxf="1">
    <oc r="X74">
      <f>X75+X76+X77+X78</f>
    </oc>
    <nc r="X74">
      <f>X75+X76+X77+X78</f>
    </nc>
    <odxf>
      <numFmt numFmtId="4" formatCode="#,##0.00"/>
      <fill>
        <patternFill>
          <bgColor theme="7" tint="0.79998168889431442"/>
        </patternFill>
      </fill>
    </odxf>
    <ndxf>
      <numFmt numFmtId="2" formatCode="0.00"/>
      <fill>
        <patternFill>
          <bgColor theme="0"/>
        </patternFill>
      </fill>
    </ndxf>
  </rcc>
  <rfmt sheetId="9" sqref="Y74" start="0" length="0">
    <dxf>
      <numFmt numFmtId="2" formatCode="0.00"/>
      <fill>
        <patternFill>
          <bgColor theme="0"/>
        </patternFill>
      </fill>
    </dxf>
  </rfmt>
  <rcc rId="9721" sId="9" odxf="1" dxf="1">
    <oc r="Z74">
      <f>Z75+Z76+Z77+Z78</f>
    </oc>
    <nc r="Z74">
      <f>Z75+Z76+Z77+Z78</f>
    </nc>
    <odxf>
      <numFmt numFmtId="4" formatCode="#,##0.00"/>
      <fill>
        <patternFill>
          <bgColor theme="7" tint="0.79998168889431442"/>
        </patternFill>
      </fill>
    </odxf>
    <ndxf>
      <numFmt numFmtId="2" formatCode="0.00"/>
      <fill>
        <patternFill>
          <bgColor theme="0"/>
        </patternFill>
      </fill>
    </ndxf>
  </rcc>
  <rfmt sheetId="9" sqref="AA74" start="0" length="0">
    <dxf>
      <numFmt numFmtId="2" formatCode="0.00"/>
      <fill>
        <patternFill>
          <bgColor theme="0"/>
        </patternFill>
      </fill>
    </dxf>
  </rfmt>
  <rcc rId="9722" sId="9" odxf="1" dxf="1">
    <oc r="AB74">
      <f>AB75+AB76+AB77+AB78</f>
    </oc>
    <nc r="AB74">
      <f>AB75+AB76+AB77+AB78</f>
    </nc>
    <odxf>
      <numFmt numFmtId="4" formatCode="#,##0.00"/>
      <fill>
        <patternFill>
          <bgColor theme="7" tint="0.79998168889431442"/>
        </patternFill>
      </fill>
    </odxf>
    <ndxf>
      <numFmt numFmtId="2" formatCode="0.00"/>
      <fill>
        <patternFill>
          <bgColor theme="0"/>
        </patternFill>
      </fill>
    </ndxf>
  </rcc>
  <rfmt sheetId="9" sqref="AC74" start="0" length="0">
    <dxf>
      <numFmt numFmtId="2" formatCode="0.00"/>
      <fill>
        <patternFill>
          <bgColor theme="0"/>
        </patternFill>
      </fill>
    </dxf>
  </rfmt>
  <rcc rId="9723" sId="9" odxf="1" dxf="1">
    <oc r="AD74">
      <f>AD75+AD76+AD77+AD78</f>
    </oc>
    <nc r="AD74">
      <f>AD75+AD76+AD77+AD78</f>
    </nc>
    <odxf>
      <numFmt numFmtId="4" formatCode="#,##0.00"/>
      <fill>
        <patternFill>
          <bgColor theme="7" tint="0.79998168889431442"/>
        </patternFill>
      </fill>
    </odxf>
    <ndxf>
      <numFmt numFmtId="2" formatCode="0.00"/>
      <fill>
        <patternFill>
          <bgColor theme="0"/>
        </patternFill>
      </fill>
    </ndxf>
  </rcc>
  <rfmt sheetId="9" sqref="AE74" start="0" length="0">
    <dxf>
      <numFmt numFmtId="2" formatCode="0.00"/>
      <fill>
        <patternFill>
          <bgColor theme="0"/>
        </patternFill>
      </fill>
    </dxf>
  </rfmt>
  <rcc rId="9724" sId="9" odxf="1" dxf="1">
    <oc r="B75">
      <f>H75+J75+L75+N75+P75+R75+T75+V75+X75+Z75+AB75+AD75</f>
    </oc>
    <nc r="B75">
      <f>H75+J75+L75+N75+P75+R75+T75+V75+X75+Z75+AB75+AD75</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725" sId="9" odxf="1" dxf="1">
    <oc r="C75">
      <f>H75+J75</f>
    </oc>
    <nc r="C75">
      <f>H75+J75+L75+N75+P75+R75</f>
    </nc>
    <odxf>
      <font>
        <b val="0"/>
        <sz val="14"/>
        <name val="Times New Roman"/>
        <scheme val="none"/>
      </font>
      <numFmt numFmtId="4" formatCode="#,##0.00"/>
      <fill>
        <patternFill>
          <bgColor theme="7" tint="0.79998168889431442"/>
        </patternFill>
      </fill>
      <border outline="0">
        <right style="thin">
          <color indexed="64"/>
        </right>
      </border>
    </odxf>
    <ndxf>
      <font>
        <b/>
        <sz val="14"/>
        <name val="Times New Roman"/>
        <scheme val="none"/>
      </font>
      <numFmt numFmtId="2" formatCode="0.00"/>
      <fill>
        <patternFill>
          <bgColor theme="0"/>
        </patternFill>
      </fill>
      <border outline="0">
        <right/>
      </border>
    </ndxf>
  </rcc>
  <rcc rId="9726" sId="9" odxf="1" dxf="1">
    <oc r="D75">
      <f>E75</f>
    </oc>
    <nc r="D75">
      <f>E75</f>
    </nc>
    <odxf>
      <font>
        <b val="0"/>
        <sz val="14"/>
        <name val="Times New Roman"/>
        <scheme val="none"/>
      </font>
      <numFmt numFmtId="4" formatCode="#,##0.00"/>
      <fill>
        <patternFill>
          <bgColor theme="7" tint="0.79998168889431442"/>
        </patternFill>
      </fill>
      <border outline="0">
        <right style="thin">
          <color indexed="64"/>
        </right>
      </border>
    </odxf>
    <ndxf>
      <font>
        <b/>
        <sz val="14"/>
        <name val="Times New Roman"/>
        <scheme val="none"/>
      </font>
      <numFmt numFmtId="2" formatCode="0.00"/>
      <fill>
        <patternFill>
          <bgColor theme="0"/>
        </patternFill>
      </fill>
      <border outline="0">
        <right/>
      </border>
    </ndxf>
  </rcc>
  <rcc rId="9727" sId="9" odxf="1" dxf="1">
    <oc r="E75">
      <f>I75</f>
    </oc>
    <nc r="E75">
      <f>I75+K75+M75+O75+Q75+S75</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728" sId="9" odxf="1" dxf="1">
    <oc r="F75">
      <f>E75/B75*100</f>
    </oc>
    <nc r="F75">
      <f>E75/B75*100</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9" tint="0.79998168889431442"/>
        </patternFill>
      </fill>
    </ndxf>
  </rcc>
  <rcc rId="9729" sId="9" odxf="1" dxf="1">
    <oc r="G75">
      <f>E75/C75*100</f>
    </oc>
    <nc r="G75">
      <f>E75/C75*100</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9" tint="0.79998168889431442"/>
        </patternFill>
      </fill>
    </ndxf>
  </rcc>
  <rfmt sheetId="9" sqref="H75" start="0" length="0">
    <dxf>
      <font>
        <b/>
        <sz val="14"/>
        <name val="Times New Roman"/>
        <scheme val="none"/>
      </font>
      <numFmt numFmtId="2" formatCode="0.00"/>
      <fill>
        <patternFill>
          <bgColor theme="0"/>
        </patternFill>
      </fill>
    </dxf>
  </rfmt>
  <rcc rId="9730" sId="9" odxf="1" dxf="1" numFmtId="4">
    <oc r="I75">
      <v>415.91</v>
    </oc>
    <nc r="I75">
      <v>415.91363999999999</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731" sId="9" odxf="1" dxf="1" numFmtId="4">
    <oc r="J75">
      <v>873.86</v>
    </oc>
    <nc r="J75">
      <v>873.85599999999999</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732" sId="9" odxf="1" dxf="1" numFmtId="4">
    <oc r="K75">
      <v>855.95</v>
    </oc>
    <nc r="K75">
      <f>579.75136+2+260.09835+14.1</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L75" start="0" length="0">
    <dxf>
      <font>
        <b/>
        <sz val="14"/>
        <name val="Times New Roman"/>
        <scheme val="none"/>
      </font>
      <numFmt numFmtId="2" formatCode="0.00"/>
      <fill>
        <patternFill>
          <bgColor theme="0"/>
        </patternFill>
      </fill>
    </dxf>
  </rfmt>
  <rcc rId="9733" sId="9" odxf="1" dxf="1" numFmtId="4">
    <nc r="M75">
      <v>196.17665</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734" sId="9" odxf="1" dxf="1" numFmtId="4">
    <oc r="N75">
      <v>555.70799999999997</v>
    </oc>
    <nc r="N75">
      <v>565.00800000000004</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735" sId="9" odxf="1" dxf="1" numFmtId="4">
    <nc r="O75">
      <v>335.28814</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736" sId="9" odxf="1" dxf="1" numFmtId="4">
    <oc r="P75">
      <v>522.00099999999998</v>
    </oc>
    <nc r="P75">
      <v>652.87800000000004</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737" sId="9" odxf="1" dxf="1" numFmtId="4">
    <nc r="Q75">
      <v>780.76721999999995</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738" sId="9" odxf="1" dxf="1" numFmtId="4">
    <oc r="R75">
      <v>462.14499999999998</v>
    </oc>
    <nc r="R75">
      <v>321.97699999999998</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739" sId="9" odxf="1" dxf="1" numFmtId="4">
    <nc r="S75">
      <v>423.84464000000003</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T75" start="0" length="0">
    <dxf>
      <font>
        <b/>
        <sz val="14"/>
        <name val="Times New Roman"/>
        <scheme val="none"/>
      </font>
      <numFmt numFmtId="2" formatCode="0.00"/>
      <fill>
        <patternFill>
          <bgColor theme="0"/>
        </patternFill>
      </fill>
    </dxf>
  </rfmt>
  <rfmt sheetId="9" sqref="U75" start="0" length="0">
    <dxf>
      <font>
        <b/>
        <sz val="14"/>
        <name val="Times New Roman"/>
        <scheme val="none"/>
      </font>
      <numFmt numFmtId="2" formatCode="0.00"/>
      <fill>
        <patternFill>
          <bgColor theme="0"/>
        </patternFill>
      </fill>
    </dxf>
  </rfmt>
  <rfmt sheetId="9" sqref="V75" start="0" length="0">
    <dxf>
      <font>
        <b/>
        <sz val="14"/>
        <name val="Times New Roman"/>
        <scheme val="none"/>
      </font>
      <numFmt numFmtId="2" formatCode="0.00"/>
      <fill>
        <patternFill>
          <bgColor theme="0"/>
        </patternFill>
      </fill>
    </dxf>
  </rfmt>
  <rfmt sheetId="9" sqref="W75" start="0" length="0">
    <dxf>
      <font>
        <b/>
        <sz val="14"/>
        <name val="Times New Roman"/>
        <scheme val="none"/>
      </font>
      <numFmt numFmtId="2" formatCode="0.00"/>
      <fill>
        <patternFill>
          <bgColor theme="0"/>
        </patternFill>
      </fill>
    </dxf>
  </rfmt>
  <rfmt sheetId="9" sqref="X75" start="0" length="0">
    <dxf>
      <font>
        <b/>
        <sz val="14"/>
        <name val="Times New Roman"/>
        <scheme val="none"/>
      </font>
      <numFmt numFmtId="2" formatCode="0.00"/>
      <fill>
        <patternFill>
          <bgColor theme="0"/>
        </patternFill>
      </fill>
    </dxf>
  </rfmt>
  <rfmt sheetId="9" sqref="Y75" start="0" length="0">
    <dxf>
      <font>
        <b/>
        <sz val="14"/>
        <name val="Times New Roman"/>
        <scheme val="none"/>
      </font>
      <numFmt numFmtId="2" formatCode="0.00"/>
      <fill>
        <patternFill>
          <bgColor theme="0"/>
        </patternFill>
      </fill>
    </dxf>
  </rfmt>
  <rfmt sheetId="9" sqref="Z75" start="0" length="0">
    <dxf>
      <font>
        <b/>
        <sz val="14"/>
        <name val="Times New Roman"/>
        <scheme val="none"/>
      </font>
      <numFmt numFmtId="2" formatCode="0.00"/>
      <fill>
        <patternFill>
          <bgColor theme="0"/>
        </patternFill>
      </fill>
    </dxf>
  </rfmt>
  <rfmt sheetId="9" sqref="AA75" start="0" length="0">
    <dxf>
      <font>
        <b/>
        <sz val="14"/>
        <name val="Times New Roman"/>
        <scheme val="none"/>
      </font>
      <numFmt numFmtId="2" formatCode="0.00"/>
      <fill>
        <patternFill>
          <bgColor theme="0"/>
        </patternFill>
      </fill>
    </dxf>
  </rfmt>
  <rfmt sheetId="9" sqref="AB75" start="0" length="0">
    <dxf>
      <font>
        <b/>
        <sz val="14"/>
        <name val="Times New Roman"/>
        <scheme val="none"/>
      </font>
      <numFmt numFmtId="2" formatCode="0.00"/>
      <fill>
        <patternFill>
          <bgColor theme="0"/>
        </patternFill>
      </fill>
    </dxf>
  </rfmt>
  <rfmt sheetId="9" sqref="AC75" start="0" length="0">
    <dxf>
      <font>
        <b/>
        <sz val="14"/>
        <name val="Times New Roman"/>
        <scheme val="none"/>
      </font>
      <numFmt numFmtId="2" formatCode="0.00"/>
      <fill>
        <patternFill>
          <bgColor theme="0"/>
        </patternFill>
      </fill>
    </dxf>
  </rfmt>
  <rcc rId="9740" sId="9" odxf="1" dxf="1" numFmtId="4">
    <oc r="AD75">
      <v>524.34400000000005</v>
    </oc>
    <nc r="AD75">
      <v>524.33500000000004</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E75" start="0" length="0">
    <dxf>
      <font>
        <b/>
        <sz val="14"/>
        <name val="Times New Roman"/>
        <scheme val="none"/>
      </font>
      <numFmt numFmtId="2" formatCode="0.00"/>
      <fill>
        <patternFill>
          <bgColor theme="0"/>
        </patternFill>
      </fill>
    </dxf>
  </rfmt>
  <rcc rId="9741" sId="9" odxf="1" dxf="1">
    <oc r="B76">
      <f>H76+J76+L76+N76+P76+R76+T76+V76+X76+Z76+AB76+AD76</f>
    </oc>
    <nc r="B76">
      <f>H76+J76+L76+N76+P76+R76+T76+V76+X76+Z76+AB76+AD76</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742" sId="9" odxf="1" dxf="1">
    <oc r="C76">
      <f>H76+J76+L76</f>
    </oc>
    <nc r="C76">
      <f>H76+J76+L76+N76+P76+R76</f>
    </nc>
    <odxf>
      <font>
        <b val="0"/>
        <sz val="14"/>
        <name val="Times New Roman"/>
        <scheme val="none"/>
      </font>
      <numFmt numFmtId="4" formatCode="#,##0.00"/>
      <fill>
        <patternFill>
          <bgColor theme="7" tint="0.79998168889431442"/>
        </patternFill>
      </fill>
      <border outline="0">
        <right style="thin">
          <color indexed="64"/>
        </right>
      </border>
    </odxf>
    <ndxf>
      <font>
        <b/>
        <sz val="14"/>
        <name val="Times New Roman"/>
        <scheme val="none"/>
      </font>
      <numFmt numFmtId="2" formatCode="0.00"/>
      <fill>
        <patternFill>
          <bgColor theme="0"/>
        </patternFill>
      </fill>
      <border outline="0">
        <right/>
      </border>
    </ndxf>
  </rcc>
  <rcc rId="9743" sId="9" odxf="1" dxf="1">
    <oc r="D76">
      <f>E76</f>
    </oc>
    <nc r="D76">
      <f>E76</f>
    </nc>
    <odxf>
      <font>
        <b val="0"/>
        <sz val="14"/>
        <name val="Times New Roman"/>
        <scheme val="none"/>
      </font>
      <numFmt numFmtId="4" formatCode="#,##0.00"/>
      <fill>
        <patternFill>
          <bgColor theme="7" tint="0.79998168889431442"/>
        </patternFill>
      </fill>
      <border outline="0">
        <right style="thin">
          <color indexed="64"/>
        </right>
      </border>
    </odxf>
    <ndxf>
      <font>
        <b/>
        <sz val="14"/>
        <name val="Times New Roman"/>
        <scheme val="none"/>
      </font>
      <numFmt numFmtId="2" formatCode="0.00"/>
      <fill>
        <patternFill>
          <bgColor theme="0"/>
        </patternFill>
      </fill>
      <border outline="0">
        <right/>
      </border>
    </ndxf>
  </rcc>
  <rcc rId="9744" sId="9" odxf="1" dxf="1">
    <oc r="E76">
      <f>I76</f>
    </oc>
    <nc r="E76">
      <f>I76+K76+M76+O76+Q76+S76</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745" sId="9" odxf="1" dxf="1">
    <oc r="F76">
      <f>E76/B76*100</f>
    </oc>
    <nc r="F76">
      <f>E76/B76*100</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9" tint="0.79998168889431442"/>
        </patternFill>
      </fill>
    </ndxf>
  </rcc>
  <rcc rId="9746" sId="9" odxf="1" dxf="1">
    <oc r="G76">
      <f>E76/C76*100</f>
    </oc>
    <nc r="G76">
      <f>E76/C76*100</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9" tint="0.79998168889431442"/>
        </patternFill>
      </fill>
    </ndxf>
  </rcc>
  <rfmt sheetId="9" sqref="H76" start="0" length="0">
    <dxf>
      <font>
        <b/>
        <sz val="14"/>
        <name val="Times New Roman"/>
        <scheme val="none"/>
      </font>
      <numFmt numFmtId="2" formatCode="0.00"/>
      <fill>
        <patternFill>
          <bgColor theme="0"/>
        </patternFill>
      </fill>
    </dxf>
  </rfmt>
  <rcc rId="9747" sId="9" odxf="1" dxf="1" numFmtId="4">
    <oc r="I76">
      <v>170.18</v>
    </oc>
    <nc r="I76">
      <v>170.17898</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J76" start="0" length="0">
    <dxf>
      <font>
        <b/>
        <sz val="14"/>
        <name val="Times New Roman"/>
        <scheme val="none"/>
      </font>
      <numFmt numFmtId="2" formatCode="0.00"/>
      <fill>
        <patternFill>
          <bgColor theme="0"/>
        </patternFill>
      </fill>
    </dxf>
  </rfmt>
  <rcc rId="9748" sId="9" odxf="1" dxf="1" numFmtId="4">
    <oc r="K76">
      <v>125.64</v>
    </oc>
    <nc r="K76">
      <v>125.64381</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749" sId="9" odxf="1" dxf="1" numFmtId="4">
    <oc r="L76">
      <v>200</v>
    </oc>
    <nc r="L76">
      <v>298.54500000000002</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750" sId="9" odxf="1" dxf="1" numFmtId="4">
    <nc r="M76">
      <v>437.79602</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N76" start="0" length="0">
    <dxf>
      <font>
        <b/>
        <sz val="14"/>
        <name val="Times New Roman"/>
        <scheme val="none"/>
      </font>
      <numFmt numFmtId="2" formatCode="0.00"/>
      <fill>
        <patternFill>
          <bgColor theme="0"/>
        </patternFill>
      </fill>
    </dxf>
  </rfmt>
  <rcc rId="9751" sId="9" odxf="1" dxf="1" numFmtId="4">
    <nc r="O76">
      <v>172.99515</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P76" start="0" length="0">
    <dxf>
      <font>
        <b/>
        <sz val="14"/>
        <name val="Times New Roman"/>
        <scheme val="none"/>
      </font>
      <numFmt numFmtId="2" formatCode="0.00"/>
      <fill>
        <patternFill>
          <bgColor theme="0"/>
        </patternFill>
      </fill>
    </dxf>
  </rfmt>
  <rcc rId="9752" sId="9" odxf="1" dxf="1" numFmtId="4">
    <nc r="Q76">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753" sId="9" odxf="1" dxf="1" numFmtId="4">
    <oc r="R76">
      <v>200</v>
    </oc>
    <nc r="R76">
      <v>101.455</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754" sId="9" odxf="1" dxf="1" numFmtId="4">
    <nc r="S76">
      <v>290.47710000000001</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T76" start="0" length="0">
    <dxf>
      <font>
        <b/>
        <sz val="14"/>
        <name val="Times New Roman"/>
        <scheme val="none"/>
      </font>
      <numFmt numFmtId="2" formatCode="0.00"/>
      <fill>
        <patternFill>
          <bgColor theme="0"/>
        </patternFill>
      </fill>
    </dxf>
  </rfmt>
  <rfmt sheetId="9" sqref="U76" start="0" length="0">
    <dxf>
      <font>
        <b/>
        <sz val="14"/>
        <name val="Times New Roman"/>
        <scheme val="none"/>
      </font>
      <numFmt numFmtId="2" formatCode="0.00"/>
      <fill>
        <patternFill>
          <bgColor theme="0"/>
        </patternFill>
      </fill>
    </dxf>
  </rfmt>
  <rfmt sheetId="9" sqref="V76" start="0" length="0">
    <dxf>
      <font>
        <b/>
        <sz val="14"/>
        <name val="Times New Roman"/>
        <scheme val="none"/>
      </font>
      <numFmt numFmtId="2" formatCode="0.00"/>
      <fill>
        <patternFill>
          <bgColor theme="0"/>
        </patternFill>
      </fill>
    </dxf>
  </rfmt>
  <rfmt sheetId="9" sqref="W76" start="0" length="0">
    <dxf>
      <font>
        <b/>
        <sz val="14"/>
        <name val="Times New Roman"/>
        <scheme val="none"/>
      </font>
      <numFmt numFmtId="2" formatCode="0.00"/>
      <fill>
        <patternFill>
          <bgColor theme="0"/>
        </patternFill>
      </fill>
    </dxf>
  </rfmt>
  <rfmt sheetId="9" sqref="X76" start="0" length="0">
    <dxf>
      <font>
        <b/>
        <sz val="14"/>
        <name val="Times New Roman"/>
        <scheme val="none"/>
      </font>
      <numFmt numFmtId="2" formatCode="0.00"/>
      <fill>
        <patternFill>
          <bgColor theme="0"/>
        </patternFill>
      </fill>
    </dxf>
  </rfmt>
  <rfmt sheetId="9" sqref="Y76" start="0" length="0">
    <dxf>
      <font>
        <b/>
        <sz val="14"/>
        <name val="Times New Roman"/>
        <scheme val="none"/>
      </font>
      <numFmt numFmtId="2" formatCode="0.00"/>
      <fill>
        <patternFill>
          <bgColor theme="0"/>
        </patternFill>
      </fill>
    </dxf>
  </rfmt>
  <rfmt sheetId="9" sqref="Z76" start="0" length="0">
    <dxf>
      <font>
        <b/>
        <sz val="14"/>
        <name val="Times New Roman"/>
        <scheme val="none"/>
      </font>
      <numFmt numFmtId="2" formatCode="0.00"/>
      <fill>
        <patternFill>
          <bgColor theme="0"/>
        </patternFill>
      </fill>
    </dxf>
  </rfmt>
  <rfmt sheetId="9" sqref="AA76" start="0" length="0">
    <dxf>
      <font>
        <b/>
        <sz val="14"/>
        <name val="Times New Roman"/>
        <scheme val="none"/>
      </font>
      <numFmt numFmtId="2" formatCode="0.00"/>
      <fill>
        <patternFill>
          <bgColor theme="0"/>
        </patternFill>
      </fill>
    </dxf>
  </rfmt>
  <rfmt sheetId="9" sqref="AB76" start="0" length="0">
    <dxf>
      <font>
        <b/>
        <sz val="14"/>
        <name val="Times New Roman"/>
        <scheme val="none"/>
      </font>
      <numFmt numFmtId="2" formatCode="0.00"/>
      <fill>
        <patternFill>
          <bgColor theme="0"/>
        </patternFill>
      </fill>
    </dxf>
  </rfmt>
  <rfmt sheetId="9" sqref="AC76" start="0" length="0">
    <dxf>
      <font>
        <b/>
        <sz val="14"/>
        <name val="Times New Roman"/>
        <scheme val="none"/>
      </font>
      <numFmt numFmtId="2" formatCode="0.00"/>
      <fill>
        <patternFill>
          <bgColor theme="0"/>
        </patternFill>
      </fill>
    </dxf>
  </rfmt>
  <rfmt sheetId="9" sqref="AD76" start="0" length="0">
    <dxf>
      <font>
        <b/>
        <sz val="14"/>
        <name val="Times New Roman"/>
        <scheme val="none"/>
      </font>
      <numFmt numFmtId="2" formatCode="0.00"/>
      <fill>
        <patternFill>
          <bgColor theme="0"/>
        </patternFill>
      </fill>
    </dxf>
  </rfmt>
  <rfmt sheetId="9" sqref="AE76" start="0" length="0">
    <dxf>
      <font>
        <b/>
        <sz val="14"/>
        <name val="Times New Roman"/>
        <scheme val="none"/>
      </font>
      <numFmt numFmtId="2" formatCode="0.00"/>
      <fill>
        <patternFill>
          <bgColor theme="0"/>
        </patternFill>
      </fill>
    </dxf>
  </rfmt>
  <rcc rId="9755" sId="9" odxf="1" dxf="1">
    <oc r="B77">
      <f>H77+J77+L77+N77+P77+R77+T77+V77+X77+Z77+AB77+AD77</f>
    </oc>
    <nc r="B77">
      <f>H77+J77+L77+N77+P77+R77+T77+V77+X77+Z77+AB77+AD77</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756" sId="9" odxf="1" dxf="1">
    <oc r="C77">
      <f>H77+J77</f>
    </oc>
    <nc r="C77">
      <f>H77</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D77" start="0" length="0">
    <dxf>
      <font>
        <b/>
        <sz val="14"/>
        <name val="Times New Roman"/>
        <scheme val="none"/>
      </font>
      <numFmt numFmtId="2" formatCode="0.00"/>
      <fill>
        <patternFill>
          <bgColor theme="0"/>
        </patternFill>
      </fill>
    </dxf>
  </rfmt>
  <rfmt sheetId="9" sqref="E77" start="0" length="0">
    <dxf>
      <font>
        <b/>
        <sz val="14"/>
        <name val="Times New Roman"/>
        <scheme val="none"/>
      </font>
      <numFmt numFmtId="2" formatCode="0.00"/>
      <fill>
        <patternFill>
          <bgColor theme="0"/>
        </patternFill>
      </fill>
    </dxf>
  </rfmt>
  <rfmt sheetId="9" sqref="F77" start="0" length="0">
    <dxf>
      <font>
        <b/>
        <sz val="14"/>
        <name val="Times New Roman"/>
        <scheme val="none"/>
      </font>
      <numFmt numFmtId="2" formatCode="0.00"/>
      <fill>
        <patternFill>
          <bgColor theme="9" tint="0.79998168889431442"/>
        </patternFill>
      </fill>
    </dxf>
  </rfmt>
  <rfmt sheetId="9" sqref="G77" start="0" length="0">
    <dxf>
      <font>
        <b/>
        <sz val="14"/>
        <name val="Times New Roman"/>
        <scheme val="none"/>
      </font>
      <numFmt numFmtId="2" formatCode="0.00"/>
      <fill>
        <patternFill>
          <bgColor theme="9" tint="0.79998168889431442"/>
        </patternFill>
      </fill>
    </dxf>
  </rfmt>
  <rfmt sheetId="9" sqref="H77" start="0" length="0">
    <dxf>
      <font>
        <b/>
        <sz val="14"/>
        <name val="Times New Roman"/>
        <scheme val="none"/>
      </font>
      <numFmt numFmtId="2" formatCode="0.00"/>
      <fill>
        <patternFill>
          <bgColor theme="0"/>
        </patternFill>
      </fill>
    </dxf>
  </rfmt>
  <rfmt sheetId="9" sqref="I77" start="0" length="0">
    <dxf>
      <font>
        <b/>
        <sz val="14"/>
        <name val="Times New Roman"/>
        <scheme val="none"/>
      </font>
      <numFmt numFmtId="2" formatCode="0.00"/>
      <fill>
        <patternFill>
          <bgColor theme="0"/>
        </patternFill>
      </fill>
    </dxf>
  </rfmt>
  <rfmt sheetId="9" sqref="J77" start="0" length="0">
    <dxf>
      <font>
        <b/>
        <sz val="14"/>
        <name val="Times New Roman"/>
        <scheme val="none"/>
      </font>
      <numFmt numFmtId="2" formatCode="0.00"/>
      <fill>
        <patternFill>
          <bgColor theme="0"/>
        </patternFill>
      </fill>
    </dxf>
  </rfmt>
  <rfmt sheetId="9" sqref="K77" start="0" length="0">
    <dxf>
      <font>
        <b/>
        <sz val="14"/>
        <name val="Times New Roman"/>
        <scheme val="none"/>
      </font>
      <numFmt numFmtId="2" formatCode="0.00"/>
      <fill>
        <patternFill>
          <bgColor theme="0"/>
        </patternFill>
      </fill>
    </dxf>
  </rfmt>
  <rcc rId="9757" sId="9" odxf="1" dxf="1" numFmtId="4">
    <nc r="L77">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758" sId="9" odxf="1" dxf="1" numFmtId="4">
    <nc r="M77">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759" sId="9" odxf="1" dxf="1" numFmtId="4">
    <nc r="N77">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760" sId="9" odxf="1" dxf="1" numFmtId="4">
    <nc r="O77">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761" sId="9" odxf="1" dxf="1" numFmtId="4">
    <nc r="P77">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762" sId="9" odxf="1" dxf="1" numFmtId="4">
    <nc r="Q77">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763" sId="9" odxf="1" dxf="1" numFmtId="4">
    <nc r="R77">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764" sId="9" odxf="1" dxf="1" numFmtId="4">
    <nc r="S77">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765" sId="9" odxf="1" dxf="1" numFmtId="4">
    <nc r="T77">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U77" start="0" length="0">
    <dxf>
      <font>
        <b/>
        <sz val="14"/>
        <name val="Times New Roman"/>
        <scheme val="none"/>
      </font>
      <numFmt numFmtId="2" formatCode="0.00"/>
      <fill>
        <patternFill>
          <bgColor theme="0"/>
        </patternFill>
      </fill>
    </dxf>
  </rfmt>
  <rcc rId="9766" sId="9" odxf="1" dxf="1" numFmtId="4">
    <nc r="V77">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W77" start="0" length="0">
    <dxf>
      <font>
        <b/>
        <sz val="14"/>
        <name val="Times New Roman"/>
        <scheme val="none"/>
      </font>
      <numFmt numFmtId="2" formatCode="0.00"/>
      <fill>
        <patternFill>
          <bgColor theme="0"/>
        </patternFill>
      </fill>
    </dxf>
  </rfmt>
  <rcc rId="9767" sId="9" odxf="1" dxf="1" numFmtId="4">
    <nc r="X77">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Y77" start="0" length="0">
    <dxf>
      <font>
        <b/>
        <sz val="14"/>
        <name val="Times New Roman"/>
        <scheme val="none"/>
      </font>
      <numFmt numFmtId="2" formatCode="0.00"/>
      <fill>
        <patternFill>
          <bgColor theme="0"/>
        </patternFill>
      </fill>
    </dxf>
  </rfmt>
  <rcc rId="9768" sId="9" odxf="1" dxf="1" numFmtId="4">
    <nc r="Z77">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A77" start="0" length="0">
    <dxf>
      <font>
        <b/>
        <sz val="14"/>
        <name val="Times New Roman"/>
        <scheme val="none"/>
      </font>
      <numFmt numFmtId="2" formatCode="0.00"/>
      <fill>
        <patternFill>
          <bgColor theme="0"/>
        </patternFill>
      </fill>
    </dxf>
  </rfmt>
  <rcc rId="9769" sId="9" odxf="1" dxf="1" numFmtId="4">
    <nc r="AB77">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C77" start="0" length="0">
    <dxf>
      <font>
        <b/>
        <sz val="14"/>
        <name val="Times New Roman"/>
        <scheme val="none"/>
      </font>
      <numFmt numFmtId="2" formatCode="0.00"/>
      <fill>
        <patternFill>
          <bgColor theme="0"/>
        </patternFill>
      </fill>
    </dxf>
  </rfmt>
  <rcc rId="9770" sId="9" odxf="1" dxf="1" numFmtId="4">
    <nc r="AD77">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E77" start="0" length="0">
    <dxf>
      <font>
        <b/>
        <sz val="14"/>
        <name val="Times New Roman"/>
        <scheme val="none"/>
      </font>
      <numFmt numFmtId="2" formatCode="0.00"/>
      <fill>
        <patternFill>
          <bgColor theme="0"/>
        </patternFill>
      </fill>
    </dxf>
  </rfmt>
  <rcc rId="9771" sId="9" odxf="1" dxf="1">
    <oc r="B78">
      <f>H78+J78+L78+N78+P78+R78+T78+V78+X78+Z78+AB78+AD78</f>
    </oc>
    <nc r="B78">
      <f>H78+J78+L78+N78+P78+R78+T78+V78+X78+Z78+AB78+AD78</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772" sId="9" odxf="1" dxf="1">
    <oc r="C78">
      <f>H78+J78</f>
    </oc>
    <nc r="C78">
      <f>H78</f>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D78" start="0" length="0">
    <dxf>
      <font>
        <b/>
        <sz val="14"/>
        <name val="Times New Roman"/>
        <scheme val="none"/>
      </font>
      <numFmt numFmtId="2" formatCode="0.00"/>
      <fill>
        <patternFill>
          <bgColor theme="0"/>
        </patternFill>
      </fill>
    </dxf>
  </rfmt>
  <rfmt sheetId="9" sqref="E78" start="0" length="0">
    <dxf>
      <font>
        <b/>
        <sz val="14"/>
        <name val="Times New Roman"/>
        <scheme val="none"/>
      </font>
      <numFmt numFmtId="2" formatCode="0.00"/>
      <fill>
        <patternFill>
          <bgColor theme="0"/>
        </patternFill>
      </fill>
    </dxf>
  </rfmt>
  <rfmt sheetId="9" sqref="F78" start="0" length="0">
    <dxf>
      <font>
        <b/>
        <sz val="14"/>
        <name val="Times New Roman"/>
        <scheme val="none"/>
      </font>
      <numFmt numFmtId="2" formatCode="0.00"/>
      <fill>
        <patternFill>
          <bgColor theme="9" tint="0.79998168889431442"/>
        </patternFill>
      </fill>
    </dxf>
  </rfmt>
  <rfmt sheetId="9" sqref="G78" start="0" length="0">
    <dxf>
      <font>
        <b/>
        <sz val="14"/>
        <name val="Times New Roman"/>
        <scheme val="none"/>
      </font>
      <numFmt numFmtId="2" formatCode="0.00"/>
      <fill>
        <patternFill>
          <bgColor theme="9" tint="0.79998168889431442"/>
        </patternFill>
      </fill>
    </dxf>
  </rfmt>
  <rfmt sheetId="9" sqref="H78" start="0" length="0">
    <dxf>
      <font>
        <b/>
        <sz val="14"/>
        <name val="Times New Roman"/>
        <scheme val="none"/>
      </font>
      <numFmt numFmtId="2" formatCode="0.00"/>
      <fill>
        <patternFill>
          <bgColor theme="0"/>
        </patternFill>
      </fill>
    </dxf>
  </rfmt>
  <rfmt sheetId="9" sqref="I78" start="0" length="0">
    <dxf>
      <font>
        <b/>
        <sz val="14"/>
        <name val="Times New Roman"/>
        <scheme val="none"/>
      </font>
      <numFmt numFmtId="2" formatCode="0.00"/>
      <fill>
        <patternFill>
          <bgColor theme="0"/>
        </patternFill>
      </fill>
    </dxf>
  </rfmt>
  <rfmt sheetId="9" sqref="J78" start="0" length="0">
    <dxf>
      <font>
        <b/>
        <sz val="14"/>
        <name val="Times New Roman"/>
        <scheme val="none"/>
      </font>
      <numFmt numFmtId="2" formatCode="0.00"/>
      <fill>
        <patternFill>
          <bgColor theme="0"/>
        </patternFill>
      </fill>
    </dxf>
  </rfmt>
  <rfmt sheetId="9" sqref="K78" start="0" length="0">
    <dxf>
      <font>
        <b/>
        <sz val="14"/>
        <name val="Times New Roman"/>
        <scheme val="none"/>
      </font>
      <numFmt numFmtId="2" formatCode="0.00"/>
      <fill>
        <patternFill>
          <bgColor theme="0"/>
        </patternFill>
      </fill>
    </dxf>
  </rfmt>
  <rcc rId="9773" sId="9" odxf="1" dxf="1" numFmtId="4">
    <nc r="L78">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774" sId="9" odxf="1" dxf="1" numFmtId="4">
    <nc r="M78">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775" sId="9" odxf="1" dxf="1" numFmtId="4">
    <nc r="N78">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776" sId="9" odxf="1" dxf="1" numFmtId="4">
    <nc r="O78">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777" sId="9" odxf="1" dxf="1" numFmtId="4">
    <nc r="P78">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778" sId="9" odxf="1" dxf="1" numFmtId="4">
    <nc r="Q78">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779" sId="9" odxf="1" dxf="1" numFmtId="4">
    <nc r="R78">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780" sId="9" odxf="1" dxf="1" numFmtId="4">
    <nc r="S78">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cc rId="9781" sId="9" odxf="1" dxf="1" numFmtId="4">
    <nc r="T78">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U78" start="0" length="0">
    <dxf>
      <font>
        <b/>
        <sz val="14"/>
        <name val="Times New Roman"/>
        <scheme val="none"/>
      </font>
      <numFmt numFmtId="2" formatCode="0.00"/>
      <fill>
        <patternFill>
          <bgColor theme="0"/>
        </patternFill>
      </fill>
    </dxf>
  </rfmt>
  <rcc rId="9782" sId="9" odxf="1" dxf="1" numFmtId="4">
    <nc r="V78">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W78" start="0" length="0">
    <dxf>
      <font>
        <b/>
        <sz val="14"/>
        <name val="Times New Roman"/>
        <scheme val="none"/>
      </font>
      <numFmt numFmtId="2" formatCode="0.00"/>
      <fill>
        <patternFill>
          <bgColor theme="0"/>
        </patternFill>
      </fill>
    </dxf>
  </rfmt>
  <rcc rId="9783" sId="9" odxf="1" dxf="1" numFmtId="4">
    <nc r="X78">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Y78" start="0" length="0">
    <dxf>
      <font>
        <b/>
        <sz val="14"/>
        <name val="Times New Roman"/>
        <scheme val="none"/>
      </font>
      <numFmt numFmtId="2" formatCode="0.00"/>
      <fill>
        <patternFill>
          <bgColor theme="0"/>
        </patternFill>
      </fill>
    </dxf>
  </rfmt>
  <rcc rId="9784" sId="9" odxf="1" dxf="1" numFmtId="4">
    <nc r="Z78">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A78" start="0" length="0">
    <dxf>
      <font>
        <b/>
        <sz val="14"/>
        <name val="Times New Roman"/>
        <scheme val="none"/>
      </font>
      <numFmt numFmtId="2" formatCode="0.00"/>
      <fill>
        <patternFill>
          <bgColor theme="0"/>
        </patternFill>
      </fill>
    </dxf>
  </rfmt>
  <rcc rId="9785" sId="9" odxf="1" dxf="1" numFmtId="4">
    <nc r="AB78">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C78" start="0" length="0">
    <dxf>
      <font>
        <b/>
        <sz val="14"/>
        <name val="Times New Roman"/>
        <scheme val="none"/>
      </font>
      <numFmt numFmtId="2" formatCode="0.00"/>
      <fill>
        <patternFill>
          <bgColor theme="0"/>
        </patternFill>
      </fill>
    </dxf>
  </rfmt>
  <rcc rId="9786" sId="9" odxf="1" dxf="1" numFmtId="4">
    <nc r="AD78">
      <v>0</v>
    </nc>
    <odxf>
      <font>
        <b val="0"/>
        <sz val="14"/>
        <name val="Times New Roman"/>
        <scheme val="none"/>
      </font>
      <numFmt numFmtId="4" formatCode="#,##0.00"/>
      <fill>
        <patternFill>
          <bgColor theme="7" tint="0.79998168889431442"/>
        </patternFill>
      </fill>
    </odxf>
    <ndxf>
      <font>
        <b/>
        <sz val="14"/>
        <name val="Times New Roman"/>
        <scheme val="none"/>
      </font>
      <numFmt numFmtId="2" formatCode="0.00"/>
      <fill>
        <patternFill>
          <bgColor theme="0"/>
        </patternFill>
      </fill>
    </ndxf>
  </rcc>
  <rfmt sheetId="9" sqref="AE78" start="0" length="0">
    <dxf>
      <font>
        <b/>
        <sz val="14"/>
        <name val="Times New Roman"/>
        <scheme val="none"/>
      </font>
      <numFmt numFmtId="2" formatCode="0.00"/>
      <fill>
        <patternFill>
          <bgColor theme="0"/>
        </patternFill>
      </fill>
    </dxf>
  </rfmt>
</revisions>
</file>

<file path=xl/revisions/revisionLog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787" sId="17">
    <oc r="C42">
      <f>SUM(H42+J42+L42+P42+N42)</f>
    </oc>
    <nc r="C42">
      <f>SUM(H42+J42+L42+P42+N42)</f>
    </nc>
  </rcc>
  <rcc rId="9788" sId="8">
    <oc r="C283">
      <f>C14+C20+C140</f>
    </oc>
    <nc r="C283">
      <f>C14+C20+C140</f>
    </nc>
  </rcc>
  <rcc rId="9789" sId="8">
    <oc r="C278">
      <f>C28+C67+C103+C148+C185+C223+C241+C253+C261+C141+C127+C21+C15</f>
    </oc>
    <nc r="C278">
      <f>C28+C67+C103+C148+C185+C223+C241+C253+C261+C141+C127+C21+C15</f>
    </nc>
  </rcc>
</revisions>
</file>

<file path=xl/revisions/revisionLog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790" sId="8" numFmtId="4">
    <nc r="S109">
      <v>759.04</v>
    </nc>
  </rcc>
  <rcc rId="9791" sId="8" numFmtId="4">
    <nc r="P161">
      <v>0</v>
    </nc>
  </rcc>
  <rcc rId="9792" sId="8" numFmtId="4">
    <nc r="Q161">
      <v>0</v>
    </nc>
  </rcc>
  <rcc rId="9793" sId="8" numFmtId="4">
    <nc r="R161">
      <v>0</v>
    </nc>
  </rcc>
  <rcc rId="9794" sId="8" numFmtId="4">
    <nc r="S161">
      <v>-11.476000000000001</v>
    </nc>
  </rcc>
  <rcc rId="9795" sId="8" numFmtId="4">
    <nc r="S191">
      <v>964.98199999999997</v>
    </nc>
  </rcc>
  <rcc rId="9796" sId="8" numFmtId="4">
    <nc r="S203">
      <v>18851.187000000002</v>
    </nc>
  </rcc>
  <rcc rId="9797" sId="8" numFmtId="4">
    <oc r="P32">
      <v>105.2</v>
    </oc>
    <nc r="P32"/>
  </rcc>
  <rcc rId="9798" sId="8" numFmtId="4">
    <oc r="P33">
      <v>128.6</v>
    </oc>
    <nc r="P33"/>
  </rcc>
  <rcc rId="9799" sId="8" numFmtId="4">
    <oc r="P34">
      <v>41.3</v>
    </oc>
    <nc r="P34"/>
  </rcc>
  <rcc rId="9800" sId="8" numFmtId="4">
    <oc r="P35">
      <v>41.3</v>
    </oc>
    <nc r="P35"/>
  </rcc>
  <rcc rId="9801" sId="8" numFmtId="4">
    <nc r="R32">
      <v>105.21</v>
    </nc>
  </rcc>
  <rcc rId="9802" sId="8" numFmtId="4">
    <nc r="S32">
      <v>105.21</v>
    </nc>
  </rcc>
  <rcc rId="9803" sId="8" numFmtId="4">
    <nc r="R33">
      <v>128.59</v>
    </nc>
  </rcc>
  <rcc rId="9804" sId="8" numFmtId="4">
    <nc r="S33">
      <v>128.59</v>
    </nc>
  </rcc>
  <rcc rId="9805" sId="8" numFmtId="4">
    <oc r="R34">
      <v>257.5</v>
    </oc>
    <nc r="R34">
      <v>298.76</v>
    </nc>
  </rcc>
  <rcc rId="9806" sId="8" numFmtId="4">
    <nc r="S34">
      <v>298.76</v>
    </nc>
  </rcc>
  <rcc rId="9807" sId="8" numFmtId="4">
    <nc r="R35">
      <v>41.26</v>
    </nc>
  </rcc>
  <rcc rId="9808" sId="8" numFmtId="4">
    <nc r="S35">
      <v>41.26</v>
    </nc>
  </rcc>
  <rcc rId="9809" sId="8" numFmtId="4">
    <nc r="R41">
      <v>0</v>
    </nc>
  </rcc>
  <rcc rId="9810" sId="8" numFmtId="4">
    <nc r="S41">
      <v>0</v>
    </nc>
  </rcc>
  <rcc rId="9811" sId="8" numFmtId="4">
    <nc r="S47">
      <v>7584.85</v>
    </nc>
  </rcc>
  <rcc rId="9812" sId="8" numFmtId="4">
    <nc r="S52">
      <v>12</v>
    </nc>
  </rcc>
  <rcc rId="9813" sId="8" numFmtId="4">
    <nc r="S53">
      <v>0.7</v>
    </nc>
  </rcc>
  <rcc rId="9814" sId="8" numFmtId="4">
    <nc r="S54">
      <v>0.7</v>
    </nc>
  </rcc>
  <rcc rId="9815" sId="8">
    <nc r="S55" t="inlineStr">
      <is>
        <t>,</t>
      </is>
    </nc>
  </rcc>
  <rcc rId="9816" sId="8" numFmtId="4">
    <nc r="S59">
      <v>10.8</v>
    </nc>
  </rcc>
  <rcc rId="9817" sId="8" numFmtId="4">
    <nc r="S60">
      <v>0.85</v>
    </nc>
  </rcc>
  <rcc rId="9818" sId="8" numFmtId="4">
    <nc r="R121">
      <v>0</v>
    </nc>
  </rcc>
  <rcc rId="9819" sId="8" numFmtId="4">
    <nc r="S121">
      <v>331</v>
    </nc>
  </rcc>
  <rcc rId="9820" sId="8" numFmtId="4">
    <nc r="R73">
      <v>0</v>
    </nc>
  </rcc>
  <rcc rId="9821" sId="8" numFmtId="4">
    <nc r="S73">
      <v>0</v>
    </nc>
  </rcc>
  <rcc rId="9822" sId="8" numFmtId="4">
    <nc r="R79">
      <v>0</v>
    </nc>
  </rcc>
  <rcc rId="9823" sId="8" numFmtId="4">
    <nc r="S79">
      <v>0</v>
    </nc>
  </rcc>
  <rcc rId="9824" sId="8" numFmtId="4">
    <nc r="R85">
      <v>0</v>
    </nc>
  </rcc>
  <rcc rId="9825" sId="8" numFmtId="4">
    <nc r="S85">
      <v>0</v>
    </nc>
  </rcc>
  <rcc rId="9826" sId="8" numFmtId="4">
    <nc r="P91">
      <v>0</v>
    </nc>
  </rcc>
  <rcc rId="9827" sId="8" numFmtId="4">
    <nc r="Q91">
      <v>0</v>
    </nc>
  </rcc>
  <rcc rId="9828" sId="8" numFmtId="4">
    <nc r="R91">
      <v>0</v>
    </nc>
  </rcc>
  <rcc rId="9829" sId="8" numFmtId="4">
    <nc r="S91">
      <v>0</v>
    </nc>
  </rcc>
  <rcc rId="9830" sId="8" numFmtId="4">
    <nc r="S97">
      <v>6201.018</v>
    </nc>
  </rcc>
  <rcc rId="9831" sId="8" numFmtId="4">
    <nc r="R115">
      <v>0</v>
    </nc>
  </rcc>
  <rcc rId="9832" sId="8" numFmtId="4">
    <nc r="S115">
      <v>0</v>
    </nc>
  </rcc>
  <rcc rId="9833" sId="8" numFmtId="4">
    <nc r="S267">
      <v>11.898</v>
    </nc>
  </rcc>
  <rcc rId="9834" sId="8" numFmtId="4">
    <oc r="O253">
      <v>3724.99</v>
    </oc>
    <nc r="O253">
      <v>2956.0169999999998</v>
    </nc>
  </rcc>
  <rcc rId="9835" sId="8" numFmtId="4">
    <nc r="Q253">
      <v>3524.0940000000001</v>
    </nc>
  </rcc>
  <rfmt sheetId="8" sqref="S253">
    <dxf>
      <fill>
        <patternFill patternType="none">
          <bgColor auto="1"/>
        </patternFill>
      </fill>
    </dxf>
  </rfmt>
  <rcc rId="9836" sId="8" numFmtId="4">
    <nc r="R246">
      <v>0</v>
    </nc>
  </rcc>
  <rcc rId="9837" sId="8" numFmtId="4">
    <nc r="S246">
      <v>0</v>
    </nc>
  </rcc>
  <rcc rId="9838" sId="8" numFmtId="4">
    <nc r="R173">
      <v>0</v>
    </nc>
  </rcc>
  <rcc rId="9839" sId="8" numFmtId="4">
    <nc r="S173">
      <v>0</v>
    </nc>
  </rcc>
  <rcc rId="9840" sId="8" numFmtId="4">
    <nc r="S133">
      <v>18320.77</v>
    </nc>
  </rcc>
  <rcc rId="9841" sId="8" numFmtId="4">
    <oc r="M21">
      <v>100</v>
    </oc>
    <nc r="M21">
      <v>68.11</v>
    </nc>
  </rcc>
  <rcc rId="9842" sId="8" numFmtId="4">
    <nc r="N21">
      <v>0</v>
    </nc>
  </rcc>
  <rcc rId="9843" sId="8" numFmtId="4">
    <nc r="O21">
      <v>17.399999999999999</v>
    </nc>
  </rcc>
  <rcc rId="9844" sId="8" numFmtId="4">
    <nc r="P21">
      <v>0</v>
    </nc>
  </rcc>
  <rcc rId="9845" sId="8" numFmtId="4">
    <nc r="Q21">
      <v>14.49</v>
    </nc>
  </rcc>
</revisions>
</file>

<file path=xl/revisions/revisionLog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846" sId="6">
    <nc r="AF12" t="inlineStr">
      <is>
        <t xml:space="preserve">ПРОПИСАТЬ ОТКЛОНЕНИЕ 4,945 ТЫС. РУБ </t>
      </is>
    </nc>
  </rcc>
  <rfmt sheetId="6" sqref="AF12">
    <dxf>
      <fill>
        <patternFill patternType="solid">
          <bgColor rgb="FFFF0000"/>
        </patternFill>
      </fill>
    </dxf>
  </rfmt>
  <rcc rId="9847" sId="6">
    <nc r="AF36" t="inlineStr">
      <is>
        <t xml:space="preserve">ПРОПИСАТЬ ОТКЛОНЕНИЕ 15,688 ТЫС. РУБ </t>
      </is>
    </nc>
  </rcc>
  <rfmt sheetId="6" sqref="AF36">
    <dxf>
      <fill>
        <patternFill patternType="solid">
          <bgColor rgb="FFFF0000"/>
        </patternFill>
      </fill>
    </dxf>
  </rfmt>
  <rcc rId="9848" sId="6">
    <nc r="AF73" t="inlineStr">
      <is>
        <t xml:space="preserve">ПРОПИСАТЬ ПРИЧИНЫ ОТКЛОНЕНИЙ 15,86 ТЫС. РУБ </t>
      </is>
    </nc>
  </rcc>
  <rfmt sheetId="6" sqref="AF73">
    <dxf>
      <fill>
        <patternFill patternType="solid">
          <bgColor rgb="FFFF0000"/>
        </patternFill>
      </fill>
    </dxf>
  </rfmt>
</revisions>
</file>

<file path=xl/revisions/revisionLog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849" sId="14">
    <oc r="A179" t="inlineStr">
      <is>
        <t>П.3.2.1. Проведение мероприятий по обеспечению деятельности советников 
директора по воспитанию и взаимодействию с детскими общественными объединениями в образовательных организациях</t>
      </is>
    </oc>
    <nc r="A179" t="inlineStr">
      <is>
        <t>П.3.2.1. Проведение мероприятий по обеспечению деятельности советников директора по воспитанию и взаимодействию с детскими общественными объединениями в образовательных организациях</t>
      </is>
    </nc>
  </rcc>
  <rcc rId="9850" sId="14">
    <oc r="D183">
      <f>C183</f>
    </oc>
    <nc r="D183">
      <f>E183</f>
    </nc>
  </rcc>
  <rcc rId="9851" sId="14">
    <oc r="R183">
      <f>1.11+0.988</f>
    </oc>
    <nc r="R183">
      <f>1.11+0.988+0.01</f>
    </nc>
  </rcc>
  <rcc rId="9852" sId="14" numFmtId="4">
    <oc r="X183">
      <v>1</v>
    </oc>
    <nc r="X183">
      <f>1-0.01</f>
    </nc>
  </rcc>
  <rcc rId="9853" sId="14" numFmtId="4">
    <nc r="S183">
      <v>2.27</v>
    </nc>
  </rcc>
  <rcc rId="9854" sId="14" numFmtId="4">
    <oc r="S181">
      <v>85.43</v>
    </oc>
    <nc r="S181">
      <v>85.44</v>
    </nc>
  </rcc>
  <rcc rId="9855" sId="14">
    <oc r="AF179" t="inlineStr">
      <is>
        <t>ПРИЧИНЫ ОТКЛОНЕНИЙ НЕОБХОДИМО ПРОПИСАТЬ
20,31 тыс. рублей (ФБ)
31,70 тыс. рублей (ОБ)
0,54 тыс. рублей (МБ)</t>
      </is>
    </oc>
    <nc r="AF179" t="inlineStr">
      <is>
        <t xml:space="preserve">ПРИЧИНЫ ОТКЛОНЕНИЙ НЕОБХОДИМО ПРОПИСАТЬ (Неисполнение в связи с изменением порядка финансирования МБТ и перечислением средств  по фактической потребности)       
20,31 тыс. рублей (ФБ)
31,70 тыс. рублей (ОБ)
0,54 тыс. рублей (МБ) </t>
      </is>
    </nc>
  </rcc>
  <rcv guid="{09C3E205-981E-4A4E-BE89-8B7044192060}" action="delete"/>
  <rdn rId="0" localSheetId="2" customView="1" name="Z_09C3E205_981E_4A4E_BE89_8B7044192060_.wvu.Rows" hidden="1" oldHidden="1">
    <formula>'1.СЗН'!$69:$73</formula>
    <oldFormula>'1.СЗН'!$69:$73</oldFormula>
  </rdn>
  <rdn rId="0" localSheetId="2" customView="1" name="Z_09C3E205_981E_4A4E_BE89_8B7044192060_.wvu.FilterData" hidden="1" oldHidden="1">
    <formula>'1.СЗН'!$A$1:$AF$63</formula>
    <oldFormula>'1.СЗН'!$A$1:$AF$63</oldFormula>
  </rdn>
  <rdn rId="0" localSheetId="3" customView="1" name="Z_09C3E205_981E_4A4E_BE89_8B7044192060_.wvu.FilterData" hidden="1" oldHidden="1">
    <formula>'2.АПК'!$A$1:$AF$36</formula>
    <oldFormula>'2.АПК'!$A$1:$AF$36</oldFormula>
  </rdn>
  <rdn rId="0" localSheetId="4" customView="1" name="Z_09C3E205_981E_4A4E_BE89_8B7044192060_.wvu.FilterData" hidden="1" oldHidden="1">
    <formula>'3.БЖД'!$A$1:$AF$17</formula>
    <oldFormula>'3.БЖД'!$A$1:$AF$17</oldFormula>
  </rdn>
  <rdn rId="0" localSheetId="5" customView="1" name="Z_09C3E205_981E_4A4E_BE89_8B7044192060_.wvu.FilterData" hidden="1" oldHidden="1">
    <formula>'4.УМИ'!$A$1:$AF$11</formula>
    <oldFormula>'4.УМИ'!$A$1:$AF$11</oldFormula>
  </rdn>
  <rdn rId="0" localSheetId="6" customView="1" name="Z_09C3E205_981E_4A4E_BE89_8B7044192060_.wvu.FilterData" hidden="1" oldHidden="1">
    <formula>'5.Проф. прав.'!$A$1:$AF$12</formula>
    <oldFormula>'5.Проф. прав.'!$A$1:$AF$12</oldFormula>
  </rdn>
  <rdn rId="0" localSheetId="7" customView="1" name="Z_09C3E205_981E_4A4E_BE89_8B7044192060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09C3E205_981E_4A4E_BE89_8B7044192060_.wvu.FilterData" hidden="1" oldHidden="1">
    <formula>'6.Экстримизм'!$A$1:$AF$11</formula>
    <oldFormula>'6.Экстримизм'!$A$1:$AF$11</oldFormula>
  </rdn>
  <rdn rId="0" localSheetId="14" customView="1" name="Z_09C3E205_981E_4A4E_BE89_8B7044192060_.wvu.FilterData" hidden="1" oldHidden="1">
    <formula>'11.МП РО'!$A$4:$A$380</formula>
    <oldFormula>'11.МП РО'!$A$4:$A$380</oldFormula>
  </rdn>
  <rdn rId="0" localSheetId="17" customView="1" name="Z_09C3E205_981E_4A4E_BE89_8B7044192060_.wvu.Rows" hidden="1" oldHidden="1">
    <formula>'13.МП РЖС'!$122:$127</formula>
    <oldFormula>'13.МП РЖС'!$122:$127</oldFormula>
  </rdn>
  <rdn rId="0" localSheetId="17" customView="1" name="Z_09C3E205_981E_4A4E_BE89_8B7044192060_.wvu.Cols" hidden="1" oldHidden="1">
    <formula>'13.МП РЖС'!$AG:$AG</formula>
    <oldFormula>'13.МП РЖС'!$AG:$AG</oldFormula>
  </rdn>
  <rcv guid="{09C3E205-981E-4A4E-BE89-8B7044192060}" action="add"/>
</revisions>
</file>

<file path=xl/revisions/revisionLog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867" sId="6">
    <oc r="C13">
      <f>H13+J13+L13+N13</f>
    </oc>
    <nc r="C13">
      <f>H13+J13+L13+N13+P13+R13+T13+V13+X13</f>
    </nc>
  </rcc>
  <rcc rId="9868" sId="6">
    <oc r="C16">
      <f>H16+J16+L16</f>
    </oc>
    <nc r="C16">
      <f>H16+J16+L16+N16+P16+R16+T16</f>
    </nc>
  </rcc>
  <rcc rId="9869" sId="6">
    <oc r="C20">
      <f>H20</f>
    </oc>
    <nc r="C20">
      <f>H20+J20+L20+N20+P20+R20+T20</f>
    </nc>
  </rcc>
  <rcc rId="9870" sId="6">
    <oc r="C23">
      <f>H23+J23+L23</f>
    </oc>
    <nc r="C23">
      <f>H23+J23+L23+N23+P23+R23+T23</f>
    </nc>
  </rcc>
  <rcc rId="9871" sId="6">
    <oc r="C26">
      <f>H26</f>
    </oc>
    <nc r="C26">
      <f>H26+J26+L26+N26+P26+R26</f>
    </nc>
  </rcc>
  <rcc rId="9872" sId="6">
    <oc r="C29">
      <f>H29</f>
    </oc>
    <nc r="C29">
      <f>H29+J29+L29+N29+P29+R29</f>
    </nc>
  </rcc>
  <rcc rId="9873" sId="6">
    <oc r="C32">
      <f>H32</f>
    </oc>
    <nc r="C32">
      <f>H32+J32+L32+N32+P32+R32</f>
    </nc>
  </rcc>
  <rcc rId="9874" sId="6">
    <oc r="C35">
      <f>N34</f>
    </oc>
    <nc r="C35">
      <f>H35+J35+L35+N35+P35+R35</f>
    </nc>
  </rcc>
  <rcc rId="9875" sId="6">
    <oc r="C38">
      <f>H38</f>
    </oc>
    <nc r="C38">
      <f>H38+J38+L38+N38+P38+R38</f>
    </nc>
  </rcc>
  <rcc rId="9876" sId="6">
    <oc r="C44">
      <f>H44+J44+L44</f>
    </oc>
    <nc r="C44">
      <f>H44+J44+L44+N44+P44+R44</f>
    </nc>
  </rcc>
  <rcc rId="9877" sId="6">
    <oc r="C47">
      <f>H47</f>
    </oc>
    <nc r="C47">
      <f>H47+J47+L47+N47+P47+R47</f>
    </nc>
  </rcc>
  <rcc rId="9878" sId="6">
    <oc r="C50">
      <f>H50+J50+L50</f>
    </oc>
    <nc r="C50">
      <f>H50+J50+L50+N50+P50+R50</f>
    </nc>
  </rcc>
  <rcc rId="9879" sId="6">
    <oc r="C69">
      <f>J69+H69+L69</f>
    </oc>
    <nc r="C69">
      <f>J69+H69+L69+N69+P69+R69</f>
    </nc>
  </rcc>
  <rcc rId="9880" sId="6">
    <oc r="C75">
      <f>H75+J75+L75</f>
    </oc>
    <nc r="C75">
      <f>H75+J75+L75+N75+P75+R75</f>
    </nc>
  </rcc>
  <rcc rId="9881" sId="6">
    <oc r="C81">
      <f>H81+J81+L81</f>
    </oc>
    <nc r="C81">
      <f>H81+J81+L81+N81+P81+R81</f>
    </nc>
  </rcc>
  <rcc rId="9882" sId="6">
    <oc r="C84">
      <f>H84</f>
    </oc>
    <nc r="C84">
      <f>H84+J84+L84+N84+P84+R84</f>
    </nc>
  </rcc>
  <rcc rId="9883" sId="6">
    <oc r="C87">
      <f>H87</f>
    </oc>
    <nc r="C87">
      <f>H87+J87+L87+N87+P87+R87</f>
    </nc>
  </rcc>
  <rcc rId="9884" sId="6">
    <oc r="C90">
      <f>H90+J90+L90</f>
    </oc>
    <nc r="C90">
      <f>H90+J90+L90+N90+P90+R90</f>
    </nc>
  </rcc>
</revisions>
</file>

<file path=xl/revisions/revisionLog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885" sId="6">
    <oc r="C93">
      <f>H93+J93+L93</f>
    </oc>
    <nc r="C93">
      <f>H93+J93+L93+N93+P93+R93</f>
    </nc>
  </rcc>
  <rcc rId="9886" sId="6">
    <oc r="C96">
      <f>H96</f>
    </oc>
    <nc r="C96">
      <f>H96+J96+L96+N96+P96+R96</f>
    </nc>
  </rcc>
  <rcc rId="9887" sId="6">
    <oc r="C117">
      <f>H117+J117+L117</f>
    </oc>
    <nc r="C117">
      <f>H117+J117+L117+N117+P117+R117</f>
    </nc>
  </rcc>
  <rcc rId="9888" sId="6">
    <oc r="C121">
      <f>H121+J121+L121</f>
    </oc>
    <nc r="C121">
      <f>H121+J121+L121+N121+P121+R121</f>
    </nc>
  </rcc>
</revisions>
</file>

<file path=xl/revisions/revisionLog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889" sId="8" odxf="1" dxf="1">
    <oc r="AF106" t="inlineStr">
      <is>
        <t>Отклонение 16 316,250 тыс. руб., из них: 15 390,0 тыс. руб. - консоли светодиодные, заключены три договора с ООО "Группа компаний "Мегаполис" № 1КТ от 02.05.2024г. на сумму  5 228 762,50 руб., №2 КГ от 03.05.2024г. на сумму 4 944 658,66 руб., № 3КГ от 06.05.2024г. на сумму              5 216 578,38 руб., оплата - по факту поставки; 926,25 тыс. руб. - оплата за приобретение костюмов сценических осуществляется по факту поставки товара.</t>
      </is>
    </oc>
    <nc r="AF106" t="inlineStr">
      <is>
        <t>Отклонение 15 710,310 тыс. руб., из них: 15 390,0 тыс. руб. - консоли светодиодные, заключены три договора с ООО "Группа компаний "Мегаполис" № 1КТ от 02.05.2024г. на сумму  5 228 762,50 руб., №2 КГ от 03.05.2024г. на сумму 4 944 658,66 руб., № 3КГ от 06.05.2024г. на сумму              5 216 578,38 руб., оплата - по факту поставки; 320,31 тыс. руб. - оплата за приобретение костюмов сценических осуществляется по факту поставки товара.</t>
      </is>
    </nc>
    <odxf>
      <font>
        <sz val="12"/>
        <color auto="1"/>
        <name val="Times New Roman"/>
        <scheme val="none"/>
      </font>
      <alignment horizontal="justify" readingOrder="0"/>
      <border outline="0">
        <bottom style="thin">
          <color indexed="64"/>
        </bottom>
      </border>
    </odxf>
    <ndxf>
      <font>
        <sz val="14"/>
        <color auto="1"/>
        <name val="Times New Roman"/>
        <scheme val="none"/>
      </font>
      <alignment horizontal="left" readingOrder="0"/>
      <border outline="0">
        <bottom/>
      </border>
    </ndxf>
  </rcc>
  <rcc rId="9890" sId="8" odxf="1" dxf="1">
    <oc r="AF107">
      <v>0</v>
    </oc>
    <nc r="AF107"/>
    <odxf>
      <font>
        <sz val="14"/>
        <name val="Times New Roman"/>
        <scheme val="none"/>
      </font>
      <alignment horizontal="general" vertical="bottom" wrapText="0" readingOrder="0"/>
      <border outline="0">
        <top style="thin">
          <color indexed="64"/>
        </top>
        <bottom style="thin">
          <color indexed="64"/>
        </bottom>
      </border>
    </odxf>
    <ndxf>
      <font>
        <sz val="14"/>
        <color auto="1"/>
        <name val="Times New Roman"/>
        <scheme val="none"/>
      </font>
      <alignment horizontal="left" vertical="center" wrapText="1" readingOrder="0"/>
      <border outline="0">
        <top/>
        <bottom/>
      </border>
    </ndxf>
  </rcc>
  <rfmt sheetId="8" sqref="AF108" start="0" length="0">
    <dxf>
      <font>
        <sz val="14"/>
        <color auto="1"/>
        <name val="Times New Roman"/>
        <scheme val="none"/>
      </font>
      <alignment horizontal="left" vertical="center" wrapText="1" readingOrder="0"/>
      <border outline="0">
        <top/>
        <bottom/>
      </border>
    </dxf>
  </rfmt>
  <rfmt sheetId="8" sqref="AF109" start="0" length="0">
    <dxf>
      <font>
        <sz val="14"/>
        <color auto="1"/>
        <name val="Times New Roman"/>
        <scheme val="none"/>
      </font>
      <alignment horizontal="left" vertical="center" wrapText="1" readingOrder="0"/>
      <border outline="0">
        <top/>
      </border>
    </dxf>
  </rfmt>
  <rfmt sheetId="8" sqref="AF106" start="0" length="2147483647">
    <dxf>
      <font>
        <sz val="12"/>
      </font>
    </dxf>
  </rfmt>
  <rcc rId="9891" sId="8" odxf="1" dxf="1">
    <oc r="AF158" t="inlineStr">
      <is>
        <t>Отклонение 90,0 тыс. руб. - оплата за костюмы сценические  - по факту поставки товара</t>
      </is>
    </oc>
    <nc r="AF158" t="inlineStr">
      <is>
        <t>Отклонение 11,476 тыс. руб. - экономия по приобретению призов на мер. "День оленевода" (произведена корректировка типа мероприятия).</t>
      </is>
    </nc>
    <odxf>
      <font>
        <sz val="12"/>
        <name val="Times New Roman"/>
        <scheme val="none"/>
      </font>
      <alignment horizontal="general" vertical="top" readingOrder="0"/>
    </odxf>
    <ndxf>
      <font>
        <sz val="14"/>
        <color auto="1"/>
        <name val="Times New Roman"/>
        <scheme val="none"/>
      </font>
      <alignment horizontal="justify" vertical="center" readingOrder="0"/>
    </ndxf>
  </rcc>
  <rfmt sheetId="8" sqref="AF158" start="0" length="2147483647">
    <dxf>
      <font>
        <sz val="12"/>
      </font>
    </dxf>
  </rfmt>
  <rcc rId="9892" sId="8" odxf="1" dxf="1">
    <oc r="AF187" t="inlineStr">
      <is>
        <t>Отклонение - 1362,660 тыс.руб. - в том числе: 75,858 тыс. руб. - командировочные расходы,  81,567 тыс. руб. -экономия по оплате транспортных услуг на мер. Новый год, "Проводы зимы", "День Победы" не предоставлены, 333,360 тыс. руб. - оплата за участие в конкурсах-фестивалях, 103,000 тыс. руб. - экономия по мер. "День Победы": сцена не устанавливалась; 0,840 тыс. руб. - вода питьевая в рамках мер. "День защиты детей", 102,760 тыс. руб.   - украшения для новогодней ели не приобретались,  0,375 тыс. руб. - документы на потребление электроэнергии Снежного городка предоставлены на меньшую сумму; 80,0 тыс. руб. - оплата за мастер-классы в рамках мер. "День работника культуры" - по факту оказания услуг, 524,900 тыс. руб. - фейерверк в рамках мероприятия "День Победы" не проводился, 60,0 тыс. руб. - экономия по охране в Парке Победы.</t>
      </is>
    </oc>
    <nc r="AF187" t="inlineStr">
      <is>
        <t>Отклонение - 649,980 тыс.руб. - в том числе: 75,858 тыс. руб. - командировочные расходы,  81,567 тыс. руб. -экономия по оплате транспортных услуг на мер. Новый год, "Проводы зимы", "День Победы" не предоставлены, 389,420 тыс. руб. - оплата за участие в конкурсах-фестивалях, 102,760 тыс. руб.   - украшения для новогодней ели не приобретались,  0,375 тыс. руб. - документы на потребление электроэнергии Снежного городка предоставлены на меньшую сумму.</t>
      </is>
    </nc>
    <odxf>
      <font>
        <sz val="12"/>
        <color auto="1"/>
        <name val="Times New Roman"/>
        <scheme val="none"/>
      </font>
    </odxf>
    <ndxf>
      <font>
        <sz val="14"/>
        <color auto="1"/>
        <name val="Times New Roman"/>
        <scheme val="none"/>
      </font>
    </ndxf>
  </rcc>
  <rfmt sheetId="8" sqref="AF188" start="0" length="0">
    <dxf>
      <font>
        <sz val="14"/>
        <color auto="1"/>
        <name val="Times New Roman"/>
        <scheme val="none"/>
      </font>
    </dxf>
  </rfmt>
  <rfmt sheetId="8" sqref="AF189" start="0" length="0">
    <dxf>
      <font>
        <sz val="14"/>
        <color auto="1"/>
        <name val="Times New Roman"/>
        <scheme val="none"/>
      </font>
    </dxf>
  </rfmt>
  <rfmt sheetId="8" sqref="AF190" start="0" length="0">
    <dxf>
      <font>
        <sz val="14"/>
        <color auto="1"/>
        <name val="Times New Roman"/>
        <scheme val="none"/>
      </font>
    </dxf>
  </rfmt>
  <rfmt sheetId="8" sqref="AF187:AF190" start="0" length="2147483647">
    <dxf>
      <font>
        <sz val="12"/>
      </font>
    </dxf>
  </rfmt>
  <rcc rId="9893" sId="8" odxf="1" dxf="1">
    <oc r="AF199" t="inlineStr">
      <is>
        <t>Отклонение - 13399,971 тыс. руб., в том числе 9974,963 тыс. руб. - заработная плата, 27,098 тыс. руб. - оплата листка нетрудоспособности за счет средств работодателя, 1303,066 тыс. руб. - начисление на выплаты по оплате труда,  53,780 тыс. руб. - услуги связи, 8,154 тыс. руб. - экономия по транспортным услугам, 12,307тыс. руб. - экономия по водопотреблению, 81,814 тыс. руб. - услуги по обращению с ТКО, 72,709 тыс. руб. - уборка снега,  135,995 тыс. руб. - экономия по техническому обслуживанию зданий, 87,385 тыс. руб. - экономия по противопожарному обслуживанию,  20,0 тыс. руб. - сопровождение УРМ, 234,088 тыс. руб. - медосмотр, 53,107тыс. руб. - услуги охраны, 5,0 тыс. руб. - канцтовары, 0,444 тыс. руб. -теплопотребление, 68,755тыс.руб.  - энергоснабжение; 773,200 тыс. руб. - налог на землю, 62,944 тыс руб. - содержание объекта благоустройства Набережная реки Ингу-Ягун., 425,162 тыс. руб. - оплата льготного проезда.</t>
      </is>
    </oc>
    <nc r="AF199" t="inlineStr">
      <is>
        <t>Отклонение - 9524,944 тыс. руб., в том числе: 6287,626 тыс. руб. - заработная плата, 41,829 тыс. руб. - оплата листка нетрудоспособности за счет средств работодателя, 0,727 тыс. руб. - оплата первичного медосмотра не производилась, 1007,475 тыс. руб. - начисление на выплаты по оплате труда,  63,079 тыс. руб. - услуги связи, 8,107 тыс. руб. - экономия по транспортным услугам, 13,515тыс. руб. - экономия по водопотреблению, 99,261 тыс. руб. - услуги по обращению с ТКО, 72,709 тыс. руб. - уборка снега,  217,239 тыс. руб. - экономия по техническому обслуживанию зданий, 104,202 тыс. руб. - экономия по противопожарному обслуживанию,  24,0 тыс. руб. - сопровождение УРМ, 43,055 тыс. руб. - медосмотр, 34,909тыс. руб. - услуги охраны, 30,000 тыс. руб. - канцтовары, 1,617 тыс. руб. -теплопотребление, 108,281тыс.руб.  - энергоснабжение; 773,200 тыс. руб. - налог на землю, 112,590 тыс руб. - содержание объекта благоустройства Набережная реки Ингу-Ягун., 481,523 тыс. руб. - оплата льготного проезда.</t>
      </is>
    </nc>
    <odxf>
      <font>
        <sz val="12"/>
        <color auto="1"/>
        <name val="Times New Roman"/>
        <scheme val="none"/>
      </font>
      <alignment horizontal="justify" readingOrder="0"/>
      <border outline="0">
        <bottom style="thin">
          <color indexed="64"/>
        </bottom>
      </border>
    </odxf>
    <ndxf>
      <font>
        <sz val="14"/>
        <color auto="1"/>
        <name val="Times New Roman"/>
        <scheme val="none"/>
      </font>
      <alignment horizontal="left" readingOrder="0"/>
      <border outline="0">
        <bottom/>
      </border>
    </ndxf>
  </rcc>
  <rfmt sheetId="8" sqref="AF200" start="0" length="0">
    <dxf>
      <font>
        <sz val="14"/>
        <color auto="1"/>
        <name val="Times New Roman"/>
        <scheme val="none"/>
      </font>
      <alignment horizontal="left" vertical="center" wrapText="1" readingOrder="0"/>
      <border outline="0">
        <top/>
        <bottom/>
      </border>
    </dxf>
  </rfmt>
  <rfmt sheetId="8" sqref="AF201" start="0" length="0">
    <dxf>
      <font>
        <sz val="14"/>
        <color auto="1"/>
        <name val="Times New Roman"/>
        <scheme val="none"/>
      </font>
      <alignment horizontal="left" vertical="center" wrapText="1" readingOrder="0"/>
      <border outline="0">
        <top/>
        <bottom/>
      </border>
    </dxf>
  </rfmt>
  <rfmt sheetId="8" sqref="AF202" start="0" length="0">
    <dxf>
      <font>
        <sz val="14"/>
        <color auto="1"/>
        <name val="Times New Roman"/>
        <scheme val="none"/>
      </font>
      <alignment horizontal="left" vertical="center" wrapText="1" readingOrder="0"/>
      <border outline="0">
        <top/>
        <bottom/>
      </border>
    </dxf>
  </rfmt>
  <rfmt sheetId="8" sqref="AF203" start="0" length="0">
    <dxf>
      <font>
        <sz val="14"/>
        <color auto="1"/>
        <name val="Times New Roman"/>
        <scheme val="none"/>
      </font>
      <alignment horizontal="left" vertical="center" wrapText="1" readingOrder="0"/>
      <border outline="0">
        <top/>
        <bottom/>
      </border>
    </dxf>
  </rfmt>
  <rfmt sheetId="8" sqref="AF204" start="0" length="0">
    <dxf>
      <font>
        <sz val="14"/>
        <color auto="1"/>
        <name val="Times New Roman"/>
        <scheme val="none"/>
      </font>
      <alignment horizontal="left" vertical="center" wrapText="1" readingOrder="0"/>
      <border outline="0">
        <top/>
      </border>
    </dxf>
  </rfmt>
  <rfmt sheetId="8" sqref="AF199:AF204" start="0" length="2147483647">
    <dxf>
      <font>
        <sz val="12"/>
      </font>
    </dxf>
  </rfmt>
  <rcc rId="9894" sId="8" odxf="1" dxf="1">
    <oc r="AF30" t="inlineStr">
      <is>
        <t>Приобретение печатных изданий для комплектования библиотечного фонда 1 141 шт. 450,00т.р. (МБ- 450,00т.р.,ОБ-0,00т.р.ФБ-0,00т.р.)</t>
      </is>
    </oc>
    <nc r="AF30" t="inlineStr">
      <is>
        <t>Приобретение печатных изданий для комплектования библиотечного фонда 2 069 шт. 982,56т.р. (МБ- 748,76т.р.,ОБ-128,59т.р.ФБ-105,21т.р.)</t>
      </is>
    </nc>
    <odxf>
      <font>
        <i val="0"/>
        <sz val="12"/>
        <color auto="1"/>
        <name val="Times New Roman"/>
        <scheme val="none"/>
      </font>
    </odxf>
    <ndxf>
      <font>
        <i/>
        <sz val="12"/>
        <color auto="1"/>
        <name val="Times New Roman"/>
        <scheme val="none"/>
      </font>
    </ndxf>
  </rcc>
  <rfmt sheetId="8" sqref="AF30" start="0" length="2147483647">
    <dxf>
      <font>
        <i val="0"/>
      </font>
    </dxf>
  </rfmt>
  <rfmt sheetId="8" sqref="AF37" start="0" length="0">
    <dxf>
      <font>
        <i/>
        <sz val="12"/>
        <color auto="1"/>
        <name val="Times New Roman"/>
        <scheme val="none"/>
      </font>
    </dxf>
  </rfmt>
  <rfmt sheetId="8" sqref="AF37" start="0" length="2147483647">
    <dxf>
      <font>
        <i val="0"/>
      </font>
    </dxf>
  </rfmt>
  <rcc rId="9895" sId="8" odxf="1" dxf="1">
    <oc r="AF43" t="inlineStr">
      <is>
        <t xml:space="preserve">Отклонение возникло:
-по оплате труда и начисления - 5189,48т.р (большое количество больничных листов,средства будут освоены на очередной отпуск сотрудников в течение 2024г.)                                                -прочие несоц. выплаты персоналу в денежной форме -2,4т.р. (остаток средств будет освоен в течение 2024г.)                                                                                                                                                                                                - услуги связи -2,42т.р. (в учреждении действует режим экономиии на телефонную связь)                                                                                                                                                                                                                                                                                                                                                                                                                                                                                                                                                                                                                                                                                                                                                                                                                                                                           
-по коммунальным услугам -139,108т.р.(фактические показания счетчиков);
-по работам и услугам по содержанию имущества-496,314т.р. (остаток средств по дог.на тех. обслуживание,содержание,тек. ремонт жил. фонда, также на уборку снега,анализ сточных вод,тех. освид.подъемной платформы, проектирование, монтаж системы ОПС будут освоены в течение 2024г.)                                                                                                                                                     - прочие работы, услуги- 26,03т.р. (остаток средств на оплату командировочн.расходов, охрану обьекта,спец. оценке усл.труда,производ.контролю, будет освоен в течение 2024г.р.)                                                                                                                                                                                                                                                                                                                                                                                                                                                                                - социальные компенсации персоналу в натуральной форме - 24,5т.р. (остаток средств будет освоен в течение 2024г.)                                                                                                                         -страхование -0,3т.р. (остаток средств будет освоен в течение 2024г.)                                             -соц. пособия и компенсации персоналу в денежной форме -10,99т.р.  (остаток средств будет освоен в июне 2024г.)                                                                                                                                                                                                                                                                                                                            -увеличение стоимости основных средств -267,78т.р. (остаток средств будет освоен в июне 2024г.по факту поставки товара)                                                                                                                                                     - увеличение стоимости прочих оборотных запасов  (материалов) -0,75т.р. (остаток средств буде освоен по факту поставки питьевой воды в июне 2024г.)                                                                - прочие несоциальные выплаты персоналу в натуральной форме - 223,039т.р. (остаток средств будет освоен в течение 2024г. на оплату проезда в отпуск и обратно сотрудн.,а также проезда заочника)  </t>
      </is>
    </oc>
    <nc r="AF43" t="inlineStr">
      <is>
        <t xml:space="preserve">Отклонение возникло:
-по оплате труда и начисления - 4431,46т.р (большое количество больничных листов,средства будут освоены на очередной отпуск сотрудников в течение 2024г.)                                                -прочие несоц. выплаты персоналу в денежной форме -2,4т.р. (остаток средств будет освоен в течение 2024г.)                                                                                                                                                                                                - услуги связи -4,93т.р. (в учреждении действует режим экономиии на телефонную связь)                                                                                                                                                                                                                                                                                                                                                                                                                                                                                                                                                                                                                                                                                                                                                                                                                                                                           
-по коммунальным услугам -162,07т.р.(фактические показания счетчиков);
-по работам и услугам по содержанию имущества-170,022т.р. (остаток средств по дог.на тех. обслуживание,содержание,тек. ремонт жил. фонда, также на уборку снега,анализ сточных вод, проектирование, монтаж системы ОПС будут освоены в течение 2024г.)                                                                                                                                                     - прочие работы, услуги- 27,63т.р. (остаток средств на оплату командировочн.расходов, охрану обьекта,спец. оценке усл.труда,производ.контролю,подписке на периодич. издания будет освоен в течение 2024г.р.)                                                                                                                                                                                                                                                                                                                                                                                                                                                                                - социальные компенсации персоналу в натуральной форме - 49,00т.р. (остаток средств будет освоен в течение 2024г.)                                                                                                                         -страхование -0,3т.р. (остаток средств будет освоен в течение 2024г.)                                             -соц. пособия и компенсации персоналу в денежной форме -1,82т.р.  (остаток средств будет освоен в июле 2024г.)                                                                                                                                                                                                                                                                                                                            -увеличение стоимости основных средств -127,56т.р. (остаток средств будет освоен в течение 2024г.)                                                                                                                                                                                                                 - прочие несоциальные выплаты персоналу в натуральной форме - 418,04т.р. (остаток средств будет освоен в течение 2024г. на оплату проезда в отпуск и обратно сотрудн.,а также проезда заочника)                                                                                                                                                                                                                                                                                                                                                                                                                                                                                                                                                                                                                                                                                                                                                                                                                                                                                         </t>
      </is>
    </nc>
    <odxf>
      <font>
        <sz val="12"/>
        <color auto="1"/>
        <name val="Times New Roman"/>
        <scheme val="none"/>
      </font>
    </odxf>
    <ndxf>
      <font>
        <sz val="13"/>
        <color auto="1"/>
        <name val="Times New Roman"/>
        <scheme val="none"/>
      </font>
    </ndxf>
  </rcc>
  <rfmt sheetId="8" sqref="AF43" start="0" length="2147483647">
    <dxf>
      <font>
        <sz val="12"/>
      </font>
    </dxf>
  </rfmt>
  <rcc rId="9896" sId="8" odxf="1" dxf="1">
    <oc r="AF49" t="inlineStr">
      <is>
        <t>Услуги связи интернет) 34,80 т.р.(ОБ-21,10т.р.,МБ-13,70 т.р.)           Перевод документов в эл. форму 70,00 т.р.(ОБ-59,50т.р.,МБ-10,50 т.р.)</t>
      </is>
    </oc>
    <nc r="AF49" t="inlineStr">
      <is>
        <t>Оказание инфоррмационных услуг (Консультант Плюс) 58,25 т.р. (ОБ-43,20т.р.,МБ-15,05т.р.)</t>
      </is>
    </nc>
    <odxf>
      <font>
        <i val="0"/>
        <sz val="12"/>
        <color auto="1"/>
        <name val="Times New Roman"/>
        <scheme val="none"/>
      </font>
    </odxf>
    <ndxf>
      <font>
        <i/>
        <sz val="12"/>
        <color auto="1"/>
        <name val="Times New Roman"/>
        <scheme val="none"/>
      </font>
    </ndxf>
  </rcc>
  <rfmt sheetId="8" sqref="AF49" start="0" length="2147483647">
    <dxf>
      <font>
        <i val="0"/>
      </font>
    </dxf>
  </rfmt>
  <rcc rId="9897" sId="8" odxf="1" dxf="1">
    <nc r="AF50" t="inlineStr">
      <is>
        <t>Подписка на периодические печатные издания 42,70 т.р. (ОБ-36,27т.р.,МБ-6,43т.р.)</t>
      </is>
    </nc>
    <odxf>
      <font>
        <i val="0"/>
        <sz val="14"/>
        <name val="Times New Roman"/>
        <scheme val="none"/>
      </font>
      <alignment vertical="bottom" wrapText="0" readingOrder="0"/>
    </odxf>
    <ndxf>
      <font>
        <i/>
        <sz val="12"/>
        <name val="Times New Roman"/>
        <scheme val="none"/>
      </font>
      <alignment vertical="center" wrapText="1" readingOrder="0"/>
    </ndxf>
  </rcc>
  <rfmt sheetId="8" sqref="AF50" start="0" length="2147483647">
    <dxf>
      <font>
        <i val="0"/>
      </font>
    </dxf>
  </rfmt>
  <rm rId="9898" sheetId="8" source="AF49:AF50" destination="AF56:AF57" sourceSheetId="8">
    <rcc rId="0" sId="8" dxf="1">
      <nc r="AF56" t="inlineStr">
        <is>
          <t>Оказание инфоррмационных услуг (Консультант Плюс) 46,60 т.р. (ОБ-32,40т.р.,МБ-14,20т.р.)   Подписка на периодические печатные издания 42,70 т.р. (ОБ-36,27т.р.,МБ-6,43т.р.)</t>
        </is>
      </nc>
      <ndxf>
        <font>
          <sz val="12"/>
          <color theme="1"/>
          <name val="Times New Roman"/>
          <scheme val="none"/>
        </font>
        <alignment vertical="center" wrapText="1" readingOrder="0"/>
        <border outline="0">
          <left style="thin">
            <color indexed="64"/>
          </left>
          <right style="thin">
            <color indexed="64"/>
          </right>
          <top style="thin">
            <color indexed="64"/>
          </top>
          <bottom style="thin">
            <color indexed="64"/>
          </bottom>
        </border>
      </ndxf>
    </rcc>
    <rfmt sheetId="8" sqref="AF57" start="0" length="0">
      <dxf>
        <font>
          <sz val="14"/>
          <color theme="1"/>
          <name val="Times New Roman"/>
          <scheme val="none"/>
        </font>
        <border outline="0">
          <left style="thin">
            <color indexed="64"/>
          </left>
          <right style="thin">
            <color indexed="64"/>
          </right>
          <top style="thin">
            <color indexed="64"/>
          </top>
          <bottom style="thin">
            <color indexed="64"/>
          </bottom>
        </border>
      </dxf>
    </rfmt>
  </rm>
  <rcc rId="9899" sId="8" odxf="1" dxf="1">
    <nc r="AF49" t="inlineStr">
      <is>
        <t>Услуги связи интернет) 47,50 т.р.(ОБ-33,10т.р.,МБ-14,40 т.р.)</t>
      </is>
    </nc>
    <odxf>
      <font>
        <i val="0"/>
        <sz val="14"/>
        <name val="Times New Roman"/>
        <scheme val="none"/>
      </font>
      <alignment vertical="bottom" wrapText="0" readingOrder="0"/>
      <border outline="0">
        <left/>
        <right/>
        <top/>
        <bottom/>
      </border>
    </odxf>
    <ndxf>
      <font>
        <i/>
        <sz val="12"/>
        <color auto="1"/>
        <name val="Times New Roman"/>
        <scheme val="none"/>
      </font>
      <alignment vertical="center" wrapText="1" readingOrder="0"/>
      <border outline="0">
        <left style="thin">
          <color indexed="64"/>
        </left>
        <right style="thin">
          <color indexed="64"/>
        </right>
        <top style="thin">
          <color indexed="64"/>
        </top>
        <bottom style="thin">
          <color indexed="64"/>
        </bottom>
      </border>
    </ndxf>
  </rcc>
  <rfmt sheetId="8" sqref="AF49" start="0" length="2147483647">
    <dxf>
      <font>
        <i val="0"/>
      </font>
    </dxf>
  </rfmt>
  <rcc rId="9900" sId="8" odxf="1" dxf="1">
    <nc r="AF50" t="inlineStr">
      <is>
        <t>Перевод документов в эл. форму 70,00 т.р.(ОБ-59,50т.р.,МБ-10,50 т.р.)</t>
      </is>
    </nc>
    <odxf>
      <font>
        <i val="0"/>
        <sz val="14"/>
        <name val="Times New Roman"/>
        <scheme val="none"/>
      </font>
      <alignment vertical="bottom" wrapText="0" readingOrder="0"/>
      <border outline="0">
        <left/>
        <right/>
        <top/>
        <bottom/>
      </border>
    </odxf>
    <ndxf>
      <font>
        <i/>
        <sz val="12"/>
        <color auto="1"/>
        <name val="Times New Roman"/>
        <scheme val="none"/>
      </font>
      <alignment vertical="center" wrapText="1" readingOrder="0"/>
      <border outline="0">
        <left style="thin">
          <color indexed="64"/>
        </left>
        <right style="thin">
          <color indexed="64"/>
        </right>
        <top style="thin">
          <color indexed="64"/>
        </top>
        <bottom style="thin">
          <color indexed="64"/>
        </bottom>
      </border>
    </ndxf>
  </rcc>
  <rfmt sheetId="8" sqref="AF50" start="0" length="2147483647">
    <dxf>
      <font>
        <i val="0"/>
      </font>
    </dxf>
  </rfmt>
  <rcc rId="9901" sId="8" odxf="1" dxf="1">
    <oc r="AF117" t="inlineStr">
      <is>
        <t xml:space="preserve">Оплата работ в июне 2024г. по факту предоставления поставщиком документов на оплату. </t>
      </is>
    </oc>
    <nc r="AF117" t="inlineStr">
      <is>
        <t>Выполнение работ по текущему ремонту уличной библиотеки 331,00 т.р. (ОБ-00,00т.р.,МБ-331,00т.р.)</t>
      </is>
    </nc>
    <odxf>
      <font>
        <i val="0"/>
        <sz val="12"/>
        <name val="Times New Roman"/>
        <scheme val="none"/>
      </font>
    </odxf>
    <ndxf>
      <font>
        <i/>
        <sz val="12"/>
        <name val="Times New Roman"/>
        <scheme val="none"/>
      </font>
    </ndxf>
  </rcc>
  <rfmt sheetId="8" sqref="AF117" start="0" length="2147483647">
    <dxf>
      <font>
        <i val="0"/>
      </font>
    </dxf>
  </rfmt>
  <rcc rId="9902" sId="8" odxf="1" dxf="1">
    <oc r="AF81" t="inlineStr">
      <is>
        <t>Остаток средств в сумме 0,040 т.руб.-прочее приобретение, средства будут использованы в июне.</t>
      </is>
    </oc>
    <nc r="AF81" t="inlineStr">
      <is>
        <t>Остаток средств в сумме 0,040 т.руб.-прочее приобретение, средства будут использованы в июле.</t>
      </is>
    </nc>
    <odxf>
      <font>
        <b val="0"/>
        <sz val="12"/>
        <color auto="1"/>
        <name val="Times New Roman"/>
        <scheme val="none"/>
      </font>
    </odxf>
    <ndxf>
      <font>
        <b/>
        <sz val="10"/>
        <color auto="1"/>
        <name val="Times New Roman"/>
        <scheme val="none"/>
      </font>
    </ndxf>
  </rcc>
  <rfmt sheetId="8" sqref="AF81" start="0" length="2147483647">
    <dxf>
      <font>
        <b val="0"/>
      </font>
    </dxf>
  </rfmt>
  <rfmt sheetId="8" sqref="AF81" start="0" length="2147483647">
    <dxf>
      <font>
        <sz val="12"/>
      </font>
    </dxf>
  </rfmt>
  <rcc rId="9903" sId="8" odxf="1" dxf="1">
    <oc r="AF87" t="inlineStr">
      <is>
        <t>Остаток средств в сумме 5,902 т.руб.-приобретение ОС,  оплата по факту на основании документов на оплату и товарных накладных, средства будут использованы в июне.</t>
      </is>
    </oc>
    <nc r="AF87" t="inlineStr">
      <is>
        <t>Остаток средств в сумме 5,902 т.руб.-приобретение ОС,  оплата по факту на основании документов на оплату и товарных накладных, средства будут использованы в июле.</t>
      </is>
    </nc>
    <odxf>
      <font>
        <b val="0"/>
        <sz val="12"/>
        <color auto="1"/>
        <name val="Times New Roman"/>
        <scheme val="none"/>
      </font>
    </odxf>
    <ndxf>
      <font>
        <b/>
        <sz val="10"/>
        <color auto="1"/>
        <name val="Times New Roman"/>
        <scheme val="none"/>
      </font>
    </ndxf>
  </rcc>
  <rfmt sheetId="8" sqref="AF87" start="0" length="2147483647">
    <dxf>
      <font>
        <b val="0"/>
      </font>
    </dxf>
  </rfmt>
  <rfmt sheetId="8" sqref="AF87" start="0" length="2147483647">
    <dxf>
      <font>
        <sz val="12"/>
      </font>
    </dxf>
  </rfmt>
  <rcc rId="9904" sId="8" odxf="1" dxf="1">
    <oc r="AF93" t="inlineStr">
      <is>
        <t>Остаток средств в сумме 4 990,978 т.руб., в т.ч.  остаток по  выплате заработной платы и соц.выплат   - 2 225,048 т.р. , начисл. на зар.плату - 1 318,688 т.руб., оплаты за коммунальные услуги по фактическим расходам и показаниям счетчиков- 261,670 т.р.,оплаты за содержание здания по факту предоставленных документов на оплату от поставщика - 378,039 т.руб., оплата услуг связи - 39,434 т.руб., оплата б/л за счет ср-в работод - 113,028 т.руб.оплаты налога на имущество - 421,919 т.руб.оплата командировочных расходов - 31,535 т.руб., приобретение ОС - 23,200 т.руб., оплата проезда в отпуск и обратно - 178,417 т.руб.</t>
      </is>
    </oc>
    <nc r="AF93" t="inlineStr">
      <is>
        <t>Остаток средств в сумме 5 558,160 т.руб., в т.ч.  остаток по  выплате заработной платы и соц.выплат   - 2 441,211 т.р. , начисл. на зар.плату - 1 593,677 т.руб., оплаты за коммунальные услуги по фактическим расходам и показаниям счетчиков- 342,561 т.р.,оплаты за содержание здания по факту предоставленных документов на оплату от поставщика - 374,326т.руб., оплата услуг связи - 46,461 т.руб., оплата б/л за счет ср-в работод - 101,044 т.руб.оплаты налога на имущество - 421,919 т.руб.оплата командировочных расходов - 27,385 т.руб., приобретение ОС - 23,200 т.руб., оплата проезда в отпуск и обратно - 186,376 т.руб.</t>
      </is>
    </nc>
    <odxf>
      <font>
        <b val="0"/>
        <sz val="12"/>
        <color auto="1"/>
        <name val="Times New Roman"/>
        <scheme val="none"/>
      </font>
    </odxf>
    <ndxf>
      <font>
        <b/>
        <sz val="10"/>
        <color auto="1"/>
        <name val="Times New Roman"/>
        <scheme val="none"/>
      </font>
    </ndxf>
  </rcc>
  <rfmt sheetId="8" sqref="AF93" start="0" length="2147483647">
    <dxf>
      <font>
        <b val="0"/>
      </font>
    </dxf>
  </rfmt>
  <rfmt sheetId="8" sqref="AF93" start="0" length="2147483647">
    <dxf>
      <font>
        <sz val="12"/>
      </font>
    </dxf>
  </rfmt>
  <rcc rId="9905" sId="8" odxf="1" dxf="1">
    <oc r="AF111" t="inlineStr">
      <is>
        <t>Остаток средств в сумме -1 262,500 т.руб., в т.ч., прочее приобретение, оплата по факту на основании документов на оплату и товарных накладных, средства будут использованы в июне.</t>
      </is>
    </oc>
    <nc r="AF111" t="inlineStr">
      <is>
        <t>Остаток средств в сумме -1 262,500 т.руб., в т.ч., прочее приобретение, оплата по факту на основании документов на оплату и товарных накладных, средства будут использованы в июле.</t>
      </is>
    </nc>
    <odxf>
      <font>
        <b val="0"/>
        <sz val="12"/>
        <color auto="1"/>
        <name val="Times New Roman"/>
        <scheme val="none"/>
      </font>
    </odxf>
    <ndxf>
      <font>
        <b/>
        <sz val="10"/>
        <color auto="1"/>
        <name val="Times New Roman"/>
        <scheme val="none"/>
      </font>
    </ndxf>
  </rcc>
  <rfmt sheetId="8" sqref="AF111" start="0" length="2147483647">
    <dxf>
      <font>
        <b val="0"/>
      </font>
    </dxf>
  </rfmt>
  <rfmt sheetId="8" sqref="AF111" start="0" length="2147483647">
    <dxf>
      <font>
        <sz val="12"/>
      </font>
    </dxf>
  </rfmt>
  <rfmt sheetId="8" sqref="AF263" start="0" length="0">
    <dxf>
      <font>
        <b/>
        <sz val="10"/>
        <color auto="1"/>
        <name val="Times New Roman"/>
        <scheme val="none"/>
      </font>
    </dxf>
  </rfmt>
  <rfmt sheetId="8" sqref="AF263" start="0" length="2147483647">
    <dxf>
      <font>
        <b val="0"/>
      </font>
    </dxf>
  </rfmt>
  <rfmt sheetId="8" sqref="AF263" start="0" length="2147483647">
    <dxf>
      <font>
        <sz val="12"/>
      </font>
    </dxf>
  </rfmt>
  <rcv guid="{7C130984-112A-4861-AA43-E2940708E3DC}" action="delete"/>
  <rdn rId="0" localSheetId="2" customView="1" name="Z_7C130984_112A_4861_AA43_E2940708E3DC_.wvu.Rows" hidden="1" oldHidden="1">
    <formula>'1.СЗН'!$69:$73</formula>
    <oldFormula>'1.СЗН'!$69:$73</oldFormula>
  </rdn>
  <rdn rId="0" localSheetId="2" customView="1" name="Z_7C130984_112A_4861_AA43_E2940708E3DC_.wvu.FilterData" hidden="1" oldHidden="1">
    <formula>'1.СЗН'!$A$1:$AF$63</formula>
    <oldFormula>'1.СЗН'!$A$1:$AF$63</oldFormula>
  </rdn>
  <rdn rId="0" localSheetId="3" customView="1" name="Z_7C130984_112A_4861_AA43_E2940708E3DC_.wvu.FilterData" hidden="1" oldHidden="1">
    <formula>'2.АПК'!$A$1:$AF$36</formula>
    <oldFormula>'2.АПК'!$A$1:$AF$36</oldFormula>
  </rdn>
  <rdn rId="0" localSheetId="4" customView="1" name="Z_7C130984_112A_4861_AA43_E2940708E3DC_.wvu.FilterData" hidden="1" oldHidden="1">
    <formula>'3.БЖД'!$A$1:$AF$17</formula>
    <oldFormula>'3.БЖД'!$A$1:$AF$17</oldFormula>
  </rdn>
  <rdn rId="0" localSheetId="5" customView="1" name="Z_7C130984_112A_4861_AA43_E2940708E3DC_.wvu.FilterData" hidden="1" oldHidden="1">
    <formula>'4.УМИ'!$A$1:$AF$11</formula>
    <oldFormula>'4.УМИ'!$A$1:$AF$11</oldFormula>
  </rdn>
  <rdn rId="0" localSheetId="6" customView="1" name="Z_7C130984_112A_4861_AA43_E2940708E3DC_.wvu.FilterData" hidden="1" oldHidden="1">
    <formula>'5.Проф. прав.'!$A$1:$AF$12</formula>
    <oldFormula>'5.Проф. прав.'!$A$1:$AF$12</oldFormula>
  </rdn>
  <rdn rId="0" localSheetId="7" customView="1" name="Z_7C130984_112A_4861_AA43_E2940708E3DC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7C130984_112A_4861_AA43_E2940708E3DC_.wvu.FilterData" hidden="1" oldHidden="1">
    <formula>'6.Экстримизм'!$A$1:$AF$11</formula>
    <oldFormula>'6.Экстримизм'!$A$1:$AF$11</oldFormula>
  </rdn>
  <rdn rId="0" localSheetId="8" customView="1" name="Z_7C130984_112A_4861_AA43_E2940708E3DC_.wvu.Cols" hidden="1" oldHidden="1">
    <formula>'7.МП КП'!$H:$AC</formula>
  </rdn>
  <rdn rId="0" localSheetId="14" customView="1" name="Z_7C130984_112A_4861_AA43_E2940708E3DC_.wvu.FilterData" hidden="1" oldHidden="1">
    <formula>'11.МП РО'!$A$4:$A$380</formula>
    <oldFormula>'11.МП РО'!$A$4:$A$380</oldFormula>
  </rdn>
  <rdn rId="0" localSheetId="17" customView="1" name="Z_7C130984_112A_4861_AA43_E2940708E3DC_.wvu.Rows" hidden="1" oldHidden="1">
    <formula>'13.МП РЖС'!$122:$127</formula>
    <oldFormula>'13.МП РЖС'!$122:$127</oldFormula>
  </rdn>
  <rdn rId="0" localSheetId="17" customView="1" name="Z_7C130984_112A_4861_AA43_E2940708E3DC_.wvu.Cols" hidden="1" oldHidden="1">
    <formula>'13.МП РЖС'!$AG:$AG</formula>
    <oldFormula>'13.МП РЖС'!$AG:$AG</oldFormula>
  </rdn>
  <rcv guid="{7C130984-112A-4861-AA43-E2940708E3DC}" action="add"/>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602C8EDB-B9EF-4C85-B0D5-0558C3A0ABAB}" action="delete"/>
  <rdn rId="0" localSheetId="2" customView="1" name="Z_602C8EDB_B9EF_4C85_B0D5_0558C3A0ABAB_.wvu.Rows" hidden="1" oldHidden="1">
    <formula>'1.СЗН'!$69:$73</formula>
    <oldFormula>'1.СЗН'!$69:$73</oldFormula>
  </rdn>
  <rdn rId="0" localSheetId="2" customView="1" name="Z_602C8EDB_B9EF_4C85_B0D5_0558C3A0ABAB_.wvu.FilterData" hidden="1" oldHidden="1">
    <formula>'1.СЗН'!$A$1:$AF$63</formula>
    <oldFormula>'1.СЗН'!$A$1:$AF$63</oldFormula>
  </rdn>
  <rdn rId="0" localSheetId="3" customView="1" name="Z_602C8EDB_B9EF_4C85_B0D5_0558C3A0ABAB_.wvu.FilterData" hidden="1" oldHidden="1">
    <formula>'2.АПК'!$A$1:$AF$36</formula>
    <oldFormula>'2.АПК'!$A$1:$AF$36</oldFormula>
  </rdn>
  <rdn rId="0" localSheetId="4" customView="1" name="Z_602C8EDB_B9EF_4C85_B0D5_0558C3A0ABAB_.wvu.FilterData" hidden="1" oldHidden="1">
    <formula>'3.БЖД'!$A$1:$AF$17</formula>
    <oldFormula>'3.БЖД'!$A$1:$AF$17</oldFormula>
  </rdn>
  <rdn rId="0" localSheetId="5" customView="1" name="Z_602C8EDB_B9EF_4C85_B0D5_0558C3A0ABAB_.wvu.FilterData" hidden="1" oldHidden="1">
    <formula>'4.УМИ'!$A$1:$AF$11</formula>
    <oldFormula>'4.УМИ'!$A$1:$AF$11</oldFormula>
  </rdn>
  <rdn rId="0" localSheetId="6" customView="1" name="Z_602C8EDB_B9EF_4C85_B0D5_0558C3A0ABAB_.wvu.FilterData" hidden="1" oldHidden="1">
    <formula>'5.Проф. прав.'!$A$1:$AF$12</formula>
    <oldFormula>'5.Проф. прав.'!$A$1:$AF$12</oldFormula>
  </rdn>
  <rdn rId="0" localSheetId="7" customView="1" name="Z_602C8EDB_B9EF_4C85_B0D5_0558C3A0ABAB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602C8EDB_B9EF_4C85_B0D5_0558C3A0ABAB_.wvu.FilterData" hidden="1" oldHidden="1">
    <formula>'6.Экстримизм'!$A$1:$AF$11</formula>
    <oldFormula>'6.Экстримизм'!$A$1:$AF$11</oldFormula>
  </rdn>
  <rdn rId="0" localSheetId="14" customView="1" name="Z_602C8EDB_B9EF_4C85_B0D5_0558C3A0ABAB_.wvu.FilterData" hidden="1" oldHidden="1">
    <formula>'11.МП РО'!$A$4:$A$380</formula>
    <oldFormula>'11.МП РО'!$A$4:$A$380</oldFormula>
  </rdn>
  <rdn rId="0" localSheetId="17" customView="1" name="Z_602C8EDB_B9EF_4C85_B0D5_0558C3A0ABAB_.wvu.Rows" hidden="1" oldHidden="1">
    <formula>'13.МП РЖС'!$122:$127</formula>
    <oldFormula>'13.МП РЖС'!$122:$127</oldFormula>
  </rdn>
  <rdn rId="0" localSheetId="17" customView="1" name="Z_602C8EDB_B9EF_4C85_B0D5_0558C3A0ABAB_.wvu.Cols" hidden="1" oldHidden="1">
    <formula>'13.МП РЖС'!$AG:$AG</formula>
    <oldFormula>'13.МП РЖС'!$AG:$AG</oldFormula>
  </rdn>
  <rcv guid="{602C8EDB-B9EF-4C85-B0D5-0558C3A0ABAB}" action="add"/>
</revisions>
</file>

<file path=xl/revisions/revisionLog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918" sId="11">
    <oc r="E69">
      <f>I69+K69+M69+O69+Q69</f>
    </oc>
    <nc r="E69">
      <f>I69+K69+M69+O69+Q69+S69</f>
    </nc>
  </rcc>
  <rcc rId="9919" sId="11">
    <oc r="C69">
      <f>H69+J69+L69+N69+P69</f>
    </oc>
    <nc r="C69">
      <f>H69+J69+L69+N69+P69+R69</f>
    </nc>
  </rcc>
  <rcc rId="9920" sId="11">
    <oc r="AF73" t="inlineStr">
      <is>
        <t>Расхождение фактических расходов  от плановых по  п.4.1.1. составляет 704,03 ты.руб.  сложилось по причине неисполнения по заработной платы и начисленниям по оплате труда, в связи с тем, что выплаты денежного поощрения по результам работы за год была выплачены за фактически отработанное время и в связи с наличием листов временной нетрудоспособности. Кроме того,  по причине досрочной уплаты запланированных на 2024 год страховых взносов в декабре 2023 года.</t>
      </is>
    </oc>
    <nc r="AF73" t="inlineStr">
      <is>
        <t>Расхождение фактических расходов  от плановых по  п.4.1.1. составляет 780,02 ты.руб.  сложилось по причине неисполнения по заработной платы и начисленниям по оплате труда, в связи с тем, что выплаты денежного поощрения по результам работы за год была выплачены за фактически отработанное время и в связи с наличием листов временной нетрудоспособности. Кроме того,  по причине досрочной уплаты запланированных на 2024 год страховых взносов в декабре 2023 года.</t>
      </is>
    </nc>
  </rcc>
  <rcc rId="9921" sId="11">
    <oc r="AF90" t="inlineStr">
      <is>
        <t>Расхождение фактических расходов по п.4.1.3. от плановых составляет  497,94 тыс.руб. сложилось по причине неисполнения по заработной платы и начисленниям по оплате труда, в связи с тем, что выплаты денежного поощрения по результам работы  выплачены за фактически отработанное время. Кроме того,  по причине досрочной уплаты запланированных на 2024 год страховых взносов в декабре 2023 года.</t>
      </is>
    </oc>
    <nc r="AF90" t="inlineStr">
      <is>
        <t>Расхождение фактических расходов по п.4.1.3. от плановых составляет  999,16 тыс.руб. сложилось по причине неисполнения по заработной платы и начисленниям по оплате труда, в связи с тем, что выплаты денежного поощрения по результам работы  выплачены за фактически отработанное время. Кроме того,  по причине досрочной уплаты запланированных на 2024 год страховых взносов в декабре 2023 года.</t>
      </is>
    </nc>
  </rcc>
  <rcc rId="9922" sId="11">
    <nc r="AF65" t="inlineStr">
      <is>
        <t>Отклонение по п. 4.1. составляет 2002,05 тыс.руб.</t>
      </is>
    </nc>
  </rcc>
</revisions>
</file>

<file path=xl/revisions/revisionLog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923" sId="8" numFmtId="4">
    <nc r="S229">
      <v>1269.3420000000001</v>
    </nc>
  </rcc>
  <rcc rId="9924" sId="8" numFmtId="4">
    <nc r="S235">
      <v>517.54499999999996</v>
    </nc>
  </rcc>
  <rcc rId="9925" sId="8" numFmtId="4">
    <oc r="R35">
      <v>41.26</v>
    </oc>
    <nc r="R35">
      <v>41.3</v>
    </nc>
  </rcc>
  <rcc rId="9926" sId="8" numFmtId="4">
    <oc r="S35">
      <v>41.26</v>
    </oc>
    <nc r="S35">
      <v>41.3</v>
    </nc>
  </rcc>
  <rcc rId="9927" sId="8" numFmtId="4">
    <oc r="R34">
      <v>298.76</v>
    </oc>
    <nc r="R34">
      <v>298.8</v>
    </nc>
  </rcc>
  <rcc rId="9928" sId="8" numFmtId="4">
    <oc r="S34">
      <v>298.76</v>
    </oc>
    <nc r="S34">
      <v>298.8</v>
    </nc>
  </rcc>
  <rcc rId="9929" sId="8" numFmtId="4">
    <oc r="T47">
      <f>6501.5+361.1</f>
    </oc>
    <nc r="T47">
      <v>8045.7</v>
    </nc>
  </rcc>
  <rcc rId="9930" sId="8" numFmtId="4">
    <oc r="R203">
      <v>14676.16</v>
    </oc>
    <nc r="R203">
      <v>14976.16</v>
    </nc>
  </rcc>
  <rcc rId="9931" sId="8" numFmtId="4">
    <oc r="X235">
      <v>499.03</v>
    </oc>
    <nc r="X235">
      <v>685.53099999999995</v>
    </nc>
  </rcc>
  <rcc rId="9932" sId="8" numFmtId="4">
    <nc r="V267">
      <v>3289.1</v>
    </nc>
  </rcc>
  <rcc rId="9933" sId="8" numFmtId="4">
    <oc r="Z273">
      <v>2266.6999999999998</v>
    </oc>
    <nc r="Z273">
      <v>0</v>
    </nc>
  </rcc>
  <rcc rId="9934" sId="8" numFmtId="4">
    <oc r="T133">
      <f>1364.28+2213.4</f>
    </oc>
    <nc r="T133">
      <v>14497.540999999999</v>
    </nc>
  </rcc>
  <rcc rId="9935" sId="8" numFmtId="4">
    <oc r="V133">
      <f>1453.77+2213.4</f>
    </oc>
    <nc r="V133">
      <v>5732.7340000000004</v>
    </nc>
  </rcc>
  <rcc rId="9936" sId="8" numFmtId="4">
    <oc r="X133">
      <f>1447.936+2213.4</f>
    </oc>
    <nc r="X133">
      <v>5684.9530000000004</v>
    </nc>
  </rcc>
  <rcc rId="9937" sId="8" numFmtId="4">
    <oc r="Z133">
      <f>2212.57+3906</f>
    </oc>
    <nc r="Z133">
      <v>7105.4139999999998</v>
    </nc>
  </rcc>
  <rcc rId="9938" sId="8" numFmtId="4">
    <oc r="AB133">
      <f>2144.26+3906</f>
    </oc>
    <nc r="AB133">
      <v>7119.7759999999998</v>
    </nc>
  </rcc>
  <rcc rId="9939" sId="8" numFmtId="4">
    <oc r="AD133">
      <f>2670.3+5817.37</f>
    </oc>
    <nc r="AD133">
      <v>9944.9619999999995</v>
    </nc>
  </rcc>
  <rcc rId="9940" sId="8" numFmtId="4">
    <oc r="R253">
      <v>4774.3459999999995</v>
    </oc>
    <nc r="R253">
      <v>4784.3459999999995</v>
    </nc>
  </rcc>
  <rcc rId="9941" sId="8" numFmtId="4">
    <oc r="T253">
      <v>4501.4809999999998</v>
    </oc>
    <nc r="T253">
      <v>4682.0810000000001</v>
    </nc>
  </rcc>
  <rcc rId="9942" sId="8" numFmtId="4">
    <oc r="AD253">
      <v>5765.4880000000003</v>
    </oc>
    <nc r="AD253">
      <v>5735.4880000000003</v>
    </nc>
  </rcc>
  <rcc rId="9943" sId="8">
    <oc r="S50">
      <f>S52+S53+S51+S55</f>
    </oc>
    <nc r="S50">
      <f>S52+S53+S51+S55</f>
    </nc>
  </rcc>
  <rcc rId="9944" sId="8" numFmtId="4">
    <nc r="S62">
      <v>0.85</v>
    </nc>
  </rcc>
  <rcc rId="9945" sId="8" numFmtId="4">
    <nc r="P141">
      <v>0</v>
    </nc>
  </rcc>
  <rcc rId="9946" sId="8" numFmtId="4">
    <nc r="Q141">
      <v>0</v>
    </nc>
  </rcc>
  <rcc rId="9947" sId="8" numFmtId="4">
    <nc r="R141">
      <v>0</v>
    </nc>
  </rcc>
  <rcc rId="9948" sId="8" numFmtId="4">
    <nc r="S141">
      <v>0</v>
    </nc>
  </rcc>
  <rcc rId="9949" sId="8" numFmtId="4">
    <nc r="R167">
      <v>0</v>
    </nc>
  </rcc>
  <rcc rId="9950" sId="8" numFmtId="4">
    <nc r="S167">
      <v>0</v>
    </nc>
  </rcc>
  <rcc rId="9951" sId="8" numFmtId="4">
    <nc r="R197">
      <v>0</v>
    </nc>
  </rcc>
  <rcc rId="9952" sId="8" numFmtId="4">
    <nc r="S197">
      <v>0</v>
    </nc>
  </rcc>
  <rcc rId="9953" sId="8" numFmtId="4">
    <nc r="P209">
      <v>0</v>
    </nc>
  </rcc>
  <rcc rId="9954" sId="8" numFmtId="4">
    <nc r="Q209">
      <v>0</v>
    </nc>
  </rcc>
  <rcc rId="9955" sId="8" numFmtId="4">
    <nc r="R209">
      <v>0</v>
    </nc>
  </rcc>
  <rcc rId="9956" sId="8" numFmtId="4">
    <nc r="S209">
      <v>0</v>
    </nc>
  </rcc>
  <rcc rId="9957" sId="8" numFmtId="4">
    <nc r="P215">
      <v>0</v>
    </nc>
  </rcc>
  <rcc rId="9958" sId="8" numFmtId="4">
    <nc r="Q215">
      <v>0</v>
    </nc>
  </rcc>
  <rcc rId="9959" sId="8" numFmtId="4">
    <nc r="R215">
      <v>0</v>
    </nc>
  </rcc>
  <rcc rId="9960" sId="8" numFmtId="4">
    <nc r="S215">
      <v>0</v>
    </nc>
  </rcc>
  <rcc rId="9961" sId="8" numFmtId="4">
    <nc r="P273">
      <v>0</v>
    </nc>
  </rcc>
  <rcc rId="9962" sId="8" numFmtId="4">
    <nc r="Q273">
      <v>0</v>
    </nc>
  </rcc>
  <rcc rId="9963" sId="8" numFmtId="4">
    <nc r="R273">
      <v>0</v>
    </nc>
  </rcc>
  <rcc rId="9964" sId="8" numFmtId="4">
    <nc r="S273">
      <v>0</v>
    </nc>
  </rcc>
</revisions>
</file>

<file path=xl/revisions/revisionLog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965" sId="9">
    <oc r="AD53">
      <f>2294.43688+1135+1492</f>
    </oc>
    <nc r="AD53">
      <f>2294.43688+1136.3+1492</f>
    </nc>
  </rcc>
  <rfmt sheetId="9" sqref="H53:AE53">
    <dxf>
      <fill>
        <patternFill>
          <bgColor theme="0"/>
        </patternFill>
      </fill>
    </dxf>
  </rfmt>
  <rfmt sheetId="9" sqref="H35:AE35">
    <dxf>
      <fill>
        <patternFill>
          <bgColor theme="0"/>
        </patternFill>
      </fill>
    </dxf>
  </rfmt>
  <rfmt sheetId="9" sqref="B35:E36">
    <dxf>
      <fill>
        <patternFill>
          <bgColor theme="0"/>
        </patternFill>
      </fill>
    </dxf>
  </rfmt>
  <rfmt sheetId="9" sqref="B35:E36">
    <dxf>
      <fill>
        <patternFill>
          <bgColor theme="2"/>
        </patternFill>
      </fill>
    </dxf>
  </rfmt>
  <rfmt sheetId="9" sqref="H35:AF36">
    <dxf>
      <fill>
        <patternFill>
          <bgColor theme="2"/>
        </patternFill>
      </fill>
    </dxf>
  </rfmt>
</revisions>
</file>

<file path=xl/revisions/revisionLog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966" sId="11" numFmtId="4">
    <oc r="Q77">
      <v>0</v>
    </oc>
    <nc r="Q77">
      <v>76</v>
    </nc>
  </rcc>
  <rcc rId="9967" sId="11" numFmtId="4">
    <oc r="Q84">
      <v>0</v>
    </oc>
    <nc r="Q84">
      <v>152</v>
    </nc>
  </rcc>
  <rcc rId="9968" sId="11" numFmtId="4">
    <oc r="Q91">
      <v>0</v>
    </oc>
    <nc r="Q91">
      <v>500.88</v>
    </nc>
  </rcc>
  <rcc rId="9969" sId="11">
    <nc r="Q97">
      <f>Q70</f>
    </nc>
  </rcc>
  <rcc rId="9970" sId="11">
    <nc r="P97">
      <f>P70</f>
    </nc>
  </rcc>
  <rcc rId="9971" sId="11">
    <nc r="G70">
      <f>Q70</f>
    </nc>
  </rcc>
  <rcc rId="9972" sId="11">
    <nc r="F70">
      <f>G70</f>
    </nc>
  </rcc>
  <rcc rId="9973" sId="11" numFmtId="4">
    <oc r="D84">
      <v>0</v>
    </oc>
    <nc r="D84">
      <f>E84</f>
    </nc>
  </rcc>
  <rcc rId="9974" sId="11" numFmtId="4">
    <oc r="D85">
      <f>E85</f>
    </oc>
    <nc r="D85">
      <v>0</v>
    </nc>
  </rcc>
  <rcc rId="9975" sId="11" numFmtId="4">
    <oc r="E91">
      <v>0</v>
    </oc>
    <nc r="E91">
      <f>Q91</f>
    </nc>
  </rcc>
  <rcc rId="9976" sId="11" numFmtId="4">
    <oc r="D91">
      <v>0</v>
    </oc>
    <nc r="D91">
      <f>E91</f>
    </nc>
  </rcc>
  <rcc rId="9977" sId="11" numFmtId="4">
    <nc r="F91">
      <v>100</v>
    </nc>
  </rcc>
  <rcc rId="9978" sId="11" numFmtId="4">
    <nc r="G91">
      <v>100</v>
    </nc>
  </rcc>
  <rcc rId="9979" sId="11" numFmtId="4">
    <nc r="F84">
      <v>100</v>
    </nc>
  </rcc>
  <rcc rId="9980" sId="11" numFmtId="4">
    <nc r="G84">
      <v>100</v>
    </nc>
  </rcc>
  <rcc rId="9981" sId="11" numFmtId="4">
    <oc r="F77">
      <v>0</v>
    </oc>
    <nc r="F77">
      <v>100</v>
    </nc>
  </rcc>
  <rcc rId="9982" sId="11" numFmtId="4">
    <oc r="G77">
      <v>0</v>
    </oc>
    <nc r="G77">
      <v>100</v>
    </nc>
  </rcc>
  <rcc rId="9983" sId="11">
    <nc r="F103">
      <f>F70</f>
    </nc>
  </rcc>
  <rcc rId="9984" sId="11" numFmtId="4">
    <oc r="E103">
      <v>0</v>
    </oc>
    <nc r="E103">
      <f>F103</f>
    </nc>
  </rcc>
  <rcc rId="9985" sId="11">
    <nc r="Q103">
      <f>Q97</f>
    </nc>
  </rcc>
</revisions>
</file>

<file path=xl/revisions/revisionLog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986" sId="6">
    <oc r="AF12" t="inlineStr">
      <is>
        <t xml:space="preserve">ПРОПИСАТЬ ОТКЛОНЕНИЕ 4,945 ТЫС. РУБ </t>
      </is>
    </oc>
    <nc r="AF12" t="inlineStr">
      <is>
        <t>Страхование народных дружинников согласно выставленного счета на основании заключенного контракта</t>
      </is>
    </nc>
  </rcc>
  <rfmt sheetId="6" sqref="AF12">
    <dxf>
      <numFmt numFmtId="30" formatCode="@"/>
      <alignment wrapText="1" readingOrder="0"/>
    </dxf>
  </rfmt>
</revisions>
</file>

<file path=xl/revisions/revisionLog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1" s="1" sqref="AF70" start="0" length="0">
    <dxf>
      <font>
        <sz val="11"/>
        <color theme="1"/>
        <name val="Calibri"/>
        <scheme val="minor"/>
      </font>
      <fill>
        <patternFill patternType="none">
          <bgColor indexed="65"/>
        </patternFill>
      </fill>
      <alignment vertical="bottom" wrapText="0" readingOrder="0"/>
      <border outline="0">
        <left/>
        <right/>
        <top/>
        <bottom/>
      </border>
    </dxf>
  </rfmt>
  <rfmt sheetId="11" xfDxf="1" sqref="AF70" start="0" length="0">
    <dxf>
      <font/>
      <alignment vertical="center" readingOrder="0"/>
    </dxf>
  </rfmt>
  <rcc rId="9987" sId="11" odxf="1" s="1" dxf="1">
    <nc r="AF70" t="inlineStr">
      <is>
        <t xml:space="preserve">В сответсвии с постановлением Администрации города Когалыма от 06.05.2024 №895 </t>
      </is>
    </nc>
    <ndxf>
      <font>
        <sz val="9"/>
        <color auto="1"/>
        <name val="Times New Roman"/>
        <scheme val="none"/>
      </font>
      <fill>
        <patternFill patternType="solid">
          <bgColor theme="7" tint="0.79998168889431442"/>
        </patternFill>
      </fill>
      <alignment wrapText="1" readingOrder="0"/>
      <border outline="0">
        <left style="thin">
          <color indexed="64"/>
        </left>
        <right style="thin">
          <color indexed="64"/>
        </right>
        <top style="thin">
          <color indexed="64"/>
        </top>
        <bottom style="thin">
          <color indexed="64"/>
        </bottom>
      </border>
    </ndxf>
  </rcc>
</revisions>
</file>

<file path=xl/revisions/revisionLog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 sqref="AF36">
    <dxf>
      <alignment wrapText="1" readingOrder="0"/>
    </dxf>
  </rfmt>
  <rfmt sheetId="6" sqref="AF36">
    <dxf>
      <alignment vertical="top" readingOrder="0"/>
    </dxf>
  </rfmt>
  <rcc rId="9988" sId="6">
    <oc r="AF36" t="inlineStr">
      <is>
        <t xml:space="preserve">ПРОПИСАТЬ ОТКЛОНЕНИЕ 15,688 ТЫС. РУБ </t>
      </is>
    </oc>
    <nc r="AF36" t="inlineStr">
      <is>
        <t>Сложилась экономия 15,68 тыс.рублей согласно заключенного контракта</t>
      </is>
    </nc>
  </rcc>
</revisions>
</file>

<file path=xl/revisions/revisionLog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 s="1" sqref="AF73" start="0" length="0">
    <dxf>
      <font>
        <sz val="14"/>
        <color theme="1"/>
        <name val="Times New Roman"/>
        <scheme val="none"/>
      </font>
      <numFmt numFmtId="0" formatCode="General"/>
      <alignment vertical="top" wrapText="1" readingOrder="0"/>
    </dxf>
  </rfmt>
  <rcc rId="9989" sId="6">
    <oc r="AF73" t="inlineStr">
      <is>
        <t xml:space="preserve">ПРОПИСАТЬ ПРИЧИНЫ ОТКЛОНЕНИЙ 15,86 ТЫС. РУБ </t>
      </is>
    </oc>
    <nc r="AF73" t="inlineStr">
      <is>
        <t>Сложилась экономия 15,86 тыс.рублей согласно заключенного контракта</t>
      </is>
    </nc>
  </rcc>
</revisions>
</file>

<file path=xl/revisions/revisionLog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990" sId="8" numFmtId="4">
    <oc r="M253">
      <v>3260.36</v>
    </oc>
    <nc r="M253">
      <v>2574.5309999999999</v>
    </nc>
  </rcc>
  <rcc rId="9991" sId="8" numFmtId="4">
    <nc r="S253">
      <v>5490.43</v>
    </nc>
  </rcc>
  <rfmt sheetId="8" sqref="S253">
    <dxf>
      <fill>
        <patternFill patternType="solid">
          <bgColor theme="7" tint="0.79998168889431442"/>
        </patternFill>
      </fill>
    </dxf>
  </rfmt>
</revisions>
</file>

<file path=xl/revisions/revisionLog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8" customView="1" name="Z_7C130984_112A_4861_AA43_E2940708E3DC_.wvu.Cols" hidden="1" oldHidden="1">
    <oldFormula>'7.МП КП'!$H:$AC</oldFormula>
  </rdn>
  <rcv guid="{7C130984-112A-4861-AA43-E2940708E3DC}" action="delete"/>
  <rdn rId="0" localSheetId="2" customView="1" name="Z_7C130984_112A_4861_AA43_E2940708E3DC_.wvu.Rows" hidden="1" oldHidden="1">
    <formula>'1.СЗН'!$69:$73</formula>
    <oldFormula>'1.СЗН'!$69:$73</oldFormula>
  </rdn>
  <rdn rId="0" localSheetId="2" customView="1" name="Z_7C130984_112A_4861_AA43_E2940708E3DC_.wvu.FilterData" hidden="1" oldHidden="1">
    <formula>'1.СЗН'!$A$1:$AF$63</formula>
    <oldFormula>'1.СЗН'!$A$1:$AF$63</oldFormula>
  </rdn>
  <rdn rId="0" localSheetId="3" customView="1" name="Z_7C130984_112A_4861_AA43_E2940708E3DC_.wvu.FilterData" hidden="1" oldHidden="1">
    <formula>'2.АПК'!$A$1:$AF$36</formula>
    <oldFormula>'2.АПК'!$A$1:$AF$36</oldFormula>
  </rdn>
  <rdn rId="0" localSheetId="4" customView="1" name="Z_7C130984_112A_4861_AA43_E2940708E3DC_.wvu.FilterData" hidden="1" oldHidden="1">
    <formula>'3.БЖД'!$A$1:$AF$17</formula>
    <oldFormula>'3.БЖД'!$A$1:$AF$17</oldFormula>
  </rdn>
  <rdn rId="0" localSheetId="5" customView="1" name="Z_7C130984_112A_4861_AA43_E2940708E3DC_.wvu.FilterData" hidden="1" oldHidden="1">
    <formula>'4.УМИ'!$A$1:$AF$11</formula>
    <oldFormula>'4.УМИ'!$A$1:$AF$11</oldFormula>
  </rdn>
  <rdn rId="0" localSheetId="6" customView="1" name="Z_7C130984_112A_4861_AA43_E2940708E3DC_.wvu.FilterData" hidden="1" oldHidden="1">
    <formula>'5.Проф. прав.'!$A$1:$AF$12</formula>
    <oldFormula>'5.Проф. прав.'!$A$1:$AF$12</oldFormula>
  </rdn>
  <rdn rId="0" localSheetId="7" customView="1" name="Z_7C130984_112A_4861_AA43_E2940708E3DC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7C130984_112A_4861_AA43_E2940708E3DC_.wvu.FilterData" hidden="1" oldHidden="1">
    <formula>'6.Экстримизм'!$A$1:$AF$11</formula>
    <oldFormula>'6.Экстримизм'!$A$1:$AF$11</oldFormula>
  </rdn>
  <rdn rId="0" localSheetId="14" customView="1" name="Z_7C130984_112A_4861_AA43_E2940708E3DC_.wvu.FilterData" hidden="1" oldHidden="1">
    <formula>'11.МП РО'!$A$4:$A$380</formula>
    <oldFormula>'11.МП РО'!$A$4:$A$380</oldFormula>
  </rdn>
  <rdn rId="0" localSheetId="17" customView="1" name="Z_7C130984_112A_4861_AA43_E2940708E3DC_.wvu.Rows" hidden="1" oldHidden="1">
    <formula>'13.МП РЖС'!$122:$127</formula>
    <oldFormula>'13.МП РЖС'!$122:$127</oldFormula>
  </rdn>
  <rdn rId="0" localSheetId="17" customView="1" name="Z_7C130984_112A_4861_AA43_E2940708E3DC_.wvu.Cols" hidden="1" oldHidden="1">
    <formula>'13.МП РЖС'!$AG:$AG</formula>
    <oldFormula>'13.МП РЖС'!$AG:$AG</oldFormula>
  </rdn>
  <rcv guid="{7C130984-112A-4861-AA43-E2940708E3DC}" action="add"/>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835" sId="18" numFmtId="19">
    <oc r="C6">
      <v>45444</v>
    </oc>
    <nc r="C6">
      <v>45474</v>
    </nc>
  </rcc>
  <rcv guid="{602C8EDB-B9EF-4C85-B0D5-0558C3A0ABAB}" action="delete"/>
  <rdn rId="0" localSheetId="2" customView="1" name="Z_602C8EDB_B9EF_4C85_B0D5_0558C3A0ABAB_.wvu.Rows" hidden="1" oldHidden="1">
    <formula>'1.СЗН'!$69:$73</formula>
    <oldFormula>'1.СЗН'!$69:$73</oldFormula>
  </rdn>
  <rdn rId="0" localSheetId="2" customView="1" name="Z_602C8EDB_B9EF_4C85_B0D5_0558C3A0ABAB_.wvu.FilterData" hidden="1" oldHidden="1">
    <formula>'1.СЗН'!$A$1:$AF$63</formula>
    <oldFormula>'1.СЗН'!$A$1:$AF$63</oldFormula>
  </rdn>
  <rdn rId="0" localSheetId="3" customView="1" name="Z_602C8EDB_B9EF_4C85_B0D5_0558C3A0ABAB_.wvu.FilterData" hidden="1" oldHidden="1">
    <formula>'2.АПК'!$A$1:$AF$36</formula>
    <oldFormula>'2.АПК'!$A$1:$AF$36</oldFormula>
  </rdn>
  <rdn rId="0" localSheetId="4" customView="1" name="Z_602C8EDB_B9EF_4C85_B0D5_0558C3A0ABAB_.wvu.FilterData" hidden="1" oldHidden="1">
    <formula>'3.БЖД'!$A$1:$AF$17</formula>
    <oldFormula>'3.БЖД'!$A$1:$AF$17</oldFormula>
  </rdn>
  <rdn rId="0" localSheetId="5" customView="1" name="Z_602C8EDB_B9EF_4C85_B0D5_0558C3A0ABAB_.wvu.FilterData" hidden="1" oldHidden="1">
    <formula>'4.УМИ'!$A$1:$AF$11</formula>
    <oldFormula>'4.УМИ'!$A$1:$AF$11</oldFormula>
  </rdn>
  <rdn rId="0" localSheetId="6" customView="1" name="Z_602C8EDB_B9EF_4C85_B0D5_0558C3A0ABAB_.wvu.FilterData" hidden="1" oldHidden="1">
    <formula>'5.Проф. прав.'!$A$1:$AF$12</formula>
    <oldFormula>'5.Проф. прав.'!$A$1:$AF$12</oldFormula>
  </rdn>
  <rdn rId="0" localSheetId="7" customView="1" name="Z_602C8EDB_B9EF_4C85_B0D5_0558C3A0ABAB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602C8EDB_B9EF_4C85_B0D5_0558C3A0ABAB_.wvu.FilterData" hidden="1" oldHidden="1">
    <formula>'6.Экстримизм'!$A$1:$AF$11</formula>
    <oldFormula>'6.Экстримизм'!$A$1:$AF$11</oldFormula>
  </rdn>
  <rdn rId="0" localSheetId="14" customView="1" name="Z_602C8EDB_B9EF_4C85_B0D5_0558C3A0ABAB_.wvu.FilterData" hidden="1" oldHidden="1">
    <formula>'11.МП РО'!$A$4:$A$380</formula>
    <oldFormula>'11.МП РО'!$A$4:$A$380</oldFormula>
  </rdn>
  <rdn rId="0" localSheetId="17" customView="1" name="Z_602C8EDB_B9EF_4C85_B0D5_0558C3A0ABAB_.wvu.Rows" hidden="1" oldHidden="1">
    <formula>'13.МП РЖС'!$122:$127</formula>
    <oldFormula>'13.МП РЖС'!$122:$127</oldFormula>
  </rdn>
  <rdn rId="0" localSheetId="17" customView="1" name="Z_602C8EDB_B9EF_4C85_B0D5_0558C3A0ABAB_.wvu.Cols" hidden="1" oldHidden="1">
    <formula>'13.МП РЖС'!$AG:$AG</formula>
    <oldFormula>'13.МП РЖС'!$AG:$AG</oldFormula>
  </rdn>
  <rcv guid="{602C8EDB-B9EF-4C85-B0D5-0558C3A0ABAB}" action="add"/>
</revisions>
</file>

<file path=xl/revisions/revisionLog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7C130984-112A-4861-AA43-E2940708E3DC}" action="delete"/>
  <rdn rId="0" localSheetId="2" customView="1" name="Z_7C130984_112A_4861_AA43_E2940708E3DC_.wvu.Rows" hidden="1" oldHidden="1">
    <formula>'1.СЗН'!$69:$73</formula>
    <oldFormula>'1.СЗН'!$69:$73</oldFormula>
  </rdn>
  <rdn rId="0" localSheetId="2" customView="1" name="Z_7C130984_112A_4861_AA43_E2940708E3DC_.wvu.FilterData" hidden="1" oldHidden="1">
    <formula>'1.СЗН'!$A$1:$AF$63</formula>
    <oldFormula>'1.СЗН'!$A$1:$AF$63</oldFormula>
  </rdn>
  <rdn rId="0" localSheetId="3" customView="1" name="Z_7C130984_112A_4861_AA43_E2940708E3DC_.wvu.FilterData" hidden="1" oldHidden="1">
    <formula>'2.АПК'!$A$1:$AF$36</formula>
    <oldFormula>'2.АПК'!$A$1:$AF$36</oldFormula>
  </rdn>
  <rdn rId="0" localSheetId="4" customView="1" name="Z_7C130984_112A_4861_AA43_E2940708E3DC_.wvu.FilterData" hidden="1" oldHidden="1">
    <formula>'3.БЖД'!$A$1:$AF$17</formula>
    <oldFormula>'3.БЖД'!$A$1:$AF$17</oldFormula>
  </rdn>
  <rdn rId="0" localSheetId="5" customView="1" name="Z_7C130984_112A_4861_AA43_E2940708E3DC_.wvu.FilterData" hidden="1" oldHidden="1">
    <formula>'4.УМИ'!$A$1:$AF$11</formula>
    <oldFormula>'4.УМИ'!$A$1:$AF$11</oldFormula>
  </rdn>
  <rdn rId="0" localSheetId="6" customView="1" name="Z_7C130984_112A_4861_AA43_E2940708E3DC_.wvu.FilterData" hidden="1" oldHidden="1">
    <formula>'5.Проф. прав.'!$A$1:$AF$12</formula>
    <oldFormula>'5.Проф. прав.'!$A$1:$AF$12</oldFormula>
  </rdn>
  <rdn rId="0" localSheetId="7" customView="1" name="Z_7C130984_112A_4861_AA43_E2940708E3DC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7C130984_112A_4861_AA43_E2940708E3DC_.wvu.FilterData" hidden="1" oldHidden="1">
    <formula>'6.Экстримизм'!$A$1:$AF$11</formula>
    <oldFormula>'6.Экстримизм'!$A$1:$AF$11</oldFormula>
  </rdn>
  <rdn rId="0" localSheetId="14" customView="1" name="Z_7C130984_112A_4861_AA43_E2940708E3DC_.wvu.FilterData" hidden="1" oldHidden="1">
    <formula>'11.МП РО'!$A$4:$A$380</formula>
    <oldFormula>'11.МП РО'!$A$4:$A$380</oldFormula>
  </rdn>
  <rdn rId="0" localSheetId="17" customView="1" name="Z_7C130984_112A_4861_AA43_E2940708E3DC_.wvu.Rows" hidden="1" oldHidden="1">
    <formula>'13.МП РЖС'!$122:$127</formula>
    <oldFormula>'13.МП РЖС'!$122:$127</oldFormula>
  </rdn>
  <rdn rId="0" localSheetId="17" customView="1" name="Z_7C130984_112A_4861_AA43_E2940708E3DC_.wvu.Cols" hidden="1" oldHidden="1">
    <formula>'13.МП РЖС'!$AG:$AG</formula>
    <oldFormula>'13.МП РЖС'!$AG:$AG</oldFormula>
  </rdn>
  <rcv guid="{7C130984-112A-4861-AA43-E2940708E3DC}" action="add"/>
</revisions>
</file>

<file path=xl/revisions/revisionLog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038" sId="12">
    <oc r="P31">
      <f>P33+P34+P32+P35</f>
    </oc>
    <nc r="P31">
      <f>P33+P34+P32+P35</f>
    </nc>
  </rcc>
  <rcc rId="6039" sId="12" numFmtId="4">
    <oc r="P34">
      <v>94.354600000000005</v>
    </oc>
    <nc r="P34">
      <v>181.43</v>
    </nc>
  </rcc>
  <rcc rId="6040" sId="12" numFmtId="4">
    <oc r="Q34">
      <v>0</v>
    </oc>
    <nc r="Q34">
      <v>225.66</v>
    </nc>
  </rcc>
  <rcc rId="6041" sId="12" numFmtId="4">
    <oc r="P40">
      <v>15142.13</v>
    </oc>
    <nc r="P40">
      <v>15209.13</v>
    </nc>
  </rcc>
  <rcc rId="6042" sId="12" numFmtId="4">
    <oc r="Q40">
      <v>0</v>
    </oc>
    <nc r="Q40">
      <v>1355.63</v>
    </nc>
  </rcc>
  <rcc rId="6043" sId="12" numFmtId="4">
    <oc r="Q46">
      <v>0</v>
    </oc>
    <nc r="Q46">
      <v>52.98</v>
    </nc>
  </rcc>
</revisions>
</file>

<file path=xl/revisions/revisionLog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044" sId="12" numFmtId="4">
    <oc r="N59">
      <v>0</v>
    </oc>
    <nc r="N59">
      <v>198.9</v>
    </nc>
  </rcc>
  <rcc rId="6045" sId="12">
    <oc r="B55">
      <f>B58+B57+B56+B59</f>
    </oc>
    <nc r="B55">
      <f>SUM(L55+N55+P55+R55+T55)</f>
    </nc>
  </rcc>
  <rcc rId="6046" sId="12" numFmtId="4">
    <oc r="Q58">
      <v>0</v>
    </oc>
    <nc r="Q58">
      <v>223.4</v>
    </nc>
  </rcc>
  <rcc rId="6047" sId="12" numFmtId="4">
    <oc r="Q102">
      <v>0</v>
    </oc>
    <nc r="Q102">
      <v>435.7</v>
    </nc>
  </rcc>
  <rcc rId="6048" sId="12" numFmtId="4">
    <oc r="Q107">
      <v>0</v>
    </oc>
    <nc r="Q107">
      <v>2493.14</v>
    </nc>
  </rcc>
  <rcc rId="6049" sId="12" numFmtId="4">
    <oc r="Q108">
      <v>0</v>
    </oc>
    <nc r="Q108">
      <v>1591.34</v>
    </nc>
  </rcc>
  <rcc rId="6050" sId="12">
    <oc r="Q105">
      <f>Q106+Q107+Q108+Q109</f>
    </oc>
    <nc r="Q105">
      <f>SUM(Q108+Q107)</f>
    </nc>
  </rcc>
  <rfmt sheetId="12" sqref="Q70" start="0" length="0">
    <dxf>
      <font>
        <sz val="16"/>
        <color auto="1"/>
        <name val="Times New Roman"/>
        <scheme val="none"/>
      </font>
      <numFmt numFmtId="178" formatCode="_(* #,##0.000_);_(* \(#,##0.000\);_(* &quot;-&quot;??_);_(@_)"/>
      <alignment horizontal="right" vertical="center" wrapText="1" readingOrder="0"/>
    </dxf>
  </rfmt>
  <rcc rId="6051" sId="12" numFmtId="34">
    <oc r="Q70">
      <v>0</v>
    </oc>
    <nc r="Q70">
      <v>6363.88</v>
    </nc>
  </rcc>
  <rfmt sheetId="12" sqref="Q70" start="0" length="2147483647">
    <dxf>
      <font>
        <sz val="14"/>
      </font>
    </dxf>
  </rfmt>
</revisions>
</file>

<file path=xl/revisions/revisionLog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7" sqref="A24:XFD30">
    <dxf>
      <fill>
        <patternFill patternType="solid">
          <bgColor rgb="FFFFFF00"/>
        </patternFill>
      </fill>
    </dxf>
  </rfmt>
  <rfmt sheetId="17" sqref="A24:XFD30">
    <dxf>
      <fill>
        <patternFill>
          <bgColor theme="9" tint="0.59999389629810485"/>
        </patternFill>
      </fill>
    </dxf>
  </rfmt>
  <rcc rId="6052" sId="17" numFmtId="4">
    <nc r="Q91">
      <v>722.99</v>
    </nc>
  </rcc>
  <rcc rId="6053" sId="17">
    <oc r="C91">
      <f>SUM(H91+J91+L91+N91)</f>
    </oc>
    <nc r="C91">
      <f>SUM(H91+J91+L91+P91+N91)</f>
    </nc>
  </rcc>
  <rcc rId="6054" sId="17" numFmtId="4">
    <nc r="Q97">
      <v>1970.44</v>
    </nc>
  </rcc>
  <rcc rId="6055" sId="17">
    <oc r="C97">
      <f>SUM(H97+J97+L97+N97)</f>
    </oc>
    <nc r="C97">
      <f>SUM(H97+J97+L97+P97+N97)</f>
    </nc>
  </rcc>
  <rdn rId="0" localSheetId="2" customView="1" name="Z_CE1CCA00_200D_4EAA_9FBE_F8EE7C5F82FE_.wvu.Rows" hidden="1" oldHidden="1">
    <formula>'1.СЗН'!$69:$73</formula>
  </rdn>
  <rdn rId="0" localSheetId="2" customView="1" name="Z_CE1CCA00_200D_4EAA_9FBE_F8EE7C5F82FE_.wvu.FilterData" hidden="1" oldHidden="1">
    <formula>'1.СЗН'!$A$1:$AF$63</formula>
  </rdn>
  <rdn rId="0" localSheetId="3" customView="1" name="Z_CE1CCA00_200D_4EAA_9FBE_F8EE7C5F82FE_.wvu.FilterData" hidden="1" oldHidden="1">
    <formula>'2.АПК'!$A$1:$AF$36</formula>
  </rdn>
  <rdn rId="0" localSheetId="4" customView="1" name="Z_CE1CCA00_200D_4EAA_9FBE_F8EE7C5F82FE_.wvu.FilterData" hidden="1" oldHidden="1">
    <formula>'3.БЖД'!$A$1:$AF$17</formula>
  </rdn>
  <rdn rId="0" localSheetId="5" customView="1" name="Z_CE1CCA00_200D_4EAA_9FBE_F8EE7C5F82FE_.wvu.FilterData" hidden="1" oldHidden="1">
    <formula>'4.УМИ'!$A$1:$AF$11</formula>
  </rdn>
  <rdn rId="0" localSheetId="6" customView="1" name="Z_CE1CCA00_200D_4EAA_9FBE_F8EE7C5F82FE_.wvu.FilterData" hidden="1" oldHidden="1">
    <formula>'5.Проф. прав.'!$A$1:$AF$12</formula>
  </rdn>
  <rdn rId="0" localSheetId="7" customView="1" name="Z_CE1CCA00_200D_4EAA_9FBE_F8EE7C5F82FE_.wvu.Rows" hidden="1" oldHidden="1">
    <formula>'6.Экстримизм'!$9:$23,'6.Экстримизм'!$30:$38,'6.Экстримизм'!$44:$49,'6.Экстримизм'!$65:$67,'6.Экстримизм'!$71:$76,'6.Экстримизм'!$86:$88,'6.Экстримизм'!$95:$97</formula>
  </rdn>
  <rdn rId="0" localSheetId="7" customView="1" name="Z_CE1CCA00_200D_4EAA_9FBE_F8EE7C5F82FE_.wvu.FilterData" hidden="1" oldHidden="1">
    <formula>'6.Экстримизм'!$A$1:$AF$11</formula>
  </rdn>
  <rdn rId="0" localSheetId="14" customView="1" name="Z_CE1CCA00_200D_4EAA_9FBE_F8EE7C5F82FE_.wvu.FilterData" hidden="1" oldHidden="1">
    <formula>'11.МП РО'!$A$4:$A$380</formula>
  </rdn>
  <rdn rId="0" localSheetId="17" customView="1" name="Z_CE1CCA00_200D_4EAA_9FBE_F8EE7C5F82FE_.wvu.Rows" hidden="1" oldHidden="1">
    <formula>'13.МП РЖС'!$122:$127</formula>
  </rdn>
  <rdn rId="0" localSheetId="17" customView="1" name="Z_CE1CCA00_200D_4EAA_9FBE_F8EE7C5F82FE_.wvu.Cols" hidden="1" oldHidden="1">
    <formula>'13.МП РЖС'!$AG:$AG</formula>
  </rdn>
  <rcv guid="{CE1CCA00-200D-4EAA-9FBE-F8EE7C5F82FE}" action="add"/>
</revisions>
</file>

<file path=xl/revisions/revisionLog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067" sId="17" numFmtId="4">
    <nc r="P41">
      <v>3612.13</v>
    </nc>
  </rcc>
  <rcc rId="6068" sId="17" numFmtId="4">
    <nc r="Q41">
      <v>2929.63</v>
    </nc>
  </rcc>
  <rcc rId="6069" sId="17" numFmtId="4">
    <nc r="Q42">
      <v>357.24</v>
    </nc>
  </rcc>
  <rcc rId="6070" sId="17" numFmtId="4">
    <nc r="P42">
      <v>357.24</v>
    </nc>
  </rcc>
  <rcc rId="6071" sId="17" numFmtId="4">
    <nc r="Q43">
      <v>357.24</v>
    </nc>
  </rcc>
  <rcc rId="6072" sId="17" numFmtId="4">
    <oc r="AD43">
      <v>1018.2</v>
    </oc>
    <nc r="AD43">
      <v>950.7</v>
    </nc>
  </rcc>
  <rcc rId="6073" sId="17" numFmtId="4">
    <oc r="AD42">
      <v>1018.2</v>
    </oc>
    <nc r="AD42">
      <v>950.7</v>
    </nc>
  </rcc>
  <rcc rId="6074" sId="17" numFmtId="4">
    <oc r="AD41">
      <v>10294.799999999999</v>
    </oc>
    <nc r="AD41">
      <v>9612.2999999999993</v>
    </nc>
  </rcc>
  <rcc rId="6075" sId="17" numFmtId="4">
    <oc r="R41">
      <v>3124.4670000000001</v>
    </oc>
    <nc r="R41">
      <v>194.83</v>
    </nc>
  </rcc>
  <rcc rId="6076" sId="17" numFmtId="4">
    <oc r="R42">
      <v>309.04599999999999</v>
    </oc>
    <nc r="R42">
      <v>19.309999999999999</v>
    </nc>
  </rcc>
  <rcc rId="6077" sId="17" numFmtId="4">
    <oc r="R43">
      <v>309.04599999999999</v>
    </oc>
    <nc r="R43">
      <v>19.309999999999999</v>
    </nc>
  </rcc>
  <rcc rId="6078" sId="17" numFmtId="4">
    <nc r="S43">
      <v>0</v>
    </nc>
  </rcc>
  <rcc rId="6079" sId="17" numFmtId="4">
    <nc r="S42">
      <v>0</v>
    </nc>
  </rcc>
  <rcc rId="6080" sId="17" numFmtId="4">
    <nc r="S41">
      <v>0</v>
    </nc>
  </rcc>
  <rcc rId="6081" sId="17" numFmtId="4">
    <nc r="P43">
      <v>357.24</v>
    </nc>
  </rcc>
  <rcc rId="6082" sId="17">
    <oc r="C41">
      <f>SUM(H41+J41+L41+N41)</f>
    </oc>
    <nc r="C41">
      <f>SUM(H41+J41+L41+P41+N41)</f>
    </nc>
  </rcc>
  <rcc rId="6083" sId="17">
    <oc r="C42">
      <f>SUM(H42+J42+L42+N42)</f>
    </oc>
    <nc r="C42">
      <f>SUM(H42+J42+L42+P42+N42)</f>
    </nc>
  </rcc>
  <rcc rId="6084" sId="17">
    <oc r="C43">
      <f>SUM(H43+J43+L43+N43)</f>
    </oc>
    <nc r="C43">
      <f>SUM(H43+J43+L43+P43+N43)</f>
    </nc>
  </rcc>
  <rcc rId="6085" sId="17">
    <oc r="C44">
      <f>SUM(H44+J44+L44+N44)</f>
    </oc>
    <nc r="C44">
      <f>SUM(H44+J44+L44+P44+N44)</f>
    </nc>
  </rcc>
  <rcc rId="6086" sId="17" numFmtId="4">
    <nc r="P102">
      <v>22.45</v>
    </nc>
  </rcc>
  <rcc rId="6087" sId="17" numFmtId="4">
    <nc r="Q102">
      <v>22.45</v>
    </nc>
  </rcc>
  <rcc rId="6088" sId="17" numFmtId="4">
    <nc r="Q103">
      <v>5564.61</v>
    </nc>
  </rcc>
  <rcc rId="6089" sId="17">
    <oc r="C103">
      <f>SUM(H103+J103+L103+N103)</f>
    </oc>
    <nc r="C103">
      <f>SUM(H103+J103+L103+P103+N103)</f>
    </nc>
  </rcc>
  <rcc rId="6090" sId="17">
    <oc r="C101">
      <f>SUM(H101+J101+L101+N101)</f>
    </oc>
    <nc r="C101">
      <f>SUM(H101+J101+L101+P101+N101)</f>
    </nc>
  </rcc>
  <rcc rId="6091" sId="17">
    <oc r="C102">
      <f>SUM(H102+J102+L102+N102)</f>
    </oc>
    <nc r="C102">
      <f>SUM(H102+J102+L102+P102+N102)</f>
    </nc>
  </rcc>
  <rcc rId="6092" sId="17">
    <oc r="E102">
      <f>SUM(I102,K102,M102,O102,Q102,S102,U102,W102,Y102,AA102,AC102,AE102)</f>
    </oc>
    <nc r="E102">
      <f>SUM(I102,K102,M102,O102,Q102,S102,U102,W102,Y102,AA102,AC102,AE102)</f>
    </nc>
  </rcc>
  <rcc rId="6093" sId="17">
    <oc r="B119">
      <f>H119+J119+L119+N119+P119+R119+T119+V119+X119+Z119+AB119+AD119</f>
    </oc>
    <nc r="B119">
      <f>H119+J119+L119+N119+P119+R119+T119+V119+X119+Z119+AB119+AD119</f>
    </nc>
  </rcc>
  <rcc rId="6094" sId="17" numFmtId="19">
    <oc r="C7">
      <v>45413</v>
    </oc>
    <nc r="C7">
      <v>45444</v>
    </nc>
  </rcc>
  <rcc rId="6095" sId="17" numFmtId="19">
    <oc r="D7">
      <v>45413</v>
    </oc>
    <nc r="D7">
      <v>45444</v>
    </nc>
  </rcc>
  <rcc rId="6096" sId="17" numFmtId="19">
    <oc r="E7">
      <v>45413</v>
    </oc>
    <nc r="E7">
      <v>45444</v>
    </nc>
  </rcc>
</revisions>
</file>

<file path=xl/revisions/revisionLog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097" sId="4" numFmtId="34">
    <nc r="S11">
      <v>5.04</v>
    </nc>
  </rcc>
  <rfmt sheetId="4" sqref="C12:E12" start="0" length="2147483647">
    <dxf>
      <font>
        <color auto="1"/>
      </font>
    </dxf>
  </rfmt>
  <rcc rId="6098" sId="4" numFmtId="34">
    <nc r="S14">
      <v>232.48</v>
    </nc>
  </rcc>
  <rcc rId="6099" sId="4" numFmtId="34">
    <oc r="AD20">
      <v>100</v>
    </oc>
    <nc r="AD20">
      <v>12.27</v>
    </nc>
  </rcc>
  <rcc rId="6100" sId="4">
    <nc r="R20">
      <v>45.84</v>
    </nc>
  </rcc>
  <rcc rId="6101" sId="4">
    <nc r="S20">
      <v>45.84</v>
    </nc>
  </rcc>
  <rfmt sheetId="4" sqref="C19" start="0" length="2147483647">
    <dxf>
      <font>
        <color auto="1"/>
      </font>
    </dxf>
  </rfmt>
  <rcc rId="6102" sId="4">
    <nc r="S31">
      <v>10.08</v>
    </nc>
  </rcc>
  <rcc rId="6103" sId="4">
    <nc r="R31">
      <v>10.08</v>
    </nc>
  </rcc>
  <rcc rId="6104" sId="4">
    <nc r="R30">
      <f>R31</f>
    </nc>
  </rcc>
  <rcc rId="6105" sId="4">
    <nc r="S30">
      <f>S31</f>
    </nc>
  </rcc>
  <rcc rId="6106" sId="4">
    <nc r="R29">
      <f>R30</f>
    </nc>
  </rcc>
  <rcc rId="6107" sId="4">
    <nc r="S29">
      <f>S30</f>
    </nc>
  </rcc>
  <rcc rId="6108" sId="4">
    <nc r="T29">
      <f>T30</f>
    </nc>
  </rcc>
  <rcc rId="6109" sId="4">
    <nc r="T30">
      <f>T31</f>
    </nc>
  </rcc>
  <rcc rId="6110" sId="4">
    <nc r="V29">
      <f>V30</f>
    </nc>
  </rcc>
  <rcc rId="6111" sId="4">
    <nc r="V30">
      <f>V31</f>
    </nc>
  </rcc>
  <rcc rId="6112" sId="4">
    <nc r="U29">
      <f>U30</f>
    </nc>
  </rcc>
  <rcc rId="6113" sId="4">
    <nc r="U30">
      <f>U31</f>
    </nc>
  </rcc>
  <rcc rId="6114" sId="4">
    <nc r="W29">
      <f>W30</f>
    </nc>
  </rcc>
  <rcc rId="6115" sId="4">
    <nc r="W30">
      <f>W31</f>
    </nc>
  </rcc>
  <rcc rId="6116" sId="4">
    <nc r="X29">
      <f>X30</f>
    </nc>
  </rcc>
  <rcc rId="6117" sId="4">
    <nc r="X30">
      <f>X31</f>
    </nc>
  </rcc>
  <rcc rId="6118" sId="4">
    <nc r="Y29">
      <f>Y30</f>
    </nc>
  </rcc>
  <rcc rId="6119" sId="4">
    <nc r="Y30">
      <f>Y31</f>
    </nc>
  </rcc>
  <rcc rId="6120" sId="4">
    <nc r="Z29">
      <f>Z30</f>
    </nc>
  </rcc>
  <rcc rId="6121" sId="4">
    <nc r="Z30">
      <f>Z31</f>
    </nc>
  </rcc>
  <rcc rId="6122" sId="4">
    <nc r="AA29">
      <f>AA30</f>
    </nc>
  </rcc>
  <rcc rId="6123" sId="4">
    <nc r="AB29">
      <f>AB30</f>
    </nc>
  </rcc>
  <rcc rId="6124" sId="4">
    <nc r="AC29">
      <f>AC30</f>
    </nc>
  </rcc>
  <rcc rId="6125" sId="4">
    <nc r="AD29">
      <f>AD30</f>
    </nc>
  </rcc>
  <rcc rId="6126" sId="4">
    <nc r="AE29">
      <f>AE30</f>
    </nc>
  </rcc>
  <rcc rId="6127" sId="4">
    <nc r="AA30">
      <f>AA31</f>
    </nc>
  </rcc>
  <rcc rId="6128" sId="4">
    <nc r="AB30">
      <f>AB31</f>
    </nc>
  </rcc>
  <rcc rId="6129" sId="4">
    <nc r="AC30">
      <f>AC31</f>
    </nc>
  </rcc>
  <rcc rId="6130" sId="4">
    <nc r="AD30">
      <f>AD31</f>
    </nc>
  </rcc>
  <rcc rId="6131" sId="4">
    <nc r="AE30">
      <f>AE31</f>
    </nc>
  </rcc>
  <rfmt sheetId="4" s="1" sqref="E30" start="0" length="0">
    <dxf>
      <font>
        <sz val="14"/>
        <color theme="1"/>
        <name val="Times New Roman"/>
        <scheme val="none"/>
      </font>
      <fill>
        <patternFill patternType="none">
          <bgColor indexed="65"/>
        </patternFill>
      </fill>
    </dxf>
  </rfmt>
  <rcc rId="6132" sId="4">
    <oc r="E30">
      <f>E31</f>
    </oc>
    <nc r="E30">
      <f>E31</f>
    </nc>
  </rcc>
  <rfmt sheetId="4" s="1" sqref="E31" start="0" length="0">
    <dxf/>
  </rfmt>
  <rcc rId="6133" sId="4">
    <oc r="G30">
      <f>E30/C30*100</f>
    </oc>
    <nc r="G30">
      <f>E30/C30*100</f>
    </nc>
  </rcc>
  <rcc rId="6134" sId="4">
    <oc r="F31">
      <f>E31/B31*100</f>
    </oc>
    <nc r="F31">
      <f>E31/B31*100</f>
    </nc>
  </rcc>
  <rcc rId="6135" sId="4">
    <oc r="G31">
      <f>E31/C31*100</f>
    </oc>
    <nc r="G31">
      <f>E31/C31*100</f>
    </nc>
  </rcc>
  <rcc rId="6136" sId="4">
    <oc r="F30">
      <f>E30/B30*100</f>
    </oc>
    <nc r="F30">
      <f>E30/B30*100</f>
    </nc>
  </rcc>
  <rfmt sheetId="4" s="1" sqref="E31" start="0" length="0">
    <dxf/>
  </rfmt>
  <rcc rId="6137" sId="4">
    <oc r="E31">
      <f>I31</f>
    </oc>
    <nc r="E31">
      <f>I31+K31+M31+O31+Q31+S31</f>
    </nc>
  </rcc>
  <rcc rId="6138" sId="4">
    <oc r="C14">
      <f>H14+J14+L14+N14</f>
    </oc>
    <nc r="C14">
      <f>H14+J14+L14+N14+P14+R14</f>
    </nc>
  </rcc>
  <rcc rId="6139" sId="4">
    <oc r="D14">
      <f>H14+J14+L14+N14</f>
    </oc>
    <nc r="D14">
      <f>H14+J14+L14+N14+P14+R14</f>
    </nc>
  </rcc>
  <rcc rId="6140" sId="4">
    <oc r="E14">
      <f>I14+K14+M14+O14</f>
    </oc>
    <nc r="E14">
      <f>I14+K14+M14+O14+Q14+S14</f>
    </nc>
  </rcc>
  <rcc rId="6141" sId="4">
    <oc r="T31">
      <v>100</v>
    </oc>
    <nc r="T31">
      <v>110.08</v>
    </nc>
  </rcc>
  <rcc rId="6142" sId="4">
    <oc r="V31">
      <v>36.700000000000003</v>
    </oc>
    <nc r="V31">
      <v>26.62</v>
    </nc>
  </rcc>
  <rcc rId="6143" sId="4">
    <oc r="AD31">
      <v>69.599999999999994</v>
    </oc>
    <nc r="AD31">
      <v>59.52</v>
    </nc>
  </rcc>
  <rcc rId="6144" sId="4">
    <oc r="V34">
      <v>102.9</v>
    </oc>
    <nc r="V34">
      <v>51.97</v>
    </nc>
  </rcc>
  <rcc rId="6145" sId="4">
    <nc r="V32">
      <f>V33</f>
    </nc>
  </rcc>
  <rcc rId="6146" sId="4">
    <nc r="V33">
      <f>V34</f>
    </nc>
  </rcc>
  <rcc rId="6147" sId="4">
    <oc r="N50">
      <v>845.1</v>
    </oc>
    <nc r="N50">
      <v>913.5</v>
    </nc>
  </rcc>
  <rrc rId="6148" sId="4" ref="A51:XFD51" action="insertRow"/>
  <rcc rId="6149" sId="4">
    <nc r="B51">
      <f>H51+J51+L51+N51+P51+R51+T51+V51+X51+Z51+AB51+AD51</f>
    </nc>
  </rcc>
  <rcc rId="6150" sId="4">
    <nc r="C51">
      <f>H51+J51+L51+N51+P51</f>
    </nc>
  </rcc>
  <rcc rId="6151" sId="4">
    <nc r="D51">
      <f>H51+J51+L51+N51+P51</f>
    </nc>
  </rcc>
  <rcc rId="6152" sId="4">
    <nc r="E51">
      <f>I51+K51+M51+O51+Q51</f>
    </nc>
  </rcc>
  <rcc rId="6153" sId="4">
    <nc r="F51">
      <f>E51/B51*100</f>
    </nc>
  </rcc>
  <rcc rId="6154" sId="4">
    <nc r="G51">
      <f>E51/C51*100</f>
    </nc>
  </rcc>
  <rcc rId="6155" sId="4" numFmtId="34">
    <nc r="H51">
      <v>0</v>
    </nc>
  </rcc>
  <rcc rId="6156" sId="4">
    <nc r="I51">
      <v>0</v>
    </nc>
  </rcc>
  <rcc rId="6157" sId="4">
    <nc r="J51">
      <v>0</v>
    </nc>
  </rcc>
  <rcc rId="6158" sId="4" numFmtId="4">
    <nc r="K51">
      <v>0</v>
    </nc>
  </rcc>
  <rcc rId="6159" sId="4">
    <nc r="L51">
      <v>0</v>
    </nc>
  </rcc>
  <rcc rId="6160" sId="4">
    <nc r="M51">
      <v>0</v>
    </nc>
  </rcc>
  <rcc rId="6161" sId="4">
    <nc r="N51">
      <v>0</v>
    </nc>
  </rcc>
  <rcc rId="6162" sId="4">
    <nc r="O51">
      <v>0</v>
    </nc>
  </rcc>
  <rcc rId="6163" sId="4">
    <nc r="Q51">
      <v>0</v>
    </nc>
  </rcc>
  <rcc rId="6164" sId="4">
    <nc r="R51">
      <v>0</v>
    </nc>
  </rcc>
  <rcc rId="6165" sId="4">
    <nc r="P51">
      <v>44.89</v>
    </nc>
  </rcc>
  <rcc rId="6166" sId="4">
    <nc r="T51">
      <v>0</v>
    </nc>
  </rcc>
  <rcc rId="6167" sId="4">
    <oc r="P49">
      <f>P50</f>
    </oc>
    <nc r="P49">
      <f>P50+P51</f>
    </nc>
  </rcc>
  <rcc rId="6168" sId="4">
    <oc r="X50">
      <v>603.29999999999995</v>
    </oc>
    <nc r="X50">
      <v>534.9</v>
    </nc>
  </rcc>
  <rcc rId="6169" sId="4">
    <oc r="L50">
      <v>603.29999999999995</v>
    </oc>
    <nc r="L50">
      <v>833.8</v>
    </nc>
  </rcc>
  <rcc rId="6170" sId="4">
    <oc r="P50">
      <v>676.33</v>
    </oc>
    <nc r="P50">
      <v>676.3</v>
    </nc>
  </rcc>
  <rcc rId="6171" sId="4">
    <oc r="R50">
      <v>603.29999999999995</v>
    </oc>
    <nc r="R50">
      <v>619.5</v>
    </nc>
  </rcc>
  <rcc rId="6172" sId="4">
    <oc r="V50">
      <v>676.33</v>
    </oc>
    <nc r="V50">
      <v>676.3</v>
    </nc>
  </rcc>
  <rcc rId="6173" sId="4">
    <oc r="AB50">
      <v>676.33</v>
    </oc>
    <nc r="AB50">
      <v>637.6</v>
    </nc>
  </rcc>
  <rcc rId="6174" sId="4">
    <oc r="AD50">
      <v>504.27</v>
    </oc>
    <nc r="AD50">
      <v>504.3</v>
    </nc>
  </rcc>
  <rcc rId="6175" sId="4" numFmtId="34">
    <oc r="H50">
      <v>1146.1199999999999</v>
    </oc>
    <nc r="H50">
      <v>1146.0999999999999</v>
    </nc>
  </rcc>
  <rcc rId="6176" sId="4">
    <oc r="Z50">
      <v>845.1</v>
    </oc>
    <nc r="Z50">
      <v>637.20000000000005</v>
    </nc>
  </rcc>
  <rcc rId="6177" sId="4">
    <nc r="S50">
      <v>1087.05</v>
    </nc>
  </rcc>
  <rcc rId="6178" sId="4">
    <oc r="E50">
      <f>I50+K50+M50+O50+Q50</f>
    </oc>
    <nc r="E50">
      <f>I50+K50+M50+O50+Q50+S50</f>
    </nc>
  </rcc>
  <rcc rId="6179" sId="4">
    <oc r="D50">
      <f>H50+J50+L50+N50+P50</f>
    </oc>
    <nc r="D50">
      <f>H50+J50+L50+N50+P50+R50</f>
    </nc>
  </rcc>
  <rcc rId="6180" sId="4">
    <oc r="C50">
      <f>H50+J50+L50+N50+P50</f>
    </oc>
    <nc r="C50">
      <f>H50+J50+L50+N50+P50+R50</f>
    </nc>
  </rcc>
  <rcc rId="6181" sId="4" numFmtId="34">
    <oc r="L54">
      <v>2990.47</v>
    </oc>
    <nc r="L54">
      <v>3034.13</v>
    </nc>
  </rcc>
  <rcc rId="6182" sId="4" numFmtId="34">
    <oc r="N54">
      <v>3181.58</v>
    </oc>
    <nc r="N54">
      <v>3178.8</v>
    </nc>
  </rcc>
  <rcc rId="6183" sId="4" numFmtId="34">
    <oc r="P54">
      <v>3131.47</v>
    </oc>
    <nc r="P54">
      <v>3166.67</v>
    </nc>
  </rcc>
  <rcc rId="6184" sId="4" numFmtId="34">
    <oc r="R54">
      <v>2835.11</v>
    </oc>
    <nc r="R54">
      <v>3144.42</v>
    </nc>
  </rcc>
  <rcc rId="6185" sId="4" numFmtId="34">
    <oc r="T54">
      <v>3439.4</v>
    </oc>
    <nc r="T54">
      <v>3751.78</v>
    </nc>
  </rcc>
  <rcc rId="6186" sId="4" numFmtId="34">
    <oc r="V54">
      <v>2837.1</v>
    </oc>
    <nc r="V54">
      <v>3146.42</v>
    </nc>
  </rcc>
  <rcc rId="6187" sId="4" numFmtId="34">
    <oc r="X54">
      <v>2887.37</v>
    </oc>
    <nc r="X54">
      <v>3196.68</v>
    </nc>
  </rcc>
  <rcc rId="6188" sId="4" numFmtId="34">
    <oc r="Z54">
      <v>3215.67</v>
    </oc>
    <nc r="Z54">
      <v>3473.53</v>
    </nc>
  </rcc>
  <rcc rId="6189" sId="4" numFmtId="34">
    <oc r="AB54">
      <v>2887.27</v>
    </oc>
    <nc r="AB54">
      <v>3197.1</v>
    </nc>
  </rcc>
  <rcc rId="6190" sId="4" numFmtId="34">
    <oc r="AD54">
      <v>2440.65</v>
    </oc>
    <nc r="AD54">
      <v>2741.16</v>
    </nc>
  </rcc>
  <rcc rId="6191" sId="4">
    <oc r="C54">
      <f>H54+J54+L54+N54</f>
    </oc>
    <nc r="C54">
      <f>H54+J54+L54+N54+P54+R54</f>
    </nc>
  </rcc>
  <rcc rId="6192" sId="4">
    <oc r="D54">
      <f>H54+J54+L54+N54</f>
    </oc>
    <nc r="D54">
      <f>H54+J54+L54+N54+P54+R54</f>
    </nc>
  </rcc>
  <rcc rId="6193" sId="4">
    <oc r="E54">
      <f>I54+K54+M54+O54</f>
    </oc>
    <nc r="E54">
      <f>I54+K54+M54+O54+Q54+S54</f>
    </nc>
  </rcc>
  <rfmt sheetId="4" sqref="C54:E54" start="0" length="2147483647">
    <dxf>
      <font>
        <color auto="1"/>
      </font>
    </dxf>
  </rfmt>
  <rcc rId="6194" sId="4">
    <oc r="C61">
      <f>C62+C63</f>
    </oc>
    <nc r="C61">
      <f>C62+C63</f>
    </nc>
  </rcc>
  <rcc rId="6195" sId="4" numFmtId="34">
    <oc r="AD37">
      <v>53600</v>
    </oc>
    <nc r="AD37"/>
  </rcc>
</revisions>
</file>

<file path=xl/revisions/revisionLog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442F2C94-DD1B-4A01-8694-513D4D6F3BD9}" action="delete"/>
  <rdn rId="0" localSheetId="2" customView="1" name="Z_442F2C94_DD1B_4A01_8694_513D4D6F3BD9_.wvu.Rows" hidden="1" oldHidden="1">
    <formula>'1.СЗН'!$69:$73</formula>
    <oldFormula>'1.СЗН'!$69:$73</oldFormula>
  </rdn>
  <rdn rId="0" localSheetId="2" customView="1" name="Z_442F2C94_DD1B_4A01_8694_513D4D6F3BD9_.wvu.FilterData" hidden="1" oldHidden="1">
    <formula>'1.СЗН'!$A$1:$AF$63</formula>
    <oldFormula>'1.СЗН'!$A$1:$AF$63</oldFormula>
  </rdn>
  <rdn rId="0" localSheetId="3" customView="1" name="Z_442F2C94_DD1B_4A01_8694_513D4D6F3BD9_.wvu.FilterData" hidden="1" oldHidden="1">
    <formula>'2.АПК'!$A$1:$AF$36</formula>
    <oldFormula>'2.АПК'!$A$1:$AF$36</oldFormula>
  </rdn>
  <rdn rId="0" localSheetId="4" customView="1" name="Z_442F2C94_DD1B_4A01_8694_513D4D6F3BD9_.wvu.FilterData" hidden="1" oldHidden="1">
    <formula>'3.БЖД'!$A$1:$AF$17</formula>
    <oldFormula>'3.БЖД'!$A$1:$AF$17</oldFormula>
  </rdn>
  <rdn rId="0" localSheetId="5" customView="1" name="Z_442F2C94_DD1B_4A01_8694_513D4D6F3BD9_.wvu.FilterData" hidden="1" oldHidden="1">
    <formula>'4.УМИ'!$A$1:$AF$11</formula>
    <oldFormula>'4.УМИ'!$A$1:$AF$11</oldFormula>
  </rdn>
  <rdn rId="0" localSheetId="6" customView="1" name="Z_442F2C94_DD1B_4A01_8694_513D4D6F3BD9_.wvu.FilterData" hidden="1" oldHidden="1">
    <formula>'5.Проф. прав.'!$A$1:$AF$12</formula>
    <oldFormula>'5.Проф. прав.'!$A$1:$AF$12</oldFormula>
  </rdn>
  <rdn rId="0" localSheetId="7" customView="1" name="Z_442F2C94_DD1B_4A01_8694_513D4D6F3BD9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442F2C94_DD1B_4A01_8694_513D4D6F3BD9_.wvu.FilterData" hidden="1" oldHidden="1">
    <formula>'6.Экстримизм'!$A$1:$AF$11</formula>
    <oldFormula>'6.Экстримизм'!$A$1:$AF$11</oldFormula>
  </rdn>
  <rdn rId="0" localSheetId="14" customView="1" name="Z_442F2C94_DD1B_4A01_8694_513D4D6F3BD9_.wvu.FilterData" hidden="1" oldHidden="1">
    <formula>'11.МП РО'!$A$4:$A$380</formula>
    <oldFormula>'11.МП РО'!$A$4:$A$380</oldFormula>
  </rdn>
  <rdn rId="0" localSheetId="17" customView="1" name="Z_442F2C94_DD1B_4A01_8694_513D4D6F3BD9_.wvu.Rows" hidden="1" oldHidden="1">
    <formula>'13.МП РЖС'!$122:$127</formula>
    <oldFormula>'13.МП РЖС'!$122:$127</oldFormula>
  </rdn>
  <rdn rId="0" localSheetId="17" customView="1" name="Z_442F2C94_DD1B_4A01_8694_513D4D6F3BD9_.wvu.Cols" hidden="1" oldHidden="1">
    <formula>'13.МП РЖС'!$AG:$AG</formula>
    <oldFormula>'13.МП РЖС'!$AG:$AG</oldFormula>
  </rdn>
  <rcv guid="{442F2C94-DD1B-4A01-8694-513D4D6F3BD9}" action="add"/>
</revisions>
</file>

<file path=xl/revisions/revisionLog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4" sqref="B49:E49" start="0" length="2147483647">
    <dxf>
      <font>
        <color auto="1"/>
      </font>
    </dxf>
  </rfmt>
  <rrc rId="6207" sId="4" ref="A63:XFD63" action="insertRow"/>
  <rcc rId="6208" sId="4" odxf="1" s="1" dxf="1">
    <nc r="A63" t="inlineStr">
      <is>
        <t>бюджет автономного округа</t>
      </is>
    </nc>
    <odxf>
      <font>
        <b val="0"/>
        <i val="0"/>
        <strike val="0"/>
        <condense val="0"/>
        <extend val="0"/>
        <outline val="0"/>
        <shadow val="0"/>
        <u val="none"/>
        <vertAlign val="baseline"/>
        <sz val="14"/>
        <color auto="1"/>
        <name val="Times New Roman"/>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2"/>
        <color auto="1"/>
        <name val="Times New Roman"/>
        <scheme val="none"/>
      </font>
      <alignment vertical="bottom" readingOrder="0"/>
    </ndxf>
  </rcc>
  <rcc rId="6209" sId="4" odxf="1" s="1" dxf="1">
    <nc r="A51" t="inlineStr">
      <is>
        <t>бюджет автономного округа</t>
      </is>
    </nc>
    <odxf>
      <font>
        <b val="0"/>
        <i val="0"/>
        <strike val="0"/>
        <condense val="0"/>
        <extend val="0"/>
        <outline val="0"/>
        <shadow val="0"/>
        <u val="none"/>
        <vertAlign val="baseline"/>
        <sz val="14"/>
        <color auto="1"/>
        <name val="Times New Roman"/>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2"/>
        <color auto="1"/>
        <name val="Times New Roman"/>
        <scheme val="none"/>
      </font>
      <alignment vertical="bottom" readingOrder="0"/>
    </ndxf>
  </rcc>
  <rcc rId="6210" sId="4">
    <nc r="B63">
      <f>B51</f>
    </nc>
  </rcc>
  <rcc rId="6211" sId="4">
    <nc r="C63">
      <f>C51</f>
    </nc>
  </rcc>
  <rcc rId="6212" sId="4">
    <nc r="D63">
      <f>D51</f>
    </nc>
  </rcc>
  <rcc rId="6213" sId="4">
    <nc r="E63">
      <f>E51</f>
    </nc>
  </rcc>
  <rfmt sheetId="4" s="1" sqref="F63" start="0" length="0">
    <dxf/>
  </rfmt>
  <rcc rId="6214" sId="4" odxf="1" s="1" dxf="1">
    <nc r="G63">
      <f>G51</f>
    </nc>
    <odxf>
      <font>
        <b val="0"/>
        <i val="0"/>
        <strike val="0"/>
        <condense val="0"/>
        <extend val="0"/>
        <outline val="0"/>
        <shadow val="0"/>
        <u val="none"/>
        <vertAlign val="baseline"/>
        <sz val="14"/>
        <color auto="1"/>
        <name val="Times New Roman"/>
        <scheme val="none"/>
      </font>
      <numFmt numFmtId="180" formatCode="_-* #,##0.00\ _₽_-;\-* #,##0.00\ _₽_-;_-* &quot;-&quot;??\ _₽_-;_-@_-"/>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odxf>
    <ndxf>
      <font>
        <sz val="14"/>
        <color theme="1"/>
        <name val="Times New Roman"/>
        <scheme val="none"/>
      </font>
    </ndxf>
  </rcc>
  <rcc rId="6215" sId="4" odxf="1" s="1" dxf="1">
    <nc r="F63">
      <f>E63/B63*100</f>
    </nc>
    <ndxf/>
  </rcc>
  <rcc rId="6216" sId="4">
    <oc r="Q51">
      <v>0</v>
    </oc>
    <nc r="Q51">
      <v>44.89</v>
    </nc>
  </rcc>
  <rcc rId="6217" sId="4">
    <oc r="S50">
      <v>1087.05</v>
    </oc>
    <nc r="S50">
      <f>1087.05-Q51</f>
    </nc>
  </rcc>
  <rcc rId="6218" sId="4">
    <oc r="Q49">
      <f>Q50</f>
    </oc>
    <nc r="Q49">
      <f>Q50+Q51</f>
    </nc>
  </rcc>
  <rcc rId="6219" sId="4">
    <oc r="E49">
      <f>E50</f>
    </oc>
    <nc r="E49">
      <f>E50+E51</f>
    </nc>
  </rcc>
  <rcc rId="6220" sId="4">
    <oc r="D49">
      <f>D50</f>
    </oc>
    <nc r="D49">
      <f>D50+D51</f>
    </nc>
  </rcc>
  <rcc rId="6221" sId="4">
    <oc r="C49">
      <f>C50</f>
    </oc>
    <nc r="C49">
      <f>C50+C51</f>
    </nc>
  </rcc>
  <rcc rId="6222" sId="4">
    <oc r="B49">
      <f>B50</f>
    </oc>
    <nc r="B49">
      <f>B50+B51</f>
    </nc>
  </rcc>
</revisions>
</file>

<file path=xl/revisions/revisionLog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223" sId="4" numFmtId="34">
    <oc r="X11">
      <v>189.6</v>
    </oc>
    <nc r="X11">
      <v>282.42</v>
    </nc>
  </rcc>
  <rcc rId="6224" sId="4">
    <oc r="C11">
      <f>N11+P11</f>
    </oc>
    <nc r="C11">
      <f>N11+P11+R11</f>
    </nc>
  </rcc>
  <rcc rId="6225" sId="4">
    <oc r="D11">
      <f>N11+P11</f>
    </oc>
    <nc r="D11">
      <f>N11+P11+R11</f>
    </nc>
  </rcc>
  <rcc rId="6226" sId="4">
    <oc r="E11">
      <f>Q11</f>
    </oc>
    <nc r="E11">
      <f>Q11+S11</f>
    </nc>
  </rcc>
  <rcc rId="6227" sId="4">
    <oc r="C26">
      <f>C23</f>
    </oc>
    <nc r="C26">
      <f>C23</f>
    </nc>
  </rcc>
  <rcc rId="6228" sId="4">
    <oc r="C31">
      <f>I31+K31+M31+O31+Q31+S31+U31+W31+Y31+AA31+AC31+AE31</f>
    </oc>
    <nc r="C31">
      <f>H31+J31+L31+N31+P31+R31</f>
    </nc>
  </rcc>
  <rcc rId="6229" sId="4">
    <oc r="D31">
      <f>I31</f>
    </oc>
    <nc r="D31">
      <f>H31+J31+L31+N31+P31+R31</f>
    </nc>
  </rcc>
  <rcc rId="6230" sId="4">
    <oc r="E31">
      <f>I31+K31+M31+O31+Q31+S31</f>
    </oc>
    <nc r="E31">
      <f>I31+K31+M31+O31+Q31+S31</f>
    </nc>
  </rcc>
  <rcc rId="6231" sId="4" numFmtId="34">
    <nc r="S54">
      <v>3258.38</v>
    </nc>
  </rcc>
  <rcc rId="6232" sId="4">
    <oc r="E61">
      <f>E62+E64</f>
    </oc>
    <nc r="E61">
      <f>E62+E64+E63</f>
    </nc>
  </rcc>
  <rcc rId="6233" sId="4">
    <oc r="D63">
      <f>D51</f>
    </oc>
    <nc r="D63">
      <f>D51</f>
    </nc>
  </rcc>
  <rcc rId="6234" sId="4">
    <oc r="D61">
      <f>D62+D64</f>
    </oc>
    <nc r="D61">
      <f>D62+D64+D63</f>
    </nc>
  </rcc>
  <rcc rId="6235" sId="4">
    <oc r="C61">
      <f>C62+C64</f>
    </oc>
    <nc r="C61">
      <f>C62+C64+C63</f>
    </nc>
  </rcc>
  <rrc rId="6236" sId="4" ref="A67:XFD67" action="insertRow"/>
  <rfmt sheetId="4" s="1" sqref="A67" start="0" length="0">
    <dxf>
      <font>
        <sz val="12"/>
        <color auto="1"/>
        <name val="Times New Roman"/>
        <scheme val="none"/>
      </font>
      <alignment vertical="bottom" readingOrder="0"/>
    </dxf>
  </rfmt>
  <rfmt sheetId="4" s="1" sqref="G67" start="0" length="0">
    <dxf>
      <font>
        <sz val="14"/>
        <color theme="1"/>
        <name val="Times New Roman"/>
        <scheme val="none"/>
      </font>
    </dxf>
  </rfmt>
  <rcc rId="6237" sId="4">
    <nc r="A67" t="inlineStr">
      <is>
        <t>бюджет автономного округа</t>
      </is>
    </nc>
  </rcc>
  <rcc rId="6238" sId="4" numFmtId="34">
    <nc r="B67">
      <v>44.89</v>
    </nc>
  </rcc>
  <rcc rId="6239" sId="4" numFmtId="34">
    <nc r="C67">
      <v>44.89</v>
    </nc>
  </rcc>
  <rcc rId="6240" sId="4" numFmtId="34">
    <nc r="D67">
      <v>44.89</v>
    </nc>
  </rcc>
  <rcc rId="6241" sId="4" numFmtId="34">
    <nc r="E67">
      <v>44.89</v>
    </nc>
  </rcc>
  <rcc rId="6242" sId="4" numFmtId="34">
    <nc r="F67">
      <v>100</v>
    </nc>
  </rcc>
  <rcc rId="6243" sId="4" numFmtId="34">
    <nc r="G67">
      <v>100</v>
    </nc>
  </rcc>
  <rcc rId="6244" sId="4">
    <oc r="E65">
      <f>E66+E68</f>
    </oc>
    <nc r="E65">
      <f>E66+E68+E67</f>
    </nc>
  </rcc>
  <rcc rId="6245" sId="4">
    <oc r="D65">
      <f>D66+D68</f>
    </oc>
    <nc r="D65">
      <f>D66+D68+D67</f>
    </nc>
  </rcc>
  <rcc rId="6246" sId="4">
    <oc r="C65">
      <f>C66+C68</f>
    </oc>
    <nc r="C65">
      <f>C66+C68+C67</f>
    </nc>
  </rcc>
  <rcc rId="6247" sId="4">
    <oc r="B65">
      <f>B66+B68</f>
    </oc>
    <nc r="B65">
      <f>B66+B68+B67</f>
    </nc>
  </rcc>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847" sId="18">
    <oc r="C15">
      <f>H15+J15+L15+N15+P15</f>
    </oc>
    <nc r="C15">
      <f>H15+J15+L15+N15+P15+R15</f>
    </nc>
  </rcc>
  <rcc rId="7848" sId="18">
    <oc r="C21">
      <f>SUM(H21+J21+L21+N21+P21)</f>
    </oc>
    <nc r="C21">
      <f>SUM(H21+J21+L21+N21+P21+R21)</f>
    </nc>
  </rcc>
  <rcc rId="7849" sId="18">
    <oc r="C24">
      <f>H24+J24+L24+N24+P24</f>
    </oc>
    <nc r="C24">
      <f>H24+J24+L24+N24+P24+R24</f>
    </nc>
  </rcc>
  <rcc rId="7850" sId="18">
    <oc r="C27">
      <f>H27+J27+L27+N27+P27</f>
    </oc>
    <nc r="C27">
      <f>H27+J27+L27+N27+P27+R27</f>
    </nc>
  </rcc>
  <rcc rId="7851" sId="18">
    <oc r="C30">
      <f>H30+J30+L30+N30+P30</f>
    </oc>
    <nc r="C30">
      <f>H30+J30+L30+N30+P30+R30</f>
    </nc>
  </rcc>
  <rcc rId="7852" sId="18">
    <oc r="C42">
      <f>H42+J42+L42+N42</f>
    </oc>
    <nc r="C42">
      <f>H42+J42+L42+N42+P42+R42</f>
    </nc>
  </rcc>
  <rcc rId="7853" sId="18">
    <oc r="C40">
      <f>H40+J40+L40+N40</f>
    </oc>
    <nc r="C40">
      <f>H40+J40+L40+N40+P40+R40</f>
    </nc>
  </rcc>
  <rcc rId="7854" sId="18">
    <oc r="C41">
      <f>H41+J41+L41+N41</f>
    </oc>
    <nc r="C41">
      <f>H41+J41+L41+N41+P41+R41</f>
    </nc>
  </rcc>
  <rcc rId="7855" sId="18">
    <oc r="C45">
      <f>H45+J45+L45+N45+P45</f>
    </oc>
    <nc r="C45">
      <f>H45+J45+L45+N45+P45+R45</f>
    </nc>
  </rcc>
  <rcc rId="7856" sId="18">
    <oc r="C46">
      <f>H46+J46+L46+N46+P46</f>
    </oc>
    <nc r="C46">
      <f>H46+J46+L46+N46+P46+R46</f>
    </nc>
  </rcc>
  <rcc rId="7857" sId="18">
    <oc r="C47">
      <f>H47+J47+L47+N47+P47</f>
    </oc>
    <nc r="C47">
      <f>H47+J47+L47+N47+P47+R47</f>
    </nc>
  </rcc>
  <rcc rId="7858" sId="18">
    <oc r="C50">
      <f>H50+J50+L50+N50+P50</f>
    </oc>
    <nc r="C50">
      <f>H50+J50+L50+N50+P50+R50</f>
    </nc>
  </rcc>
  <rcc rId="7859" sId="18">
    <oc r="C51">
      <f>H51+J51+L51+N51+P51</f>
    </oc>
    <nc r="C51">
      <f>H51+J51+L51+N51+P51+R51</f>
    </nc>
  </rcc>
  <rcc rId="7860" sId="18">
    <oc r="C52">
      <f>H52+J52+L52+N52+P52</f>
    </oc>
    <nc r="C52">
      <f>H52+J52+L52+N52+P52+R52</f>
    </nc>
  </rcc>
  <rcc rId="7861" sId="18">
    <oc r="C55">
      <f>H55+J55+L55+N55+P55</f>
    </oc>
    <nc r="C55">
      <f>H55+J55+L55+N55+P55+R55</f>
    </nc>
  </rcc>
  <rcc rId="7862" sId="18">
    <oc r="C56">
      <f>H56+J56+L56+N56+P56</f>
    </oc>
    <nc r="C56">
      <f>H56+J56+L56+N56+P56+R56</f>
    </nc>
  </rcc>
  <rcc rId="7863" sId="18">
    <oc r="C57">
      <f>H57+J57+L57+N57+P57</f>
    </oc>
    <nc r="C57">
      <f>H57+J57+L57+N57+P57+R57</f>
    </nc>
  </rcc>
  <rcc rId="7864" sId="18">
    <oc r="C65">
      <f>H65+J65+L65+N65+P65</f>
    </oc>
    <nc r="C65">
      <f>H65+J65+L65+N65+P65+R65</f>
    </nc>
  </rcc>
  <rcc rId="7865" sId="18">
    <oc r="C66">
      <f>H66+J66+L66+N66</f>
    </oc>
    <nc r="C66">
      <f>H66+J66+L66+N66+P66+R66</f>
    </nc>
  </rcc>
  <rcc rId="7866" sId="18">
    <oc r="C67">
      <f>H67+J67+L67+N67</f>
    </oc>
    <nc r="C67">
      <f>H67+J67+L67+N67+P67+R67</f>
    </nc>
  </rcc>
  <rcc rId="7867" sId="18">
    <oc r="C70">
      <f>H70+J70+L70+N70+P70</f>
    </oc>
    <nc r="C70">
      <f>H70+J70+L70+N70+P70+R70</f>
    </nc>
  </rcc>
  <rcc rId="7868" sId="18">
    <oc r="C71">
      <f>H71+J71+L71+N71+P71</f>
    </oc>
    <nc r="C71">
      <f>H71+J71+L71+N71+P71+R71</f>
    </nc>
  </rcc>
  <rcc rId="7869" sId="18">
    <oc r="C72">
      <f>H72+J72+L72+N72+P72</f>
    </oc>
    <nc r="C72">
      <f>H72+J72+L72+N72+P72+R72</f>
    </nc>
  </rcc>
  <rcc rId="7870" sId="18">
    <oc r="C75">
      <f>H75+J75+L75+N75+P75</f>
    </oc>
    <nc r="C75">
      <f>H75+J75+L75+N75+P75+R75</f>
    </nc>
  </rcc>
  <rcc rId="7871" sId="18">
    <oc r="C76">
      <f>H76+J76+L76+N76+P76</f>
    </oc>
    <nc r="C76">
      <f>H76+J76+L76+N76+P76+R76</f>
    </nc>
  </rcc>
  <rcc rId="7872" sId="18">
    <oc r="C77">
      <f>H77+J77+L77+N77+P77</f>
    </oc>
    <nc r="C77">
      <f>H77+J77+L77+N77+P77+R77</f>
    </nc>
  </rcc>
  <rcc rId="7873" sId="18">
    <oc r="C80">
      <f>H80+J80+L80+N80+P80</f>
    </oc>
    <nc r="C80">
      <f>H80+J80+L80+N80+P80+R80</f>
    </nc>
  </rcc>
  <rcc rId="7874" sId="18">
    <oc r="C81">
      <f>H81+J81+L81+N81+P81</f>
    </oc>
    <nc r="C81">
      <f>H81+J81+L81+N81+P81+R81</f>
    </nc>
  </rcc>
  <rcc rId="7875" sId="18">
    <oc r="C82">
      <f>H82+J82+L82+N82+P82</f>
    </oc>
    <nc r="C82">
      <f>H82+J82+L82+N82+P82+R82</f>
    </nc>
  </rcc>
  <rcc rId="7876" sId="18">
    <oc r="C85">
      <f>H85+J85+L85+N85+P85</f>
    </oc>
    <nc r="C85">
      <f>H85+J85+L85+N85+P85+R85</f>
    </nc>
  </rcc>
  <rcc rId="7877" sId="18">
    <oc r="C86">
      <f>H86+J86+L86+N86+P86</f>
    </oc>
    <nc r="C86">
      <f>H86+J86+L86+N86+P86+R86</f>
    </nc>
  </rcc>
  <rcc rId="7878" sId="18">
    <oc r="C87">
      <f>H87+J87+L87+N87+P87</f>
    </oc>
    <nc r="C87">
      <f>H87+J87+L87+N87+P87+R87</f>
    </nc>
  </rcc>
  <rcc rId="7879" sId="18">
    <oc r="C90">
      <f>H90+J90+L90+N90+P90</f>
    </oc>
    <nc r="C90">
      <f>H90+J90+L90+N90+P90+R90</f>
    </nc>
  </rcc>
  <rcc rId="7880" sId="18">
    <oc r="C91">
      <f>H91+J91+L91+N91+P91</f>
    </oc>
    <nc r="C91">
      <f>H91+J91+L91+N91+P91+R91</f>
    </nc>
  </rcc>
  <rcc rId="7881" sId="18">
    <oc r="C92">
      <f>H92+J92+L92+N92+P92</f>
    </oc>
    <nc r="C92">
      <f>H92+J92+L92+N92+P92+R92</f>
    </nc>
  </rcc>
  <rcc rId="7882" sId="18">
    <oc r="C95">
      <f>H95+J95+L95+N95+P95</f>
    </oc>
    <nc r="C95">
      <f>H95+J95+L95+N95+P95+R95</f>
    </nc>
  </rcc>
  <rcc rId="7883" sId="18">
    <oc r="C96">
      <f>H96+J96+L96+N96+P96</f>
    </oc>
    <nc r="C96">
      <f>H96+J96+L96+N96+P96+R96</f>
    </nc>
  </rcc>
  <rcc rId="7884" sId="18">
    <oc r="C97">
      <f>H97+J97+L97+N97+P97</f>
    </oc>
    <nc r="C97">
      <f>H97+J97+L97+N97+P97+R97</f>
    </nc>
  </rcc>
  <rcc rId="7885" sId="18">
    <oc r="C100">
      <f>H100+J100+L100+N100+P100</f>
    </oc>
    <nc r="C100">
      <f>H100+J100+L100+N100+P100+R100</f>
    </nc>
  </rcc>
  <rcc rId="7886" sId="18">
    <oc r="C101">
      <f>H101+J101+L101+N101+P101</f>
    </oc>
    <nc r="C101">
      <f>H101+J101+L101+N101+P101+R101</f>
    </nc>
  </rcc>
  <rcc rId="7887" sId="18">
    <oc r="C102">
      <f>H102+J102+L102+N102+P102</f>
    </oc>
    <nc r="C102">
      <f>H102+J102+L102+N102+P102+R102</f>
    </nc>
  </rcc>
  <rcc rId="7888" sId="18">
    <oc r="C105">
      <f>H105+J105+L105+N105+P105</f>
    </oc>
    <nc r="C105">
      <f>H105+J105+L105+N105+P105+R105</f>
    </nc>
  </rcc>
  <rcc rId="7889" sId="18">
    <oc r="C106">
      <f>H106+J106+L106+N106+P106</f>
    </oc>
    <nc r="C106">
      <f>H106+J106+L106+N106+P106+R106</f>
    </nc>
  </rcc>
  <rcc rId="7890" sId="18">
    <oc r="C107">
      <f>H107+J107+L107+N107+P107</f>
    </oc>
    <nc r="C107">
      <f>H107+J107+L107+N107+P107+R107</f>
    </nc>
  </rcc>
  <rcc rId="7891" sId="18">
    <oc r="C110">
      <f>H110+J110+L110+N110+P110</f>
    </oc>
    <nc r="C110">
      <f>H110+J110+L110+N110+P110+R110</f>
    </nc>
  </rcc>
  <rcc rId="7892" sId="18">
    <oc r="C111">
      <f>H111+J111+L111+N111+P111</f>
    </oc>
    <nc r="C111">
      <f>H111+J111+L111+N111+P111+R111</f>
    </nc>
  </rcc>
  <rcc rId="7893" sId="18">
    <oc r="C112">
      <f>H112+J112+L112+N112+P112</f>
    </oc>
    <nc r="C112">
      <f>H112+J112+L112+N112+P112+R112</f>
    </nc>
  </rcc>
  <rcc rId="7894" sId="18">
    <oc r="C115">
      <f>H115+J115+L115+N115+P115</f>
    </oc>
    <nc r="C115">
      <f>H115+J115+L115+N115+P115+R115</f>
    </nc>
  </rcc>
  <rcc rId="7895" sId="18">
    <oc r="C116">
      <f>H116+J116+L116+N116+P116</f>
    </oc>
    <nc r="C116">
      <f>H116+J116+L116+N116+P116+R116</f>
    </nc>
  </rcc>
  <rcc rId="7896" sId="18">
    <oc r="C117">
      <f>H117+J117+L117+N117+P117</f>
    </oc>
    <nc r="C117">
      <f>H117+J117+L117+N117+P117+R117</f>
    </nc>
  </rcc>
  <rcc rId="7897" sId="18">
    <oc r="C120">
      <f>H120+J120+L120+N120+P120</f>
    </oc>
    <nc r="C120">
      <f>H120+J120+L120+N120+P120+R120</f>
    </nc>
  </rcc>
  <rcc rId="7898" sId="18">
    <oc r="C121">
      <f>H121+J121+L121+N121+P121</f>
    </oc>
    <nc r="C121">
      <f>H121+J121+L121+N121+P121+R121</f>
    </nc>
  </rcc>
  <rcc rId="7899" sId="18">
    <oc r="C122">
      <f>H122+J122+L122+N122+P122</f>
    </oc>
    <nc r="C122">
      <f>H122+J122+L122+N122+P122+R122</f>
    </nc>
  </rcc>
  <rfmt sheetId="18" sqref="A117 A122">
    <dxf>
      <alignment horizontal="right" readingOrder="0"/>
    </dxf>
  </rfmt>
  <rcc rId="7900" sId="18">
    <oc r="C129">
      <f>H129+J129+L129+N129+P129</f>
    </oc>
    <nc r="C129">
      <f>H129+J129+L129+N129+P129+R129</f>
    </nc>
  </rcc>
  <rfmt sheetId="18" sqref="B143:B144">
    <dxf>
      <fill>
        <patternFill patternType="solid">
          <bgColor theme="6" tint="0.39997558519241921"/>
        </patternFill>
      </fill>
    </dxf>
  </rfmt>
  <rrc rId="7901" sId="18" ref="A21:XFD21" action="insertRow"/>
  <rcc rId="7902" sId="18" odxf="1" dxf="1">
    <nc r="B21">
      <f>SUM(H21,J21,L21,N21,P21,R21,T21,V21,X21,Z21,AB21,AD21)</f>
    </nc>
    <odxf>
      <font>
        <b/>
        <sz val="14"/>
        <color auto="1"/>
        <name val="Times New Roman"/>
        <scheme val="none"/>
      </font>
    </odxf>
    <ndxf>
      <font>
        <b val="0"/>
        <sz val="14"/>
        <color auto="1"/>
        <name val="Times New Roman"/>
        <scheme val="none"/>
      </font>
    </ndxf>
  </rcc>
  <rcc rId="7903" sId="18" odxf="1" dxf="1">
    <nc r="C21">
      <f>SUM(H21+J21+L21+N21+P21+R21)</f>
    </nc>
    <odxf>
      <font>
        <b/>
        <sz val="14"/>
        <color auto="1"/>
        <name val="Times New Roman"/>
        <scheme val="none"/>
      </font>
    </odxf>
    <ndxf>
      <font>
        <b val="0"/>
        <sz val="14"/>
        <color auto="1"/>
        <name val="Times New Roman"/>
        <scheme val="none"/>
      </font>
    </ndxf>
  </rcc>
  <rcc rId="7904" sId="18" odxf="1" dxf="1">
    <nc r="D21">
      <f>E21</f>
    </nc>
    <odxf>
      <font>
        <b/>
        <sz val="14"/>
        <color auto="1"/>
        <name val="Times New Roman"/>
        <scheme val="none"/>
      </font>
    </odxf>
    <ndxf>
      <font>
        <b val="0"/>
        <sz val="14"/>
        <color auto="1"/>
        <name val="Times New Roman"/>
        <scheme val="none"/>
      </font>
    </ndxf>
  </rcc>
  <rcc rId="7905" sId="18" odxf="1" dxf="1">
    <nc r="E21">
      <f>SUM(I21,K21,M21,O21,Q21,S21,U21,W21,Y21,AA21,AC21,AE21)</f>
    </nc>
    <odxf>
      <font>
        <b/>
        <sz val="14"/>
        <color auto="1"/>
        <name val="Times New Roman"/>
        <scheme val="none"/>
      </font>
    </odxf>
    <ndxf>
      <font>
        <b val="0"/>
        <sz val="14"/>
        <color auto="1"/>
        <name val="Times New Roman"/>
        <scheme val="none"/>
      </font>
    </ndxf>
  </rcc>
  <rcc rId="7906" sId="18" odxf="1" dxf="1">
    <nc r="F21">
      <f>IFERROR(E21/B21*100,0)</f>
    </nc>
    <odxf>
      <font>
        <b/>
        <sz val="14"/>
        <color auto="1"/>
        <name val="Times New Roman"/>
        <scheme val="none"/>
      </font>
    </odxf>
    <ndxf>
      <font>
        <b val="0"/>
        <sz val="14"/>
        <color auto="1"/>
        <name val="Times New Roman"/>
        <scheme val="none"/>
      </font>
    </ndxf>
  </rcc>
  <rcc rId="7907" sId="18" odxf="1" dxf="1">
    <nc r="G21">
      <f>IFERROR(E21/C21*100,0)</f>
    </nc>
    <odxf>
      <font>
        <b/>
        <sz val="14"/>
        <color auto="1"/>
        <name val="Times New Roman"/>
        <scheme val="none"/>
      </font>
    </odxf>
    <ndxf>
      <font>
        <b val="0"/>
        <sz val="14"/>
        <color auto="1"/>
        <name val="Times New Roman"/>
        <scheme val="none"/>
      </font>
    </ndxf>
  </rcc>
  <rcc rId="7908" sId="18">
    <oc r="H20">
      <f>SUM(H22:H22)</f>
    </oc>
    <nc r="H20">
      <f>H21+H22</f>
    </nc>
  </rcc>
  <rcc rId="7909" sId="18">
    <oc r="I20">
      <f>SUM(I22:I22)</f>
    </oc>
    <nc r="I20">
      <f>I21+I22</f>
    </nc>
  </rcc>
  <rcc rId="7910" sId="18">
    <oc r="J20">
      <f>SUM(J22:J22)</f>
    </oc>
    <nc r="J20">
      <f>J21+J22</f>
    </nc>
  </rcc>
  <rcc rId="7911" sId="18">
    <oc r="K20">
      <f>SUM(K22:K22)</f>
    </oc>
    <nc r="K20">
      <f>K21+K22</f>
    </nc>
  </rcc>
  <rcc rId="7912" sId="18">
    <oc r="L20">
      <f>SUM(L22:L22)</f>
    </oc>
    <nc r="L20">
      <f>L21+L22</f>
    </nc>
  </rcc>
  <rcc rId="7913" sId="18">
    <oc r="M20">
      <f>SUM(M22:M22)</f>
    </oc>
    <nc r="M20">
      <f>M21+M22</f>
    </nc>
  </rcc>
  <rcc rId="7914" sId="18">
    <oc r="N20">
      <f>SUM(N22:N22)</f>
    </oc>
    <nc r="N20">
      <f>N21+N22</f>
    </nc>
  </rcc>
  <rcc rId="7915" sId="18">
    <oc r="O20">
      <f>SUM(O22:O22)</f>
    </oc>
    <nc r="O20">
      <f>O21+O22</f>
    </nc>
  </rcc>
  <rcc rId="7916" sId="18">
    <oc r="P20">
      <f>SUM(P22:P22)</f>
    </oc>
    <nc r="P20">
      <f>P21+P22</f>
    </nc>
  </rcc>
  <rcc rId="7917" sId="18">
    <oc r="Q20">
      <f>SUM(Q22:Q22)</f>
    </oc>
    <nc r="Q20">
      <f>Q21+Q22</f>
    </nc>
  </rcc>
  <rcc rId="7918" sId="18">
    <oc r="R20">
      <f>SUM(R22:R22)</f>
    </oc>
    <nc r="R20">
      <f>R21+R22</f>
    </nc>
  </rcc>
  <rcc rId="7919" sId="18">
    <oc r="S20">
      <f>SUM(S22:S22)</f>
    </oc>
    <nc r="S20">
      <f>S21+S22</f>
    </nc>
  </rcc>
  <rcc rId="7920" sId="18">
    <oc r="T20">
      <f>SUM(T22:T22)</f>
    </oc>
    <nc r="T20">
      <f>T21+T22</f>
    </nc>
  </rcc>
  <rcc rId="7921" sId="18">
    <oc r="U20">
      <f>SUM(U22:U22)</f>
    </oc>
    <nc r="U20">
      <f>U21+U22</f>
    </nc>
  </rcc>
  <rcc rId="7922" sId="18">
    <oc r="V20">
      <f>SUM(V22:V22)</f>
    </oc>
    <nc r="V20">
      <f>V21+V22</f>
    </nc>
  </rcc>
  <rcc rId="7923" sId="18">
    <oc r="W20">
      <f>SUM(W22:W22)</f>
    </oc>
    <nc r="W20">
      <f>W21+W22</f>
    </nc>
  </rcc>
  <rcc rId="7924" sId="18">
    <oc r="X20">
      <f>SUM(X22:X22)</f>
    </oc>
    <nc r="X20">
      <f>X21+X22</f>
    </nc>
  </rcc>
  <rcc rId="7925" sId="18">
    <oc r="Y20">
      <f>SUM(Y22:Y22)</f>
    </oc>
    <nc r="Y20">
      <f>Y21+Y22</f>
    </nc>
  </rcc>
  <rcc rId="7926" sId="18">
    <oc r="Z20">
      <f>SUM(Z22:Z22)</f>
    </oc>
    <nc r="Z20">
      <f>Z21+Z22</f>
    </nc>
  </rcc>
  <rcc rId="7927" sId="18">
    <oc r="AA20">
      <f>SUM(AA22:AA22)</f>
    </oc>
    <nc r="AA20">
      <f>AA21+AA22</f>
    </nc>
  </rcc>
  <rcc rId="7928" sId="18">
    <oc r="AB20">
      <f>SUM(AB22:AB22)</f>
    </oc>
    <nc r="AB20">
      <f>AB21+AB22</f>
    </nc>
  </rcc>
  <rcc rId="7929" sId="18">
    <oc r="AC20">
      <f>SUM(AC22:AC22)</f>
    </oc>
    <nc r="AC20">
      <f>AC21+AC22</f>
    </nc>
  </rcc>
  <rcc rId="7930" sId="18">
    <oc r="AD20">
      <f>SUM(AD22:AD22)</f>
    </oc>
    <nc r="AD20">
      <f>AD21+AD22</f>
    </nc>
  </rcc>
  <rcc rId="7931" sId="18">
    <oc r="AE20">
      <f>SUM(AE22:AE22)</f>
    </oc>
    <nc r="AE20">
      <f>AE21+AE22</f>
    </nc>
  </rcc>
  <rcc rId="7932" sId="18" odxf="1" dxf="1">
    <nc r="A21" t="inlineStr">
      <is>
        <t>бюджет автономного округа</t>
      </is>
    </nc>
    <odxf>
      <font>
        <b/>
        <sz val="14"/>
        <color auto="1"/>
        <name val="Times New Roman"/>
        <scheme val="none"/>
      </font>
    </odxf>
    <ndxf>
      <font>
        <b val="0"/>
        <sz val="14"/>
        <color auto="1"/>
        <name val="Times New Roman"/>
        <scheme val="none"/>
      </font>
    </ndxf>
  </rcc>
  <rcc rId="7933" sId="18" numFmtId="4">
    <nc r="H21">
      <v>0</v>
    </nc>
  </rcc>
  <rcc rId="7934" sId="18" numFmtId="4">
    <nc r="I21">
      <v>0</v>
    </nc>
  </rcc>
  <rcc rId="7935" sId="18" numFmtId="4">
    <nc r="J21">
      <v>0</v>
    </nc>
  </rcc>
  <rcc rId="7936" sId="18" numFmtId="4">
    <nc r="K21">
      <v>0</v>
    </nc>
  </rcc>
  <rcc rId="7937" sId="18" numFmtId="4">
    <nc r="L21">
      <v>0</v>
    </nc>
  </rcc>
  <rcc rId="7938" sId="18" numFmtId="4">
    <nc r="M21">
      <v>0</v>
    </nc>
  </rcc>
  <rcc rId="7939" sId="18" numFmtId="4">
    <nc r="N21">
      <v>0</v>
    </nc>
  </rcc>
  <rcc rId="7940" sId="18" numFmtId="4">
    <nc r="O21">
      <v>0</v>
    </nc>
  </rcc>
  <rcc rId="7941" sId="18" numFmtId="4">
    <nc r="P21">
      <v>174.44200000000001</v>
    </nc>
  </rcc>
  <rcc rId="7942" sId="18" numFmtId="4">
    <nc r="R21">
      <v>0</v>
    </nc>
  </rcc>
  <rcc rId="7943" sId="18" numFmtId="4">
    <nc r="S21">
      <v>0</v>
    </nc>
  </rcc>
  <rcc rId="7944" sId="18" numFmtId="4">
    <nc r="T21">
      <v>0</v>
    </nc>
  </rcc>
  <rcc rId="7945" sId="18" numFmtId="4">
    <nc r="U21">
      <v>0</v>
    </nc>
  </rcc>
  <rcc rId="7946" sId="18" numFmtId="4">
    <nc r="V21">
      <v>0</v>
    </nc>
  </rcc>
  <rcc rId="7947" sId="18" numFmtId="4">
    <nc r="W21">
      <v>0</v>
    </nc>
  </rcc>
  <rcc rId="7948" sId="18" numFmtId="4">
    <nc r="X21">
      <v>0</v>
    </nc>
  </rcc>
  <rcc rId="7949" sId="18" numFmtId="4">
    <nc r="Y21">
      <v>0</v>
    </nc>
  </rcc>
  <rcc rId="7950" sId="18" numFmtId="4">
    <nc r="Z21">
      <v>0</v>
    </nc>
  </rcc>
  <rcc rId="7951" sId="18" numFmtId="4">
    <nc r="AA21">
      <v>0</v>
    </nc>
  </rcc>
  <rcc rId="7952" sId="18" numFmtId="4">
    <nc r="AB21">
      <v>0</v>
    </nc>
  </rcc>
  <rcc rId="7953" sId="18" numFmtId="4">
    <nc r="AC21">
      <v>0</v>
    </nc>
  </rcc>
  <rcc rId="7954" sId="18" numFmtId="4">
    <nc r="AD21">
      <v>0</v>
    </nc>
  </rcc>
  <rcc rId="7955" sId="18" numFmtId="4">
    <nc r="AE21">
      <v>0</v>
    </nc>
  </rcc>
  <rfmt sheetId="18" sqref="A21:XFD21" start="0" length="2147483647">
    <dxf>
      <font>
        <b/>
      </font>
    </dxf>
  </rfmt>
  <rfmt sheetId="18" sqref="A21:XFD21" start="0" length="2147483647">
    <dxf>
      <font>
        <b val="0"/>
      </font>
    </dxf>
  </rfmt>
  <rcc rId="7956" sId="18">
    <oc r="B20">
      <f>SUM(B22:B22)</f>
    </oc>
    <nc r="B20">
      <f>B21+B22</f>
    </nc>
  </rcc>
  <rcc rId="7957" sId="18">
    <oc r="C20">
      <f>SUM(C22:C22)</f>
    </oc>
    <nc r="C20">
      <f>C21+C22</f>
    </nc>
  </rcc>
  <rcc rId="7958" sId="18">
    <oc r="D20">
      <f>SUM(D22:D22)</f>
    </oc>
    <nc r="D20">
      <f>D21+D22</f>
    </nc>
  </rcc>
  <rcc rId="7959" sId="18">
    <oc r="E20">
      <f>SUM(E22:E22)</f>
    </oc>
    <nc r="E20">
      <f>E21+E22</f>
    </nc>
  </rcc>
  <rrc rId="7960" sId="18" ref="A25:XFD25" action="insertRow"/>
  <rcc rId="7961" sId="18" odxf="1" dxf="1">
    <nc r="A25" t="inlineStr">
      <is>
        <t>бюджет автономного округа</t>
      </is>
    </nc>
    <odxf>
      <font>
        <b/>
        <sz val="14"/>
        <color auto="1"/>
        <name val="Times New Roman"/>
        <scheme val="none"/>
      </font>
    </odxf>
    <ndxf>
      <font>
        <b val="0"/>
        <sz val="14"/>
        <color auto="1"/>
        <name val="Times New Roman"/>
        <scheme val="none"/>
      </font>
    </ndxf>
  </rcc>
  <rcc rId="7962" sId="18" odxf="1" dxf="1">
    <nc r="B25">
      <f>SUM(H25,J25,L25,N25,P25,R25,T25,V25,X25,Z25,AB25,AD25)</f>
    </nc>
    <odxf>
      <font>
        <b/>
        <sz val="14"/>
        <color auto="1"/>
        <name val="Times New Roman"/>
        <scheme val="none"/>
      </font>
    </odxf>
    <ndxf>
      <font>
        <b val="0"/>
        <sz val="14"/>
        <color auto="1"/>
        <name val="Times New Roman"/>
        <scheme val="none"/>
      </font>
    </ndxf>
  </rcc>
  <rcc rId="7963" sId="18" odxf="1" dxf="1">
    <nc r="C25">
      <f>H25+J25+L25+N25+P25+R25</f>
    </nc>
    <odxf>
      <font>
        <b/>
        <sz val="14"/>
        <color auto="1"/>
        <name val="Times New Roman"/>
        <scheme val="none"/>
      </font>
    </odxf>
    <ndxf>
      <font>
        <b val="0"/>
        <sz val="14"/>
        <color auto="1"/>
        <name val="Times New Roman"/>
        <scheme val="none"/>
      </font>
    </ndxf>
  </rcc>
  <rcc rId="7964" sId="18" odxf="1" dxf="1">
    <nc r="D25">
      <f>E25</f>
    </nc>
    <odxf>
      <font>
        <b/>
        <sz val="14"/>
        <color auto="1"/>
        <name val="Times New Roman"/>
        <scheme val="none"/>
      </font>
    </odxf>
    <ndxf>
      <font>
        <b val="0"/>
        <sz val="14"/>
        <color auto="1"/>
        <name val="Times New Roman"/>
        <scheme val="none"/>
      </font>
    </ndxf>
  </rcc>
  <rcc rId="7965" sId="18" odxf="1" dxf="1">
    <nc r="E25">
      <f>SUM(I25,K25,M25,O25,Q25,S25,U25,W25,Y25,AA25,AC25,AE25)</f>
    </nc>
    <odxf>
      <font>
        <b/>
        <sz val="14"/>
        <color auto="1"/>
        <name val="Times New Roman"/>
        <scheme val="none"/>
      </font>
    </odxf>
    <ndxf>
      <font>
        <b val="0"/>
        <sz val="14"/>
        <color auto="1"/>
        <name val="Times New Roman"/>
        <scheme val="none"/>
      </font>
    </ndxf>
  </rcc>
  <rcc rId="7966" sId="18" odxf="1" dxf="1">
    <nc r="F25">
      <f>IFERROR(E25/B25*100,0)</f>
    </nc>
    <odxf>
      <font>
        <b/>
        <sz val="14"/>
        <color auto="1"/>
        <name val="Times New Roman"/>
        <scheme val="none"/>
      </font>
    </odxf>
    <ndxf>
      <font>
        <b val="0"/>
        <sz val="14"/>
        <color auto="1"/>
        <name val="Times New Roman"/>
        <scheme val="none"/>
      </font>
    </ndxf>
  </rcc>
  <rcc rId="7967" sId="18" odxf="1" dxf="1">
    <nc r="G25">
      <f>IFERROR(E25/C25*100,0)</f>
    </nc>
    <odxf>
      <font>
        <b/>
        <sz val="14"/>
        <color auto="1"/>
        <name val="Times New Roman"/>
        <scheme val="none"/>
      </font>
    </odxf>
    <ndxf>
      <font>
        <b val="0"/>
        <sz val="14"/>
        <color auto="1"/>
        <name val="Times New Roman"/>
        <scheme val="none"/>
      </font>
    </ndxf>
  </rcc>
  <rcc rId="7968" sId="18">
    <oc r="B24">
      <f>SUM(B26:B26)</f>
    </oc>
    <nc r="B24">
      <f>B25+B26</f>
    </nc>
  </rcc>
  <rcc rId="7969" sId="18">
    <oc r="C24">
      <f>SUM(C26:C26)</f>
    </oc>
    <nc r="C24">
      <f>C25+C26</f>
    </nc>
  </rcc>
  <rcc rId="7970" sId="18">
    <oc r="D24">
      <f>SUM(D26:D26)</f>
    </oc>
    <nc r="D24">
      <f>D25+D26</f>
    </nc>
  </rcc>
  <rcc rId="7971" sId="18">
    <oc r="E24">
      <f>SUM(E26:E26)</f>
    </oc>
    <nc r="E24">
      <f>E25+E26</f>
    </nc>
  </rcc>
  <rcc rId="7972" sId="18">
    <oc r="H24">
      <f>SUM(H26:H26)</f>
    </oc>
    <nc r="H24">
      <f>H25+H26</f>
    </nc>
  </rcc>
  <rcc rId="7973" sId="18">
    <oc r="I24">
      <f>SUM(I26:I26)</f>
    </oc>
    <nc r="I24">
      <f>I25+I26</f>
    </nc>
  </rcc>
  <rcc rId="7974" sId="18">
    <oc r="J24">
      <f>SUM(J26:J26)</f>
    </oc>
    <nc r="J24">
      <f>J25+J26</f>
    </nc>
  </rcc>
  <rcc rId="7975" sId="18">
    <oc r="K24">
      <f>SUM(K26:K26)</f>
    </oc>
    <nc r="K24">
      <f>K25+K26</f>
    </nc>
  </rcc>
  <rcc rId="7976" sId="18">
    <oc r="L24">
      <f>SUM(L26:L26)</f>
    </oc>
    <nc r="L24">
      <f>L25+L26</f>
    </nc>
  </rcc>
  <rcc rId="7977" sId="18">
    <oc r="M24">
      <f>SUM(M26:M26)</f>
    </oc>
    <nc r="M24">
      <f>M25+M26</f>
    </nc>
  </rcc>
  <rcc rId="7978" sId="18">
    <oc r="N24">
      <f>SUM(N26:N26)</f>
    </oc>
    <nc r="N24">
      <f>N25+N26</f>
    </nc>
  </rcc>
  <rcc rId="7979" sId="18">
    <oc r="O24">
      <f>SUM(O26:O26)</f>
    </oc>
    <nc r="O24">
      <f>O25+O26</f>
    </nc>
  </rcc>
  <rcc rId="7980" sId="18">
    <oc r="P24">
      <f>SUM(P26:P26)</f>
    </oc>
    <nc r="P24">
      <f>P25+P26</f>
    </nc>
  </rcc>
  <rcc rId="7981" sId="18">
    <oc r="Q24">
      <f>SUM(Q26:Q26)</f>
    </oc>
    <nc r="Q24">
      <f>Q25+Q26</f>
    </nc>
  </rcc>
  <rcc rId="7982" sId="18">
    <oc r="R24">
      <f>SUM(R26:R26)</f>
    </oc>
    <nc r="R24">
      <f>R25+R26</f>
    </nc>
  </rcc>
  <rcc rId="7983" sId="18">
    <oc r="S24">
      <f>SUM(S26:S26)</f>
    </oc>
    <nc r="S24">
      <f>S25+S26</f>
    </nc>
  </rcc>
  <rcc rId="7984" sId="18">
    <oc r="T24">
      <f>SUM(T26:T26)</f>
    </oc>
    <nc r="T24">
      <f>T25+T26</f>
    </nc>
  </rcc>
  <rcc rId="7985" sId="18">
    <oc r="U24">
      <f>SUM(U26:U26)</f>
    </oc>
    <nc r="U24">
      <f>U25+U26</f>
    </nc>
  </rcc>
  <rcc rId="7986" sId="18">
    <oc r="V24">
      <f>SUM(V26:V26)</f>
    </oc>
    <nc r="V24">
      <f>V25+V26</f>
    </nc>
  </rcc>
  <rcc rId="7987" sId="18">
    <oc r="W24">
      <f>SUM(W26:W26)</f>
    </oc>
    <nc r="W24">
      <f>W25+W26</f>
    </nc>
  </rcc>
  <rcc rId="7988" sId="18">
    <oc r="X24">
      <f>SUM(X26:X26)</f>
    </oc>
    <nc r="X24">
      <f>X25+X26</f>
    </nc>
  </rcc>
  <rcc rId="7989" sId="18">
    <oc r="Y24">
      <f>SUM(Y26:Y26)</f>
    </oc>
    <nc r="Y24">
      <f>Y25+Y26</f>
    </nc>
  </rcc>
  <rcc rId="7990" sId="18">
    <oc r="Z24">
      <f>SUM(Z26:Z26)</f>
    </oc>
    <nc r="Z24">
      <f>Z25+Z26</f>
    </nc>
  </rcc>
  <rcc rId="7991" sId="18">
    <oc r="AA24">
      <f>SUM(AA26:AA26)</f>
    </oc>
    <nc r="AA24">
      <f>AA25+AA26</f>
    </nc>
  </rcc>
  <rcc rId="7992" sId="18">
    <oc r="AB24">
      <f>SUM(AB26:AB26)</f>
    </oc>
    <nc r="AB24">
      <f>AB25+AB26</f>
    </nc>
  </rcc>
  <rcc rId="7993" sId="18">
    <oc r="AC24">
      <f>SUM(AC26:AC26)</f>
    </oc>
    <nc r="AC24">
      <f>AC25+AC26</f>
    </nc>
  </rcc>
  <rcc rId="7994" sId="18">
    <oc r="AD24">
      <f>SUM(AD26:AD26)</f>
    </oc>
    <nc r="AD24">
      <f>AD25+AD26</f>
    </nc>
  </rcc>
  <rcc rId="7995" sId="18">
    <oc r="AE24">
      <f>SUM(AE26:AE26)</f>
    </oc>
    <nc r="AE24">
      <f>AE25+AE26</f>
    </nc>
  </rcc>
  <rcc rId="7996" sId="18" numFmtId="4">
    <nc r="P25">
      <v>151.995</v>
    </nc>
  </rcc>
  <rfmt sheetId="18" sqref="P25" start="0" length="2147483647">
    <dxf>
      <font>
        <b val="0"/>
      </font>
    </dxf>
  </rfmt>
  <rrc rId="7997" sId="18" ref="A29:XFD29" action="insertRow"/>
  <rcc rId="7998" sId="18" odxf="1" dxf="1">
    <nc r="A29" t="inlineStr">
      <is>
        <t>бюджет автономного округа</t>
      </is>
    </nc>
    <odxf>
      <font>
        <b/>
        <sz val="14"/>
        <color auto="1"/>
        <name val="Times New Roman"/>
        <scheme val="none"/>
      </font>
    </odxf>
    <ndxf>
      <font>
        <b val="0"/>
        <sz val="14"/>
        <color auto="1"/>
        <name val="Times New Roman"/>
        <scheme val="none"/>
      </font>
    </ndxf>
  </rcc>
  <rcc rId="7999" sId="18" odxf="1" dxf="1">
    <nc r="B29">
      <f>SUM(H29,J29,L29,N29,P29,R29,T29,V29,X29,Z29,AB29,AD29)</f>
    </nc>
    <odxf>
      <font>
        <b/>
        <sz val="14"/>
        <color auto="1"/>
        <name val="Times New Roman"/>
        <scheme val="none"/>
      </font>
    </odxf>
    <ndxf>
      <font>
        <b val="0"/>
        <sz val="14"/>
        <color auto="1"/>
        <name val="Times New Roman"/>
        <scheme val="none"/>
      </font>
    </ndxf>
  </rcc>
  <rcc rId="8000" sId="18" odxf="1" dxf="1">
    <nc r="C29">
      <f>H29+J29+L29+N29+P29+R29</f>
    </nc>
    <odxf>
      <font>
        <b/>
        <sz val="14"/>
        <color auto="1"/>
        <name val="Times New Roman"/>
        <scheme val="none"/>
      </font>
    </odxf>
    <ndxf>
      <font>
        <b val="0"/>
        <sz val="14"/>
        <color auto="1"/>
        <name val="Times New Roman"/>
        <scheme val="none"/>
      </font>
    </ndxf>
  </rcc>
  <rcc rId="8001" sId="18" odxf="1" dxf="1">
    <nc r="D29">
      <f>E29</f>
    </nc>
    <odxf>
      <font>
        <b/>
        <sz val="14"/>
        <color auto="1"/>
        <name val="Times New Roman"/>
        <scheme val="none"/>
      </font>
    </odxf>
    <ndxf>
      <font>
        <b val="0"/>
        <sz val="14"/>
        <color auto="1"/>
        <name val="Times New Roman"/>
        <scheme val="none"/>
      </font>
    </ndxf>
  </rcc>
  <rcc rId="8002" sId="18" odxf="1" dxf="1">
    <nc r="E29">
      <f>SUM(I29,K29,M29,O29,Q29,S29,U29,W29,Y29,AA29,AC29,AE29)</f>
    </nc>
    <odxf>
      <font>
        <b/>
        <sz val="14"/>
        <color auto="1"/>
        <name val="Times New Roman"/>
        <scheme val="none"/>
      </font>
    </odxf>
    <ndxf>
      <font>
        <b val="0"/>
        <sz val="14"/>
        <color auto="1"/>
        <name val="Times New Roman"/>
        <scheme val="none"/>
      </font>
    </ndxf>
  </rcc>
  <rcc rId="8003" sId="18" odxf="1" dxf="1">
    <nc r="F29">
      <f>IFERROR(E29/B29*100,0)</f>
    </nc>
    <odxf>
      <font>
        <b/>
        <sz val="14"/>
        <color auto="1"/>
        <name val="Times New Roman"/>
        <scheme val="none"/>
      </font>
    </odxf>
    <ndxf>
      <font>
        <b val="0"/>
        <sz val="14"/>
        <color auto="1"/>
        <name val="Times New Roman"/>
        <scheme val="none"/>
      </font>
    </ndxf>
  </rcc>
  <rcc rId="8004" sId="18" odxf="1" dxf="1">
    <nc r="G29">
      <f>IFERROR(E29/C29*100,0)</f>
    </nc>
    <odxf>
      <font>
        <b/>
        <sz val="14"/>
        <color auto="1"/>
        <name val="Times New Roman"/>
        <scheme val="none"/>
      </font>
    </odxf>
    <ndxf>
      <font>
        <b val="0"/>
        <sz val="14"/>
        <color auto="1"/>
        <name val="Times New Roman"/>
        <scheme val="none"/>
      </font>
    </ndxf>
  </rcc>
  <rcc rId="8005" sId="18">
    <oc r="B28">
      <f>SUM(B30:B30)</f>
    </oc>
    <nc r="B28">
      <f>B29+B30</f>
    </nc>
  </rcc>
  <rcc rId="8006" sId="18">
    <oc r="C28">
      <f>SUM(C30:C30)</f>
    </oc>
    <nc r="C28">
      <f>C29+C30</f>
    </nc>
  </rcc>
  <rcc rId="8007" sId="18">
    <oc r="D28">
      <f>SUM(D30:D30)</f>
    </oc>
    <nc r="D28">
      <f>D29+D30</f>
    </nc>
  </rcc>
  <rcc rId="8008" sId="18">
    <oc r="E28">
      <f>SUM(E30:E30)</f>
    </oc>
    <nc r="E28">
      <f>E29+E30</f>
    </nc>
  </rcc>
  <rcc rId="8009" sId="18">
    <oc r="H28">
      <f>SUM(H30:H30)</f>
    </oc>
    <nc r="H28">
      <f>H29+H30</f>
    </nc>
  </rcc>
  <rcc rId="8010" sId="18">
    <oc r="I28">
      <f>SUM(I30:I30)</f>
    </oc>
    <nc r="I28">
      <f>I29+I30</f>
    </nc>
  </rcc>
  <rcc rId="8011" sId="18">
    <oc r="J28">
      <f>SUM(J30:J30)</f>
    </oc>
    <nc r="J28">
      <f>J29+J30</f>
    </nc>
  </rcc>
  <rcc rId="8012" sId="18">
    <oc r="K28">
      <f>SUM(K30:K30)</f>
    </oc>
    <nc r="K28">
      <f>K29+K30</f>
    </nc>
  </rcc>
  <rcc rId="8013" sId="18">
    <oc r="L28">
      <f>SUM(L30:L30)</f>
    </oc>
    <nc r="L28">
      <f>L29+L30</f>
    </nc>
  </rcc>
  <rcc rId="8014" sId="18">
    <oc r="M28">
      <f>SUM(M30:M30)</f>
    </oc>
    <nc r="M28">
      <f>M29+M30</f>
    </nc>
  </rcc>
  <rcc rId="8015" sId="18">
    <oc r="N28">
      <f>SUM(N30:N30)</f>
    </oc>
    <nc r="N28">
      <f>N29+N30</f>
    </nc>
  </rcc>
  <rcc rId="8016" sId="18">
    <oc r="O28">
      <f>SUM(O30:O30)</f>
    </oc>
    <nc r="O28">
      <f>O29+O30</f>
    </nc>
  </rcc>
  <rcc rId="8017" sId="18">
    <oc r="P28">
      <f>SUM(P30:P30)</f>
    </oc>
    <nc r="P28">
      <f>P29+P30</f>
    </nc>
  </rcc>
  <rcc rId="8018" sId="18">
    <oc r="Q28">
      <f>SUM(Q30:Q30)</f>
    </oc>
    <nc r="Q28">
      <f>Q29+Q30</f>
    </nc>
  </rcc>
  <rcc rId="8019" sId="18">
    <oc r="R28">
      <f>SUM(R30:R30)</f>
    </oc>
    <nc r="R28">
      <f>R29+R30</f>
    </nc>
  </rcc>
  <rcc rId="8020" sId="18">
    <oc r="S28">
      <f>SUM(S30:S30)</f>
    </oc>
    <nc r="S28">
      <f>S29+S30</f>
    </nc>
  </rcc>
  <rcc rId="8021" sId="18">
    <oc r="T28">
      <f>SUM(T30:T30)</f>
    </oc>
    <nc r="T28">
      <f>T29+T30</f>
    </nc>
  </rcc>
  <rcc rId="8022" sId="18">
    <oc r="U28">
      <f>SUM(U30:U30)</f>
    </oc>
    <nc r="U28">
      <f>U29+U30</f>
    </nc>
  </rcc>
  <rcc rId="8023" sId="18">
    <oc r="V28">
      <f>SUM(V30:V30)</f>
    </oc>
    <nc r="V28">
      <f>V29+V30</f>
    </nc>
  </rcc>
  <rcc rId="8024" sId="18">
    <oc r="W28">
      <f>SUM(W30:W30)</f>
    </oc>
    <nc r="W28">
      <f>W29+W30</f>
    </nc>
  </rcc>
  <rcc rId="8025" sId="18">
    <oc r="X28">
      <f>SUM(X30:X30)</f>
    </oc>
    <nc r="X28">
      <f>X29+X30</f>
    </nc>
  </rcc>
  <rcc rId="8026" sId="18">
    <oc r="Y28">
      <f>SUM(Y30:Y30)</f>
    </oc>
    <nc r="Y28">
      <f>Y29+Y30</f>
    </nc>
  </rcc>
  <rcc rId="8027" sId="18">
    <oc r="Z28">
      <f>SUM(Z30:Z30)</f>
    </oc>
    <nc r="Z28">
      <f>Z29+Z30</f>
    </nc>
  </rcc>
  <rcc rId="8028" sId="18">
    <oc r="AA28">
      <f>SUM(AA30:AA30)</f>
    </oc>
    <nc r="AA28">
      <f>AA29+AA30</f>
    </nc>
  </rcc>
  <rcc rId="8029" sId="18">
    <oc r="AB28">
      <f>SUM(AB30:AB30)</f>
    </oc>
    <nc r="AB28">
      <f>AB29+AB30</f>
    </nc>
  </rcc>
  <rcc rId="8030" sId="18">
    <oc r="AC28">
      <f>SUM(AC30:AC30)</f>
    </oc>
    <nc r="AC28">
      <f>AC29+AC30</f>
    </nc>
  </rcc>
  <rcc rId="8031" sId="18">
    <oc r="AD28">
      <f>SUM(AD30:AD30)</f>
    </oc>
    <nc r="AD28">
      <f>AD29+AD30</f>
    </nc>
  </rcc>
  <rcc rId="8032" sId="18">
    <oc r="AE28">
      <f>SUM(AE30:AE30)</f>
    </oc>
    <nc r="AE28">
      <f>AE29+AE30</f>
    </nc>
  </rcc>
  <rcc rId="8033" sId="18" numFmtId="4">
    <nc r="P29">
      <v>44.896000000000001</v>
    </nc>
  </rcc>
  <rfmt sheetId="18" sqref="P29" start="0" length="2147483647">
    <dxf>
      <font>
        <b val="0"/>
      </font>
    </dxf>
  </rfmt>
</revisions>
</file>

<file path=xl/revisions/revisionLog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248" sId="22">
    <oc r="D2" t="inlineStr">
      <is>
        <t>Профинансировано на 0106.2024</t>
      </is>
    </oc>
    <nc r="D2" t="inlineStr">
      <is>
        <t>Профинансировано на 01.07.2024</t>
      </is>
    </nc>
  </rcc>
  <rcc rId="6249" sId="22">
    <oc r="C2" t="inlineStr">
      <is>
        <t>План на 01/06/2024</t>
      </is>
    </oc>
    <nc r="C2" t="inlineStr">
      <is>
        <t>План на 01.07.2024</t>
      </is>
    </nc>
  </rcc>
  <rcc rId="6250" sId="22">
    <oc r="E2" t="inlineStr">
      <is>
        <t>Кассовый расход на  01.06.2024</t>
      </is>
    </oc>
    <nc r="E2" t="inlineStr">
      <is>
        <t>Кассовый расход на  01.07.2024</t>
      </is>
    </nc>
  </rcc>
  <rcc rId="6251" sId="22" numFmtId="4">
    <oc r="B14">
      <v>23064.12</v>
    </oc>
    <nc r="B14">
      <v>23028.33</v>
    </nc>
  </rcc>
  <rcc rId="6252" sId="22" numFmtId="4">
    <oc r="B17">
      <v>10551.5</v>
    </oc>
    <nc r="B17">
      <v>10515.7</v>
    </nc>
  </rcc>
  <rcc rId="6253" sId="22" numFmtId="4">
    <oc r="B18">
      <f>B25</f>
    </oc>
    <nc r="B18">
      <v>3128.15</v>
    </nc>
  </rcc>
  <rcc rId="6254" sId="22" numFmtId="4">
    <oc r="C14">
      <v>9878.57</v>
    </oc>
    <nc r="C14">
      <v>14050.88</v>
    </nc>
  </rcc>
  <rcc rId="6255" sId="22" numFmtId="4">
    <oc r="D14">
      <v>9878.56</v>
    </oc>
    <nc r="D14">
      <v>14050.88</v>
    </nc>
  </rcc>
  <rcc rId="6256" sId="22" numFmtId="4">
    <oc r="E14">
      <v>9878.56</v>
    </oc>
    <nc r="E14">
      <v>14050.88</v>
    </nc>
  </rcc>
  <rcc rId="6257" sId="22" numFmtId="4">
    <oc r="C15">
      <v>3076.35</v>
    </oc>
    <nc r="C15">
      <v>4375.68</v>
    </nc>
  </rcc>
  <rcc rId="6258" sId="22" numFmtId="4">
    <oc r="D15">
      <v>3076.35</v>
    </oc>
    <nc r="D15">
      <v>4375.68</v>
    </nc>
  </rcc>
  <rcc rId="6259" sId="22" numFmtId="4">
    <oc r="E15">
      <v>3076.35</v>
    </oc>
    <nc r="E15">
      <v>4375.68</v>
    </nc>
  </rcc>
  <rcc rId="6260" sId="22" numFmtId="4">
    <oc r="C16">
      <v>4826.5</v>
    </oc>
    <nc r="C16">
      <v>6865.02</v>
    </nc>
  </rcc>
  <rfmt sheetId="22" xfDxf="1" s="1" sqref="D16" start="0" length="0">
    <dxf>
      <font>
        <b val="0"/>
        <i val="0"/>
        <strike val="0"/>
        <condense val="0"/>
        <extend val="0"/>
        <outline val="0"/>
        <shadow val="0"/>
        <u val="none"/>
        <vertAlign val="baseline"/>
        <sz val="12"/>
        <color auto="1"/>
        <name val="Times New Roman"/>
        <scheme val="none"/>
      </font>
      <numFmt numFmtId="172"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rfmt>
  <rfmt sheetId="22" xfDxf="1" s="1" sqref="D16" start="0" length="0">
    <dxf>
      <font>
        <b val="0"/>
        <i val="0"/>
        <strike val="0"/>
        <condense val="0"/>
        <extend val="0"/>
        <outline val="0"/>
        <shadow val="0"/>
        <u val="none"/>
        <vertAlign val="baseline"/>
        <sz val="12"/>
        <color auto="1"/>
        <name val="Times New Roman"/>
        <scheme val="none"/>
      </font>
      <numFmt numFmtId="172"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rfmt>
  <rcc rId="6261" sId="22" numFmtId="4">
    <oc r="D16">
      <v>4826.5</v>
    </oc>
    <nc r="D16">
      <v>6865.02</v>
    </nc>
  </rcc>
  <rcc rId="6262" sId="22" numFmtId="4">
    <oc r="E16">
      <v>4826.5</v>
    </oc>
    <nc r="E16">
      <v>6865.02</v>
    </nc>
  </rcc>
  <rcc rId="6263" sId="22" numFmtId="4">
    <oc r="C17">
      <v>1975.71</v>
    </oc>
    <nc r="C17">
      <v>2810.17</v>
    </nc>
  </rcc>
  <rcc rId="6264" sId="22" numFmtId="4">
    <oc r="D17">
      <v>1975.71</v>
    </oc>
    <nc r="D17">
      <v>2810.17</v>
    </nc>
  </rcc>
  <rcc rId="6265" sId="22" numFmtId="4">
    <oc r="E17">
      <v>1975.71</v>
    </oc>
    <nc r="E17">
      <v>2810.17</v>
    </nc>
  </rcc>
  <rcc rId="6266" sId="22" numFmtId="4">
    <oc r="C18">
      <v>1975.71</v>
    </oc>
    <nc r="C18">
      <v>2810.17</v>
    </nc>
  </rcc>
  <rcc rId="6267" sId="22" numFmtId="4">
    <oc r="D18">
      <v>1975.71</v>
    </oc>
    <nc r="D18">
      <v>2810.17</v>
    </nc>
  </rcc>
  <rcc rId="6268" sId="22" numFmtId="4">
    <oc r="E18">
      <v>1975.71</v>
    </oc>
    <nc r="E18">
      <v>2810.17</v>
    </nc>
  </rcc>
  <rfmt sheetId="22" sqref="L14" start="0" length="0">
    <dxf>
      <font>
        <b val="0"/>
        <sz val="12"/>
        <color auto="1"/>
        <name val="Times New Roman"/>
        <scheme val="none"/>
      </font>
      <numFmt numFmtId="172" formatCode="#,##0.00_р_."/>
      <alignment wrapText="1" readingOrder="0"/>
    </dxf>
  </rfmt>
  <rcc rId="6269" sId="22" numFmtId="4">
    <oc r="L14">
      <f>L15+L16+L17+L19</f>
    </oc>
    <nc r="L14">
      <v>0</v>
    </nc>
  </rcc>
  <rcc rId="6270" sId="22" numFmtId="4">
    <oc r="L17">
      <f>L24</f>
    </oc>
    <nc r="L17">
      <v>0</v>
    </nc>
  </rcc>
  <rcc rId="6271" sId="22" numFmtId="4">
    <oc r="Q14">
      <v>9878.56</v>
    </oc>
    <nc r="Q14">
      <v>9878.57</v>
    </nc>
  </rcc>
  <rcc rId="6272" sId="22" numFmtId="4">
    <oc r="R14">
      <f>R15+R16+R17+R19</f>
    </oc>
    <nc r="R14">
      <v>4172.3100000000004</v>
    </nc>
  </rcc>
  <rcc rId="6273" sId="22" numFmtId="4">
    <oc r="R15">
      <f>R22</f>
    </oc>
    <nc r="R15">
      <v>1299.33</v>
    </nc>
  </rcc>
  <rcc rId="6274" sId="22" numFmtId="4">
    <oc r="S14">
      <f>S15+S16+S17+S19</f>
    </oc>
    <nc r="S14">
      <v>4172.3100000000004</v>
    </nc>
  </rcc>
  <rcc rId="6275" sId="22" numFmtId="4">
    <oc r="S15">
      <f>S22</f>
    </oc>
    <nc r="S15">
      <v>1299.33</v>
    </nc>
  </rcc>
  <rcc rId="6276" sId="22" numFmtId="4">
    <oc r="R16">
      <f>R23</f>
    </oc>
    <nc r="R16">
      <v>2038.52</v>
    </nc>
  </rcc>
  <rcc rId="6277" sId="22" numFmtId="4">
    <oc r="S16">
      <f>S23</f>
    </oc>
    <nc r="S16">
      <v>2038.52</v>
    </nc>
  </rcc>
  <rcc rId="6278" sId="22" numFmtId="4">
    <oc r="R17">
      <f>R24</f>
    </oc>
    <nc r="R17">
      <v>834.46</v>
    </nc>
  </rcc>
  <rcc rId="6279" sId="22" numFmtId="4">
    <oc r="R18">
      <f>R25</f>
    </oc>
    <nc r="R18">
      <v>834.46</v>
    </nc>
  </rcc>
  <rcc rId="6280" sId="22" numFmtId="4">
    <oc r="S17">
      <f>S24</f>
    </oc>
    <nc r="S17">
      <v>834.46</v>
    </nc>
  </rcc>
  <rcc rId="6281" sId="22" numFmtId="4">
    <oc r="S18">
      <f>S25</f>
    </oc>
    <nc r="S18">
      <v>834.46</v>
    </nc>
  </rcc>
  <rcv guid="{442F2C94-DD1B-4A01-8694-513D4D6F3BD9}" action="delete"/>
  <rdn rId="0" localSheetId="2" customView="1" name="Z_442F2C94_DD1B_4A01_8694_513D4D6F3BD9_.wvu.Rows" hidden="1" oldHidden="1">
    <formula>'1.СЗН'!$69:$73</formula>
    <oldFormula>'1.СЗН'!$69:$73</oldFormula>
  </rdn>
  <rdn rId="0" localSheetId="2" customView="1" name="Z_442F2C94_DD1B_4A01_8694_513D4D6F3BD9_.wvu.FilterData" hidden="1" oldHidden="1">
    <formula>'1.СЗН'!$A$1:$AF$63</formula>
    <oldFormula>'1.СЗН'!$A$1:$AF$63</oldFormula>
  </rdn>
  <rdn rId="0" localSheetId="3" customView="1" name="Z_442F2C94_DD1B_4A01_8694_513D4D6F3BD9_.wvu.FilterData" hidden="1" oldHidden="1">
    <formula>'2.АПК'!$A$1:$AF$36</formula>
    <oldFormula>'2.АПК'!$A$1:$AF$36</oldFormula>
  </rdn>
  <rdn rId="0" localSheetId="4" customView="1" name="Z_442F2C94_DD1B_4A01_8694_513D4D6F3BD9_.wvu.FilterData" hidden="1" oldHidden="1">
    <formula>'3.БЖД'!$A$1:$AF$17</formula>
    <oldFormula>'3.БЖД'!$A$1:$AF$17</oldFormula>
  </rdn>
  <rdn rId="0" localSheetId="5" customView="1" name="Z_442F2C94_DD1B_4A01_8694_513D4D6F3BD9_.wvu.FilterData" hidden="1" oldHidden="1">
    <formula>'4.УМИ'!$A$1:$AF$11</formula>
    <oldFormula>'4.УМИ'!$A$1:$AF$11</oldFormula>
  </rdn>
  <rdn rId="0" localSheetId="6" customView="1" name="Z_442F2C94_DD1B_4A01_8694_513D4D6F3BD9_.wvu.FilterData" hidden="1" oldHidden="1">
    <formula>'5.Проф. прав.'!$A$1:$AF$12</formula>
    <oldFormula>'5.Проф. прав.'!$A$1:$AF$12</oldFormula>
  </rdn>
  <rdn rId="0" localSheetId="7" customView="1" name="Z_442F2C94_DD1B_4A01_8694_513D4D6F3BD9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442F2C94_DD1B_4A01_8694_513D4D6F3BD9_.wvu.FilterData" hidden="1" oldHidden="1">
    <formula>'6.Экстримизм'!$A$1:$AF$11</formula>
    <oldFormula>'6.Экстримизм'!$A$1:$AF$11</oldFormula>
  </rdn>
  <rdn rId="0" localSheetId="14" customView="1" name="Z_442F2C94_DD1B_4A01_8694_513D4D6F3BD9_.wvu.FilterData" hidden="1" oldHidden="1">
    <formula>'11.МП РО'!$A$4:$A$380</formula>
    <oldFormula>'11.МП РО'!$A$4:$A$380</oldFormula>
  </rdn>
  <rdn rId="0" localSheetId="17" customView="1" name="Z_442F2C94_DD1B_4A01_8694_513D4D6F3BD9_.wvu.Rows" hidden="1" oldHidden="1">
    <formula>'13.МП РЖС'!$122:$127</formula>
    <oldFormula>'13.МП РЖС'!$122:$127</oldFormula>
  </rdn>
  <rdn rId="0" localSheetId="17" customView="1" name="Z_442F2C94_DD1B_4A01_8694_513D4D6F3BD9_.wvu.Cols" hidden="1" oldHidden="1">
    <formula>'13.МП РЖС'!$AG:$AG</formula>
    <oldFormula>'13.МП РЖС'!$AG:$AG</oldFormula>
  </rdn>
  <rcv guid="{442F2C94-DD1B-4A01-8694-513D4D6F3BD9}" action="add"/>
</revisions>
</file>

<file path=xl/revisions/revisionLog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293" sId="4">
    <oc r="B61">
      <f>B62+B64</f>
    </oc>
    <nc r="B61">
      <f>B62+B64+B63</f>
    </nc>
  </rcc>
</revisions>
</file>

<file path=xl/revisions/revisionLog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294" sId="4">
    <oc r="D20">
      <f>I20</f>
    </oc>
    <nc r="D20">
      <f>H20+J20+L20+N20+P20+R20</f>
    </nc>
  </rcc>
  <rcc rId="6295" sId="4">
    <oc r="E20">
      <f>I20</f>
    </oc>
    <nc r="E20">
      <f>I20+K20+M20+O20+Q20+S20</f>
    </nc>
  </rcc>
  <rfmt sheetId="4" sqref="C19:E20" start="0" length="2147483647">
    <dxf>
      <font>
        <color auto="1"/>
      </font>
    </dxf>
  </rfmt>
  <rfmt sheetId="4" sqref="B61:E61" start="0" length="2147483647">
    <dxf>
      <font>
        <color auto="1"/>
      </font>
    </dxf>
  </rfmt>
  <rcc rId="6296" sId="4">
    <oc r="L61">
      <f>L62+L64</f>
    </oc>
    <nc r="L61">
      <f>L62+L64</f>
    </nc>
  </rcc>
  <rcc rId="6297" sId="4">
    <oc r="L62">
      <f>L23+L40+L57</f>
    </oc>
    <nc r="L62">
      <f>L23+L40+L57</f>
    </nc>
  </rcc>
</revisions>
</file>

<file path=xl/revisions/revisionLog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298" sId="4" numFmtId="19">
    <oc r="C5">
      <v>45444</v>
    </oc>
    <nc r="C5">
      <v>45474</v>
    </nc>
  </rcc>
  <rcc rId="6299" sId="4" numFmtId="19">
    <oc r="D5">
      <v>45444</v>
    </oc>
    <nc r="D5">
      <v>45474</v>
    </nc>
  </rcc>
  <rcc rId="6300" sId="4" numFmtId="19">
    <oc r="E5">
      <v>45444</v>
    </oc>
    <nc r="E5">
      <v>45474</v>
    </nc>
  </rcc>
</revisions>
</file>

<file path=xl/revisions/revisionLog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301" sId="22" numFmtId="4">
    <oc r="V14">
      <v>13185.55</v>
    </oc>
    <nc r="V14">
      <v>8977.4500000000007</v>
    </nc>
  </rcc>
  <rcc rId="6302" sId="22" numFmtId="4">
    <oc r="V15">
      <v>1794.45</v>
    </oc>
    <nc r="V15">
      <v>495.12</v>
    </nc>
  </rcc>
  <rcc rId="6303" sId="22" numFmtId="4">
    <oc r="V16">
      <v>2815.32</v>
    </oc>
    <nc r="V16">
      <v>776.8</v>
    </nc>
  </rcc>
  <rcc rId="6304" sId="22" numFmtId="4">
    <oc r="V17">
      <v>8575.7900000000009</v>
    </oc>
    <nc r="V17">
      <v>7705.53</v>
    </nc>
  </rcc>
  <rcc rId="6305" sId="22" numFmtId="4">
    <oc r="V18">
      <v>1152.49</v>
    </oc>
    <nc r="V18">
      <v>317.98</v>
    </nc>
  </rcc>
  <rcc rId="6306" sId="22" numFmtId="4">
    <oc r="B21">
      <v>23064.12</v>
    </oc>
    <nc r="B21">
      <v>23028.33</v>
    </nc>
  </rcc>
  <rcc rId="6307" sId="22" numFmtId="4">
    <oc r="B24">
      <v>10551.5</v>
    </oc>
    <nc r="B24">
      <v>10515.7</v>
    </nc>
  </rcc>
  <rcc rId="6308" sId="22" numFmtId="4">
    <oc r="B25">
      <v>3128.2</v>
    </oc>
    <nc r="B25">
      <v>3128.15</v>
    </nc>
  </rcc>
  <rcc rId="6309" sId="22" numFmtId="4">
    <oc r="C21">
      <v>9878.57</v>
    </oc>
    <nc r="C21">
      <v>14050.88</v>
    </nc>
  </rcc>
  <rcc rId="6310" sId="22" numFmtId="4">
    <oc r="E21">
      <v>9878.56</v>
    </oc>
    <nc r="E21">
      <v>14050.88</v>
    </nc>
  </rcc>
  <rcc rId="6311" sId="22" numFmtId="4">
    <oc r="D21">
      <v>9878.56</v>
    </oc>
    <nc r="D21">
      <v>14050.88</v>
    </nc>
  </rcc>
  <rcc rId="6312" sId="22" numFmtId="4">
    <oc r="C22">
      <v>3076.35</v>
    </oc>
    <nc r="C22">
      <v>4375.68</v>
    </nc>
  </rcc>
  <rcc rId="6313" sId="22" numFmtId="4">
    <oc r="D22">
      <v>3076.35</v>
    </oc>
    <nc r="D22">
      <v>4375.68</v>
    </nc>
  </rcc>
  <rcc rId="6314" sId="22" numFmtId="4">
    <oc r="E22">
      <v>3076.35</v>
    </oc>
    <nc r="E22">
      <v>4375.68</v>
    </nc>
  </rcc>
  <rcc rId="6315" sId="22" numFmtId="4">
    <oc r="C23">
      <v>4826.5</v>
    </oc>
    <nc r="C23">
      <v>6865.02</v>
    </nc>
  </rcc>
  <rcc rId="6316" sId="22" numFmtId="4">
    <oc r="D23">
      <v>4826.5</v>
    </oc>
    <nc r="D23">
      <v>6865.02</v>
    </nc>
  </rcc>
  <rcc rId="6317" sId="22" numFmtId="4">
    <oc r="E23">
      <v>4826.5</v>
    </oc>
    <nc r="E23">
      <v>6865.02</v>
    </nc>
  </rcc>
  <rcc rId="6318" sId="22" numFmtId="4">
    <oc r="C24">
      <v>1975.71</v>
    </oc>
    <nc r="C24">
      <v>2810.17</v>
    </nc>
  </rcc>
  <rcc rId="6319" sId="22" numFmtId="4">
    <oc r="C25">
      <v>1975.71</v>
    </oc>
    <nc r="C25">
      <v>2810.17</v>
    </nc>
  </rcc>
  <rcc rId="6320" sId="22" numFmtId="4">
    <oc r="D24">
      <v>1975.71</v>
    </oc>
    <nc r="D24">
      <v>2810.17</v>
    </nc>
  </rcc>
  <rcc rId="6321" sId="22" numFmtId="4">
    <oc r="E24">
      <v>1975.71</v>
    </oc>
    <nc r="E24">
      <v>2810.17</v>
    </nc>
  </rcc>
  <rcc rId="6322" sId="22" numFmtId="4">
    <oc r="D25">
      <v>1975.71</v>
    </oc>
    <nc r="D25">
      <v>2810.17</v>
    </nc>
  </rcc>
  <rcc rId="6323" sId="22" numFmtId="4">
    <oc r="E25">
      <v>1975.71</v>
    </oc>
    <nc r="E25">
      <v>2810.17</v>
    </nc>
  </rcc>
  <rcc rId="6324" sId="22" numFmtId="4">
    <oc r="L21">
      <f>L22+L23+L24+L26</f>
    </oc>
    <nc r="L21">
      <v>0</v>
    </nc>
  </rcc>
  <rcc rId="6325" sId="22" numFmtId="4">
    <oc r="L24">
      <v>130</v>
    </oc>
    <nc r="L24">
      <v>0</v>
    </nc>
  </rcc>
  <rcc rId="6326" sId="22" numFmtId="4">
    <oc r="Q21">
      <v>9878.56</v>
    </oc>
    <nc r="Q21">
      <v>9878.57</v>
    </nc>
  </rcc>
  <rcc rId="6327" sId="22" numFmtId="4">
    <oc r="R21">
      <f>R22+R23+R24+R26</f>
    </oc>
    <nc r="R21">
      <v>4172.3100000000004</v>
    </nc>
  </rcc>
  <rcc rId="6328" sId="22" numFmtId="4">
    <oc r="S21">
      <f>S22+S23+S24+S26</f>
    </oc>
    <nc r="S21">
      <v>4172.3100000000004</v>
    </nc>
  </rcc>
  <rcc rId="6329" sId="22" numFmtId="4">
    <oc r="R22">
      <v>0</v>
    </oc>
    <nc r="R22">
      <v>1299.33</v>
    </nc>
  </rcc>
  <rcc rId="6330" sId="22" numFmtId="4">
    <oc r="S22">
      <v>0</v>
    </oc>
    <nc r="S22">
      <v>1299.33</v>
    </nc>
  </rcc>
  <rcc rId="6331" sId="22" numFmtId="4">
    <oc r="R23">
      <v>0</v>
    </oc>
    <nc r="R23">
      <v>2038.52</v>
    </nc>
  </rcc>
  <rcc rId="6332" sId="22" numFmtId="4">
    <oc r="S23">
      <v>0</v>
    </oc>
    <nc r="S23">
      <v>2038.52</v>
    </nc>
  </rcc>
  <rcc rId="6333" sId="22" numFmtId="4">
    <oc r="R24">
      <v>0</v>
    </oc>
    <nc r="R24">
      <v>834.46</v>
    </nc>
  </rcc>
  <rcc rId="6334" sId="22" numFmtId="4">
    <oc r="R25">
      <v>0</v>
    </oc>
    <nc r="R25">
      <v>834.46</v>
    </nc>
  </rcc>
  <rcc rId="6335" sId="22" numFmtId="4">
    <oc r="S24">
      <v>0</v>
    </oc>
    <nc r="S24">
      <v>834.46</v>
    </nc>
  </rcc>
  <rcc rId="6336" sId="22" numFmtId="4">
    <oc r="S25">
      <v>0</v>
    </oc>
    <nc r="S25">
      <v>834.46</v>
    </nc>
  </rcc>
  <rcc rId="6337" sId="22" numFmtId="4">
    <oc r="V21">
      <v>13185.55</v>
    </oc>
    <nc r="V21">
      <v>8977.4500000000007</v>
    </nc>
  </rcc>
  <rcc rId="6338" sId="22" numFmtId="4">
    <oc r="V22">
      <v>1794.45</v>
    </oc>
    <nc r="V22">
      <v>495.12</v>
    </nc>
  </rcc>
  <rcc rId="6339" sId="22" numFmtId="4">
    <oc r="V23">
      <v>2815.32</v>
    </oc>
    <nc r="V23">
      <v>776.8</v>
    </nc>
  </rcc>
  <rcc rId="6340" sId="22" numFmtId="4">
    <oc r="V24">
      <v>8575.7900000000009</v>
    </oc>
    <nc r="V24">
      <v>7705.53</v>
    </nc>
  </rcc>
  <rcc rId="6341" sId="22" numFmtId="4">
    <oc r="V25">
      <v>1152.49</v>
    </oc>
    <nc r="V25">
      <v>317.98</v>
    </nc>
  </rcc>
</revisions>
</file>

<file path=xl/revisions/revisionLog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342" sId="22" numFmtId="4">
    <oc r="C28">
      <f>C29+C30+C31+C32+C33</f>
    </oc>
    <nc r="C28">
      <v>9732.0400000000009</v>
    </nc>
  </rcc>
  <rcc rId="6343" sId="22" numFmtId="4">
    <oc r="C30">
      <f>H30+J30+L30+N30+P30</f>
    </oc>
    <nc r="C30">
      <v>4799.99</v>
    </nc>
  </rcc>
  <rcc rId="6344" sId="22" numFmtId="4">
    <oc r="C31">
      <f>H31+J31+L31+N31+P31</f>
    </oc>
    <nc r="C31">
      <v>4932.05</v>
    </nc>
  </rcc>
  <rcc rId="6345" sId="22" numFmtId="4">
    <oc r="C32">
      <f>H32+J32+L32+N32+P32</f>
    </oc>
    <nc r="C32">
      <v>1500</v>
    </nc>
  </rcc>
  <rcc rId="6346" sId="22" numFmtId="4">
    <nc r="E28">
      <v>9120.59</v>
    </nc>
  </rcc>
  <rcc rId="6347" sId="22" numFmtId="4">
    <oc r="E30">
      <v>0</v>
    </oc>
    <nc r="E30">
      <v>4188.54</v>
    </nc>
  </rcc>
  <rcc rId="6348" sId="22" numFmtId="4">
    <oc r="E31">
      <v>0</v>
    </oc>
    <nc r="E31">
      <v>4932.05</v>
    </nc>
  </rcc>
  <rcc rId="6349" sId="22" numFmtId="4">
    <oc r="E32">
      <v>0</v>
    </oc>
    <nc r="E32">
      <v>1500</v>
    </nc>
  </rcc>
  <rcc rId="6350" sId="22" numFmtId="4">
    <oc r="R28">
      <f>R29+R30+R31+R33</f>
    </oc>
    <nc r="R28">
      <v>9732.0400000000009</v>
    </nc>
  </rcc>
  <rcc rId="6351" sId="22" numFmtId="4">
    <oc r="S28">
      <f>S29+S30+S31+S33</f>
    </oc>
    <nc r="S28">
      <v>9120.59</v>
    </nc>
  </rcc>
  <rcc rId="6352" sId="22" numFmtId="4">
    <oc r="R32">
      <v>0</v>
    </oc>
    <nc r="R32">
      <v>1500</v>
    </nc>
  </rcc>
  <rcc rId="6353" sId="22" numFmtId="4">
    <oc r="R31">
      <v>0</v>
    </oc>
    <nc r="R31">
      <v>4932.05</v>
    </nc>
  </rcc>
  <rcc rId="6354" sId="22" numFmtId="4">
    <oc r="R30">
      <v>0</v>
    </oc>
    <nc r="R30">
      <v>4799.99</v>
    </nc>
  </rcc>
  <rcc rId="6355" sId="22" numFmtId="4">
    <oc r="S30">
      <v>0</v>
    </oc>
    <nc r="S30">
      <v>4188.54</v>
    </nc>
  </rcc>
  <rcc rId="6356" sId="22" numFmtId="4">
    <oc r="S31">
      <v>0</v>
    </oc>
    <nc r="S31">
      <v>4932.05</v>
    </nc>
  </rcc>
  <rcc rId="6357" sId="22" numFmtId="4">
    <oc r="S32">
      <v>0</v>
    </oc>
    <nc r="S32">
      <v>1500</v>
    </nc>
  </rcc>
  <rcc rId="6358" sId="22" numFmtId="4">
    <oc r="Z28">
      <v>21775.13</v>
    </oc>
    <nc r="Z28">
      <v>12043.09</v>
    </nc>
  </rcc>
  <rcc rId="6359" sId="22" numFmtId="4">
    <oc r="Z30">
      <v>10000</v>
    </oc>
    <nc r="Z30">
      <v>5200.01</v>
    </nc>
  </rcc>
  <rcc rId="6360" sId="22" numFmtId="4">
    <oc r="Z31">
      <v>11775.13</v>
    </oc>
    <nc r="Z31">
      <v>6843.08</v>
    </nc>
  </rcc>
  <rcc rId="6361" sId="22" numFmtId="4">
    <oc r="Z32">
      <v>1500</v>
    </oc>
    <nc r="Z32">
      <v>0</v>
    </nc>
  </rcc>
  <rcc rId="6362" sId="22" numFmtId="4">
    <oc r="B43">
      <v>25472.400000000001</v>
    </oc>
    <nc r="B43">
      <v>47346.3</v>
    </nc>
  </rcc>
  <rcc rId="6363" sId="22" numFmtId="4">
    <oc r="D43">
      <v>875.94</v>
    </oc>
    <nc r="D43">
      <v>1473.04</v>
    </nc>
  </rcc>
  <rcc rId="6364" sId="22" numFmtId="4">
    <oc r="E43">
      <v>875.94</v>
    </oc>
    <nc r="E43">
      <v>1472.95</v>
    </nc>
  </rcc>
  <rcc rId="6365" sId="22" numFmtId="4">
    <oc r="B46">
      <v>25472.400000000001</v>
    </oc>
    <nc r="B46">
      <v>31810.3</v>
    </nc>
  </rcc>
  <rcc rId="6366" sId="22" numFmtId="4">
    <oc r="D46">
      <v>875.94</v>
    </oc>
    <nc r="D46">
      <v>1473.04</v>
    </nc>
  </rcc>
  <rcc rId="6367" sId="22" numFmtId="4">
    <oc r="E46">
      <v>875.94</v>
    </oc>
    <nc r="E46">
      <v>1472.95</v>
    </nc>
  </rcc>
  <rcc rId="6368" sId="22" numFmtId="4">
    <oc r="B49">
      <v>275.60000000000002</v>
    </oc>
    <nc r="B49">
      <v>15811.6</v>
    </nc>
  </rcc>
  <rcc rId="6369" sId="22" numFmtId="4">
    <oc r="F49">
      <v>96.82</v>
    </oc>
    <nc r="F49">
      <v>1.69</v>
    </nc>
  </rcc>
  <rcc rId="6370" sId="22" numFmtId="4">
    <oc r="S46">
      <v>0</v>
    </oc>
    <nc r="S46">
      <v>597.01</v>
    </nc>
  </rcc>
  <rcc rId="6371" sId="22" numFmtId="4">
    <oc r="Z46">
      <v>21439.8</v>
    </oc>
    <nc r="Z46">
      <v>28535.599999999999</v>
    </nc>
  </rcc>
  <rcc rId="6372" sId="22" numFmtId="4">
    <oc r="AB46">
      <v>0</v>
    </oc>
    <nc r="AB46">
      <v>593.79999999999995</v>
    </nc>
  </rcc>
  <rcc rId="6373" sId="22" numFmtId="4">
    <oc r="AD46">
      <v>2550.8000000000002</v>
    </oc>
    <nc r="AD46">
      <v>1199.0999999999999</v>
    </nc>
  </rcc>
  <rcc rId="6374" sId="22" numFmtId="4">
    <oc r="AB49">
      <f>AB50+AB51+AB52+AB54</f>
    </oc>
    <nc r="AB49">
      <v>15536</v>
    </nc>
  </rcc>
  <rcc rId="6375" sId="22" numFmtId="4">
    <oc r="B55">
      <v>22646</v>
    </oc>
    <nc r="B55">
      <v>29741.8</v>
    </nc>
  </rcc>
  <rcc rId="6376" sId="22" numFmtId="4">
    <oc r="B58">
      <v>22646</v>
    </oc>
    <nc r="B58">
      <v>29741.8</v>
    </nc>
  </rcc>
  <rcc rId="6377" sId="22" numFmtId="4">
    <oc r="E55">
      <v>609.1</v>
    </oc>
    <nc r="E55">
      <v>1206.1099999999999</v>
    </nc>
  </rcc>
  <rcc rId="6378" sId="22" numFmtId="4">
    <oc r="E58">
      <v>609.1</v>
    </oc>
    <nc r="E58" t="inlineStr">
      <is>
        <t>1206.11</t>
      </is>
    </nc>
  </rcc>
  <rcc rId="6379" sId="22" numFmtId="4">
    <oc r="F58">
      <f>IFERROR(E58/B58%,0)</f>
    </oc>
    <nc r="F58">
      <v>4.0599999999999996</v>
    </nc>
  </rcc>
  <rcc rId="6380" sId="22" numFmtId="4">
    <oc r="G58">
      <f>IFERROR(E58/C58%,0)</f>
    </oc>
    <nc r="G58">
      <v>99.99</v>
    </nc>
  </rcc>
  <rcc rId="6381" sId="22" numFmtId="4">
    <oc r="S55">
      <f>S56+S57+S58+S60</f>
    </oc>
    <nc r="S55">
      <v>597.01</v>
    </nc>
  </rcc>
  <rcc rId="6382" sId="22" numFmtId="4">
    <oc r="S58">
      <v>0</v>
    </oc>
    <nc r="S58">
      <v>597.01</v>
    </nc>
  </rcc>
  <rcc rId="6383" sId="22" numFmtId="4">
    <oc r="V55">
      <v>8.76</v>
    </oc>
    <nc r="V55">
      <v>0</v>
    </nc>
  </rcc>
  <rcc rId="6384" sId="22" numFmtId="4">
    <oc r="Z55">
      <v>21439.8</v>
    </oc>
    <nc r="Z55">
      <v>28535.599999999999</v>
    </nc>
  </rcc>
  <rcc rId="6385" sId="22" numFmtId="4">
    <oc r="Z58">
      <v>21439.8</v>
    </oc>
    <nc r="Z58">
      <v>28535.599999999999</v>
    </nc>
  </rcc>
  <rcc rId="6386" sId="22" numFmtId="4">
    <oc r="B61">
      <v>2150.8000000000002</v>
    </oc>
    <nc r="B61">
      <v>799.1</v>
    </nc>
  </rcc>
  <rcc rId="6387" sId="22" numFmtId="4">
    <oc r="B64">
      <v>2150.8000000000002</v>
    </oc>
    <nc r="B64">
      <v>799.1</v>
    </nc>
  </rcc>
  <rcc rId="6388" sId="22" numFmtId="4">
    <oc r="B68">
      <v>400</v>
    </oc>
    <nc r="B68">
      <v>993.8</v>
    </nc>
  </rcc>
  <rcc rId="6389" sId="22" numFmtId="4">
    <oc r="B71">
      <v>400</v>
    </oc>
    <nc r="B71">
      <v>993.8</v>
    </nc>
  </rcc>
  <rfmt sheetId="22" sqref="R61" start="0" length="0">
    <dxf>
      <font>
        <b val="0"/>
        <sz val="12"/>
        <color auto="1"/>
        <name val="Times New Roman"/>
        <scheme val="none"/>
      </font>
      <numFmt numFmtId="4" formatCode="#,##0.00"/>
    </dxf>
  </rfmt>
  <rfmt sheetId="22" sqref="P62" start="0" length="0">
    <dxf>
      <font>
        <b/>
        <sz val="12"/>
        <color auto="1"/>
        <name val="Times New Roman"/>
        <scheme val="none"/>
      </font>
      <numFmt numFmtId="172" formatCode="#,##0.00_р_."/>
    </dxf>
  </rfmt>
  <rfmt sheetId="22" sqref="P63" start="0" length="0">
    <dxf>
      <font>
        <b/>
        <sz val="12"/>
        <color auto="1"/>
        <name val="Times New Roman"/>
        <scheme val="none"/>
      </font>
      <numFmt numFmtId="172" formatCode="#,##0.00_р_."/>
    </dxf>
  </rfmt>
  <rfmt sheetId="22" sqref="P64" start="0" length="0">
    <dxf>
      <font>
        <b/>
        <sz val="12"/>
        <color auto="1"/>
        <name val="Times New Roman"/>
        <scheme val="none"/>
      </font>
      <numFmt numFmtId="172" formatCode="#,##0.00_р_."/>
    </dxf>
  </rfmt>
  <rfmt sheetId="22" sqref="P65" start="0" length="0">
    <dxf>
      <font>
        <b/>
        <sz val="12"/>
        <color auto="1"/>
        <name val="Times New Roman"/>
        <scheme val="none"/>
      </font>
      <numFmt numFmtId="172" formatCode="#,##0.00_р_."/>
    </dxf>
  </rfmt>
  <rcc rId="6390" sId="22" numFmtId="4">
    <oc r="Q61" t="inlineStr">
      <is>
        <t>0.00</t>
      </is>
    </oc>
    <nc r="Q61">
      <v>0</v>
    </nc>
  </rcc>
  <rcc rId="6391" sId="22" numFmtId="4">
    <oc r="S61">
      <f>S62+S63+S64+S66</f>
    </oc>
    <nc r="S61">
      <v>0</v>
    </nc>
  </rcc>
  <rfmt sheetId="22" sqref="S62" start="0" length="0">
    <dxf>
      <font>
        <b/>
        <sz val="12"/>
        <color auto="1"/>
        <name val="Times New Roman"/>
        <scheme val="none"/>
      </font>
      <numFmt numFmtId="172" formatCode="#,##0.00_р_."/>
    </dxf>
  </rfmt>
  <rcc rId="6392" sId="22" odxf="1" dxf="1" numFmtId="4">
    <oc r="R61">
      <f>R62+R63+R64+R66</f>
    </oc>
    <nc r="R61">
      <v>0</v>
    </nc>
    <ndxf>
      <font>
        <b/>
        <sz val="12"/>
        <color auto="1"/>
        <name val="Times New Roman"/>
        <scheme val="none"/>
      </font>
      <numFmt numFmtId="172" formatCode="#,##0.00_р_."/>
    </ndxf>
  </rcc>
  <rfmt sheetId="22" sqref="R62" start="0" length="0">
    <dxf>
      <font>
        <b/>
        <sz val="12"/>
        <color auto="1"/>
        <name val="Times New Roman"/>
        <scheme val="none"/>
      </font>
      <numFmt numFmtId="172" formatCode="#,##0.00_р_."/>
    </dxf>
  </rfmt>
  <rfmt sheetId="22" sqref="Q62" start="0" length="0">
    <dxf>
      <font>
        <b/>
        <sz val="12"/>
        <color auto="1"/>
        <name val="Times New Roman"/>
        <scheme val="none"/>
      </font>
      <numFmt numFmtId="172" formatCode="#,##0.00_р_."/>
    </dxf>
  </rfmt>
  <rfmt sheetId="22" sqref="Q63" start="0" length="0">
    <dxf>
      <font>
        <b/>
        <sz val="12"/>
        <color auto="1"/>
        <name val="Times New Roman"/>
        <scheme val="none"/>
      </font>
      <numFmt numFmtId="172" formatCode="#,##0.00_р_."/>
    </dxf>
  </rfmt>
  <rfmt sheetId="22" sqref="Q65" start="0" length="0">
    <dxf>
      <font>
        <b/>
        <sz val="12"/>
        <color auto="1"/>
        <name val="Times New Roman"/>
        <scheme val="none"/>
      </font>
      <numFmt numFmtId="172" formatCode="#,##0.00_р_."/>
    </dxf>
  </rfmt>
  <rfmt sheetId="22" sqref="R65" start="0" length="0">
    <dxf>
      <font>
        <b/>
        <sz val="12"/>
        <color auto="1"/>
        <name val="Times New Roman"/>
        <scheme val="none"/>
      </font>
      <numFmt numFmtId="172" formatCode="#,##0.00_р_."/>
    </dxf>
  </rfmt>
  <rfmt sheetId="22" sqref="S65" start="0" length="0">
    <dxf>
      <font>
        <b/>
        <sz val="12"/>
        <color auto="1"/>
        <name val="Times New Roman"/>
        <scheme val="none"/>
      </font>
      <numFmt numFmtId="172" formatCode="#,##0.00_р_."/>
    </dxf>
  </rfmt>
  <rfmt sheetId="22" sqref="S64" start="0" length="0">
    <dxf>
      <font>
        <b/>
        <sz val="12"/>
        <color auto="1"/>
        <name val="Times New Roman"/>
        <scheme val="none"/>
      </font>
      <numFmt numFmtId="172" formatCode="#,##0.00_р_."/>
    </dxf>
  </rfmt>
  <rfmt sheetId="22" sqref="S63" start="0" length="0">
    <dxf>
      <font>
        <b/>
        <sz val="12"/>
        <color auto="1"/>
        <name val="Times New Roman"/>
        <scheme val="none"/>
      </font>
      <numFmt numFmtId="172" formatCode="#,##0.00_р_."/>
    </dxf>
  </rfmt>
  <rfmt sheetId="22" sqref="R63" start="0" length="0">
    <dxf>
      <font>
        <b/>
        <sz val="12"/>
        <color auto="1"/>
        <name val="Times New Roman"/>
        <scheme val="none"/>
      </font>
      <numFmt numFmtId="172" formatCode="#,##0.00_р_."/>
    </dxf>
  </rfmt>
  <rfmt sheetId="22" sqref="R64" start="0" length="0">
    <dxf>
      <font>
        <b/>
        <sz val="12"/>
        <color auto="1"/>
        <name val="Times New Roman"/>
        <scheme val="none"/>
      </font>
      <numFmt numFmtId="172" formatCode="#,##0.00_р_."/>
    </dxf>
  </rfmt>
  <rcc rId="6393" sId="22" numFmtId="4">
    <oc r="AD61">
      <v>2150.8000000000002</v>
    </oc>
    <nc r="AD61">
      <v>799.1</v>
    </nc>
  </rcc>
  <rcc rId="6394" sId="22" numFmtId="4">
    <oc r="AD64">
      <v>2150.8000000000002</v>
    </oc>
    <nc r="AD64">
      <v>799.1</v>
    </nc>
  </rcc>
  <rcc rId="6395" sId="22" numFmtId="4">
    <oc r="AB68">
      <f>AB69+AB70+AB71+AB73</f>
    </oc>
    <nc r="AB68">
      <v>593.79999999999995</v>
    </nc>
  </rcc>
  <rcc rId="6396" sId="22" numFmtId="4">
    <oc r="AB71">
      <v>0</v>
    </oc>
    <nc r="AB71">
      <v>593.79999999999995</v>
    </nc>
  </rcc>
  <rcc rId="6397" sId="22" numFmtId="4">
    <oc r="B75">
      <v>86311.65</v>
    </oc>
    <nc r="B75">
      <v>108149.75999999999</v>
    </nc>
  </rcc>
  <rcc rId="6398" sId="22" numFmtId="4">
    <oc r="B78">
      <v>63799.03</v>
    </oc>
    <nc r="B78">
      <v>70101.13</v>
    </nc>
  </rcc>
  <rcc rId="6399" sId="22" numFmtId="4">
    <oc r="B80">
      <f>IFERROR(#REF!/#REF!%,0)</f>
    </oc>
    <nc r="B80">
      <v>15536</v>
    </nc>
  </rcc>
  <rcc rId="6400" sId="22" numFmtId="4">
    <oc r="C75">
      <v>11351.61</v>
    </oc>
    <nc r="C75">
      <v>25255.96</v>
    </nc>
  </rcc>
  <rcc rId="6401" sId="22" numFmtId="4">
    <oc r="C76">
      <f>H76</f>
    </oc>
    <nc r="C76">
      <v>4375.68</v>
    </nc>
  </rcc>
  <rcc rId="6402" sId="22" numFmtId="4">
    <oc r="C77">
      <f>H77</f>
    </oc>
    <nc r="C77">
      <v>11665.01</v>
    </nc>
  </rcc>
  <rcc rId="6403" sId="22" numFmtId="4">
    <oc r="C78">
      <v>3448.75</v>
    </oc>
    <nc r="C78">
      <v>9215.26</v>
    </nc>
  </rcc>
  <rcc rId="6404" sId="22" numFmtId="4">
    <oc r="C79">
      <v>1975.71</v>
    </oc>
    <nc r="C79">
      <v>4310.17</v>
    </nc>
  </rcc>
  <rcc rId="6405" sId="22" numFmtId="4">
    <oc r="D75">
      <v>11351.6</v>
    </oc>
    <nc r="D75">
      <v>25255.96</v>
    </nc>
  </rcc>
  <rcc rId="6406" sId="22" numFmtId="4">
    <oc r="D76">
      <f>E76</f>
    </oc>
    <nc r="D76">
      <v>4375.68</v>
    </nc>
  </rcc>
  <rcc rId="6407" sId="22" numFmtId="4">
    <oc r="D77">
      <f>E77</f>
    </oc>
    <nc r="D77">
      <v>11665.01</v>
    </nc>
  </rcc>
  <rcc rId="6408" sId="22" numFmtId="4">
    <oc r="D78">
      <v>3448.75</v>
    </oc>
    <nc r="D78">
      <v>9215.26</v>
    </nc>
  </rcc>
  <rcc rId="6409" sId="22" numFmtId="4">
    <oc r="D79">
      <v>1975.71</v>
    </oc>
    <nc r="D79">
      <v>2810.17</v>
    </nc>
  </rcc>
  <rcc rId="6410" sId="22" numFmtId="4">
    <oc r="E75">
      <v>10754.5</v>
    </oc>
    <nc r="E75">
      <v>24644.42</v>
    </nc>
  </rcc>
  <rcc rId="6411" sId="22" numFmtId="4">
    <oc r="E76">
      <v>3076.35</v>
    </oc>
    <nc r="E76">
      <v>4375.68</v>
    </nc>
  </rcc>
  <rcc rId="6412" sId="22" numFmtId="4">
    <oc r="E77">
      <f>I77+K77+M77+O77+Q77+S77+U77+W77+Y77+AA77+AC77+AE77</f>
    </oc>
    <nc r="E77">
      <v>11053.56</v>
    </nc>
  </rcc>
  <rcc rId="6413" sId="22" numFmtId="4">
    <oc r="E78">
      <v>2851.65</v>
    </oc>
    <nc r="E78">
      <v>9215.17</v>
    </nc>
  </rcc>
  <rcc rId="6414" sId="22" numFmtId="4">
    <oc r="E79">
      <v>1975.71</v>
    </oc>
    <nc r="E79">
      <v>2810.17</v>
    </nc>
  </rcc>
  <rcc rId="6415" sId="22" numFmtId="4">
    <oc r="F77">
      <v>63.16</v>
    </oc>
    <nc r="F77">
      <v>89.83</v>
    </nc>
  </rcc>
  <rcc rId="6416" sId="22" numFmtId="4">
    <oc r="F79">
      <v>63.16</v>
    </oc>
    <nc r="F79">
      <v>89.83</v>
    </nc>
  </rcc>
  <rcc rId="6417" sId="22" numFmtId="4">
    <oc r="G75">
      <v>94.74</v>
    </oc>
    <nc r="G75">
      <v>97.58</v>
    </nc>
  </rcc>
  <rcc rId="6418" sId="22" numFmtId="4">
    <oc r="Q75">
      <v>9913.4</v>
    </oc>
    <nc r="Q75">
      <v>9913.41</v>
    </nc>
  </rcc>
  <rcc rId="6419" sId="22" numFmtId="4">
    <oc r="R76">
      <v>0</v>
    </oc>
    <nc r="R76">
      <v>1299.33</v>
    </nc>
  </rcc>
  <rcc rId="6420" sId="22" numFmtId="4">
    <oc r="R77">
      <v>0</v>
    </oc>
    <nc r="R77">
      <v>2038.52</v>
    </nc>
  </rcc>
  <rcc rId="6421" sId="22" numFmtId="4">
    <oc r="R78">
      <v>0</v>
    </oc>
    <nc r="R78">
      <v>834.46</v>
    </nc>
  </rcc>
  <rcc rId="6422" sId="22" numFmtId="4">
    <oc r="R79">
      <v>0</v>
    </oc>
    <nc r="R79">
      <v>834.46</v>
    </nc>
  </rcc>
  <rcc rId="6423" sId="22" numFmtId="4">
    <oc r="S78">
      <v>0</v>
    </oc>
    <nc r="S78">
      <v>834.46</v>
    </nc>
  </rcc>
  <rcc rId="6424" sId="22" numFmtId="4">
    <oc r="S79">
      <v>0</v>
    </oc>
    <nc r="S79">
      <v>834.46</v>
    </nc>
  </rcc>
  <rcc rId="6425" sId="22" numFmtId="4">
    <oc r="S75">
      <f>S76+S77+S78+S80</f>
    </oc>
    <nc r="S75">
      <v>4172.3100000000004</v>
    </nc>
  </rcc>
  <rcc rId="6426" sId="22" numFmtId="4">
    <oc r="S76">
      <v>0</v>
    </oc>
    <nc r="S76">
      <v>1299.33</v>
    </nc>
  </rcc>
  <rcc rId="6427" sId="22" numFmtId="4">
    <oc r="S77">
      <v>0</v>
    </oc>
    <nc r="S77">
      <v>2038.52</v>
    </nc>
  </rcc>
  <rcc rId="6428" sId="22" numFmtId="4">
    <oc r="R75">
      <f>R76+R77+R78+R80</f>
    </oc>
    <nc r="R75">
      <v>4172.3100000000004</v>
    </nc>
  </rcc>
</revisions>
</file>

<file path=xl/revisions/revisionLog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429" sId="22" numFmtId="4">
    <oc r="V75">
      <v>13194.31</v>
    </oc>
    <nc r="V75">
      <v>8986.2099999999991</v>
    </nc>
  </rcc>
  <rcc rId="6430" sId="22" numFmtId="4">
    <oc r="V76">
      <v>1794.45</v>
    </oc>
    <nc r="V76">
      <v>495.12</v>
    </nc>
  </rcc>
  <rcc rId="6431" sId="22" numFmtId="4">
    <oc r="V77">
      <v>2815.32</v>
    </oc>
    <nc r="V77">
      <v>776.8</v>
    </nc>
  </rcc>
  <rcc rId="6432" sId="22" numFmtId="4">
    <oc r="R75">
      <v>4172.3100000000004</v>
    </oc>
    <nc r="R75">
      <v>4172.3</v>
    </nc>
  </rcc>
  <rcc rId="6433" sId="22" numFmtId="4">
    <oc r="V79">
      <v>1152.49</v>
    </oc>
    <nc r="V79">
      <v>317.98</v>
    </nc>
  </rcc>
  <rcc rId="6434" sId="22" numFmtId="4">
    <oc r="V78">
      <v>8584.5499999999993</v>
    </oc>
    <nc r="V78">
      <v>7714.29</v>
    </nc>
  </rcc>
</revisions>
</file>

<file path=xl/revisions/revisionLog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435" sId="22" numFmtId="4">
    <oc r="R75">
      <v>4172.3</v>
    </oc>
    <nc r="R75">
      <v>4172.3100000000004</v>
    </nc>
  </rcc>
</revisions>
</file>

<file path=xl/revisions/revisionLog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436" sId="22" numFmtId="4">
    <oc r="AB75">
      <f>AB76+AB77+AB78+AB80</f>
    </oc>
    <nc r="AB75">
      <v>16129.8</v>
    </nc>
  </rcc>
  <rcc rId="6437" sId="22" numFmtId="4">
    <oc r="AD75">
      <v>2550.8000000000002</v>
    </oc>
    <nc r="AD75">
      <v>1199.0999999999999</v>
    </nc>
  </rcc>
  <rcc rId="6438" sId="22" numFmtId="4">
    <oc r="AB78">
      <v>0</v>
    </oc>
    <nc r="AB78">
      <v>593.79999999999995</v>
    </nc>
  </rcc>
  <rcc rId="6439" sId="22" numFmtId="4">
    <oc r="AD78">
      <v>2550.8000000000002</v>
    </oc>
    <nc r="AD78">
      <v>1199.0999999999999</v>
    </nc>
  </rcc>
  <rcc rId="6440" sId="22" numFmtId="4">
    <oc r="AB80">
      <v>0</v>
    </oc>
    <nc r="AB80">
      <v>15536</v>
    </nc>
  </rcc>
</revisions>
</file>

<file path=xl/revisions/revisionLog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442F2C94-DD1B-4A01-8694-513D4D6F3BD9}" action="delete"/>
  <rdn rId="0" localSheetId="2" customView="1" name="Z_442F2C94_DD1B_4A01_8694_513D4D6F3BD9_.wvu.Rows" hidden="1" oldHidden="1">
    <formula>'1.СЗН'!$69:$73</formula>
    <oldFormula>'1.СЗН'!$69:$73</oldFormula>
  </rdn>
  <rdn rId="0" localSheetId="2" customView="1" name="Z_442F2C94_DD1B_4A01_8694_513D4D6F3BD9_.wvu.FilterData" hidden="1" oldHidden="1">
    <formula>'1.СЗН'!$A$1:$AF$63</formula>
    <oldFormula>'1.СЗН'!$A$1:$AF$63</oldFormula>
  </rdn>
  <rdn rId="0" localSheetId="3" customView="1" name="Z_442F2C94_DD1B_4A01_8694_513D4D6F3BD9_.wvu.FilterData" hidden="1" oldHidden="1">
    <formula>'2.АПК'!$A$1:$AF$36</formula>
    <oldFormula>'2.АПК'!$A$1:$AF$36</oldFormula>
  </rdn>
  <rdn rId="0" localSheetId="4" customView="1" name="Z_442F2C94_DD1B_4A01_8694_513D4D6F3BD9_.wvu.FilterData" hidden="1" oldHidden="1">
    <formula>'3.БЖД'!$A$1:$AF$17</formula>
    <oldFormula>'3.БЖД'!$A$1:$AF$17</oldFormula>
  </rdn>
  <rdn rId="0" localSheetId="5" customView="1" name="Z_442F2C94_DD1B_4A01_8694_513D4D6F3BD9_.wvu.FilterData" hidden="1" oldHidden="1">
    <formula>'4.УМИ'!$A$1:$AF$11</formula>
    <oldFormula>'4.УМИ'!$A$1:$AF$11</oldFormula>
  </rdn>
  <rdn rId="0" localSheetId="6" customView="1" name="Z_442F2C94_DD1B_4A01_8694_513D4D6F3BD9_.wvu.FilterData" hidden="1" oldHidden="1">
    <formula>'5.Проф. прав.'!$A$1:$AF$12</formula>
    <oldFormula>'5.Проф. прав.'!$A$1:$AF$12</oldFormula>
  </rdn>
  <rdn rId="0" localSheetId="7" customView="1" name="Z_442F2C94_DD1B_4A01_8694_513D4D6F3BD9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442F2C94_DD1B_4A01_8694_513D4D6F3BD9_.wvu.FilterData" hidden="1" oldHidden="1">
    <formula>'6.Экстримизм'!$A$1:$AF$11</formula>
    <oldFormula>'6.Экстримизм'!$A$1:$AF$11</oldFormula>
  </rdn>
  <rdn rId="0" localSheetId="14" customView="1" name="Z_442F2C94_DD1B_4A01_8694_513D4D6F3BD9_.wvu.FilterData" hidden="1" oldHidden="1">
    <formula>'11.МП РО'!$A$4:$A$380</formula>
    <oldFormula>'11.МП РО'!$A$4:$A$380</oldFormula>
  </rdn>
  <rdn rId="0" localSheetId="17" customView="1" name="Z_442F2C94_DD1B_4A01_8694_513D4D6F3BD9_.wvu.Rows" hidden="1" oldHidden="1">
    <formula>'13.МП РЖС'!$122:$127</formula>
    <oldFormula>'13.МП РЖС'!$122:$127</oldFormula>
  </rdn>
  <rdn rId="0" localSheetId="17" customView="1" name="Z_442F2C94_DD1B_4A01_8694_513D4D6F3BD9_.wvu.Cols" hidden="1" oldHidden="1">
    <formula>'13.МП РЖС'!$AG:$AG</formula>
    <oldFormula>'13.МП РЖС'!$AG:$AG</oldFormula>
  </rdn>
  <rcv guid="{442F2C94-DD1B-4A01-8694-513D4D6F3BD9}" action="add"/>
</revisions>
</file>

<file path=xl/revisions/revisionLog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034" sId="18" numFmtId="4">
    <oc r="R48">
      <v>0</v>
    </oc>
    <nc r="R48">
      <v>277.5</v>
    </nc>
  </rcc>
  <rcc rId="8035" sId="18" numFmtId="4">
    <oc r="T48">
      <v>277.5</v>
    </oc>
    <nc r="T48">
      <v>0</v>
    </nc>
  </rcc>
  <rcc rId="8036" sId="18" numFmtId="4">
    <oc r="X48">
      <v>0</v>
    </oc>
    <nc r="X48">
      <v>47.5</v>
    </nc>
  </rcc>
  <rfmt sheetId="18" sqref="B48">
    <dxf>
      <fill>
        <patternFill patternType="solid">
          <bgColor theme="6" tint="0.39997558519241921"/>
        </patternFill>
      </fill>
    </dxf>
  </rfmt>
  <rcc rId="8037" sId="18" numFmtId="4">
    <oc r="AB58">
      <v>47.5</v>
    </oc>
    <nc r="AB58">
      <v>0</v>
    </nc>
  </rcc>
  <rfmt sheetId="18" sqref="B58">
    <dxf>
      <fill>
        <patternFill patternType="solid">
          <bgColor theme="6" tint="0.39997558519241921"/>
        </patternFill>
      </fill>
    </dxf>
  </rfmt>
  <rcc rId="8038" sId="18" numFmtId="4">
    <oc r="T73">
      <v>1600</v>
    </oc>
    <nc r="T73">
      <v>0</v>
    </nc>
  </rcc>
  <rcc rId="8039" sId="18" numFmtId="4">
    <oc r="R73">
      <v>0</v>
    </oc>
    <nc r="R73">
      <v>1600</v>
    </nc>
  </rcc>
  <rfmt sheetId="18" sqref="B73">
    <dxf>
      <fill>
        <patternFill patternType="solid">
          <bgColor theme="6" tint="0.39997558519241921"/>
        </patternFill>
      </fill>
    </dxf>
  </rfmt>
  <rcc rId="8040" sId="18" numFmtId="4">
    <oc r="R78">
      <v>0</v>
    </oc>
    <nc r="R78">
      <v>1802.6</v>
    </nc>
  </rcc>
  <rcc rId="8041" sId="18" numFmtId="4">
    <oc r="T78">
      <v>1802.6</v>
    </oc>
    <nc r="T78">
      <v>0</v>
    </nc>
  </rcc>
  <rfmt sheetId="18" sqref="B78">
    <dxf>
      <fill>
        <patternFill patternType="solid">
          <bgColor theme="6" tint="0.39997558519241921"/>
        </patternFill>
      </fill>
    </dxf>
  </rfmt>
  <rcc rId="8042" sId="18" numFmtId="4">
    <oc r="R83">
      <v>0</v>
    </oc>
    <nc r="R83">
      <v>475</v>
    </nc>
  </rcc>
  <rcc rId="8043" sId="18" numFmtId="4">
    <oc r="T83">
      <v>475</v>
    </oc>
    <nc r="T83">
      <v>0</v>
    </nc>
  </rcc>
  <rfmt sheetId="18" sqref="B83">
    <dxf>
      <fill>
        <patternFill patternType="solid">
          <bgColor theme="6" tint="0.39997558519241921"/>
        </patternFill>
      </fill>
    </dxf>
  </rfmt>
  <rcc rId="8044" sId="18" numFmtId="4">
    <oc r="P22">
      <v>2300.3209999999999</v>
    </oc>
    <nc r="P22">
      <v>2125.8780000000002</v>
    </nc>
  </rcc>
  <rfmt sheetId="18" sqref="B21:C22">
    <dxf>
      <fill>
        <patternFill patternType="solid">
          <bgColor theme="6" tint="0.39997558519241921"/>
        </patternFill>
      </fill>
    </dxf>
  </rfmt>
  <rcc rId="8045" sId="18" numFmtId="4">
    <oc r="Q26">
      <v>1270.1559999999999</v>
    </oc>
    <nc r="Q26">
      <v>1493.75</v>
    </nc>
  </rcc>
  <rcc rId="8046" sId="18" numFmtId="4">
    <oc r="P26">
      <v>1645.7449999999999</v>
    </oc>
    <nc r="P26">
      <v>1493.75</v>
    </nc>
  </rcc>
  <rfmt sheetId="18" sqref="B25:C26">
    <dxf>
      <fill>
        <patternFill patternType="solid">
          <bgColor theme="6" tint="0.39997558519241921"/>
        </patternFill>
      </fill>
    </dxf>
  </rfmt>
  <rcc rId="8047" sId="18" numFmtId="4">
    <oc r="P30">
      <v>675.25199999999995</v>
    </oc>
    <nc r="P30">
      <v>630.35699999999997</v>
    </nc>
  </rcc>
  <rfmt sheetId="18" sqref="B29:C30">
    <dxf>
      <fill>
        <patternFill patternType="solid">
          <bgColor theme="6" tint="0.39997558519241921"/>
        </patternFill>
      </fill>
    </dxf>
  </rfmt>
  <rcc rId="8048" sId="18" numFmtId="4">
    <oc r="R49">
      <v>0</v>
    </oc>
    <nc r="R49">
      <v>14.61</v>
    </nc>
  </rcc>
  <rcc rId="8049" sId="18" numFmtId="4">
    <oc r="T49">
      <v>14.61</v>
    </oc>
    <nc r="T49">
      <v>0</v>
    </nc>
  </rcc>
  <rcc rId="8050" sId="18" numFmtId="4">
    <oc r="AB59">
      <v>2.5</v>
    </oc>
    <nc r="AB59">
      <v>0</v>
    </nc>
  </rcc>
  <rcc rId="8051" sId="18" numFmtId="4">
    <oc r="AB60">
      <v>2.5</v>
    </oc>
    <nc r="AB60">
      <v>0</v>
    </nc>
  </rcc>
  <rcc rId="8052" sId="18" numFmtId="4">
    <oc r="R74">
      <v>0</v>
    </oc>
    <nc r="R74">
      <v>84.22</v>
    </nc>
  </rcc>
  <rcc rId="8053" sId="18" numFmtId="4">
    <oc r="R75">
      <v>0</v>
    </oc>
    <nc r="R75">
      <v>84.22</v>
    </nc>
  </rcc>
  <rcc rId="8054" sId="18" numFmtId="4">
    <oc r="T75">
      <v>84.22</v>
    </oc>
    <nc r="T75">
      <v>0</v>
    </nc>
  </rcc>
  <rcc rId="8055" sId="18" numFmtId="4">
    <oc r="T74">
      <v>84.22</v>
    </oc>
    <nc r="T74">
      <v>0</v>
    </nc>
  </rcc>
  <rcc rId="8056" sId="18" numFmtId="4">
    <oc r="R79">
      <v>0</v>
    </oc>
    <nc r="R79">
      <v>94.88</v>
    </nc>
  </rcc>
  <rcc rId="8057" sId="18" numFmtId="4">
    <oc r="R80">
      <v>0</v>
    </oc>
    <nc r="R80">
      <v>94.88</v>
    </nc>
  </rcc>
  <rcc rId="8058" sId="18" numFmtId="4">
    <oc r="T80">
      <v>94.88</v>
    </oc>
    <nc r="T80">
      <v>0</v>
    </nc>
  </rcc>
  <rcc rId="8059" sId="18" numFmtId="4">
    <oc r="T79">
      <v>94.88</v>
    </oc>
    <nc r="T79">
      <v>0</v>
    </nc>
  </rcc>
  <rcc rId="8060" sId="18" numFmtId="4">
    <oc r="R84">
      <v>0</v>
    </oc>
    <nc r="R84">
      <v>25</v>
    </nc>
  </rcc>
  <rcc rId="8061" sId="18" numFmtId="4">
    <oc r="R85">
      <v>0</v>
    </oc>
    <nc r="R85">
      <v>25</v>
    </nc>
  </rcc>
  <rcc rId="8062" sId="18" numFmtId="4">
    <oc r="T84">
      <v>25</v>
    </oc>
    <nc r="T84">
      <v>0</v>
    </nc>
  </rcc>
  <rcc rId="8063" sId="18" numFmtId="4">
    <oc r="T85">
      <v>25</v>
    </oc>
    <nc r="T85">
      <v>0</v>
    </nc>
  </rcc>
  <rfmt sheetId="18" sqref="B21:B22">
    <dxf>
      <fill>
        <patternFill patternType="none">
          <bgColor auto="1"/>
        </patternFill>
      </fill>
    </dxf>
  </rfmt>
  <rfmt sheetId="18" sqref="C21:C22">
    <dxf>
      <fill>
        <patternFill patternType="none">
          <bgColor auto="1"/>
        </patternFill>
      </fill>
    </dxf>
  </rfmt>
</revisions>
</file>

<file path=xl/revisions/revisionLog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442F2C94-DD1B-4A01-8694-513D4D6F3BD9}" action="delete"/>
  <rdn rId="0" localSheetId="2" customView="1" name="Z_442F2C94_DD1B_4A01_8694_513D4D6F3BD9_.wvu.Rows" hidden="1" oldHidden="1">
    <formula>'1.СЗН'!$69:$73</formula>
    <oldFormula>'1.СЗН'!$69:$73</oldFormula>
  </rdn>
  <rdn rId="0" localSheetId="2" customView="1" name="Z_442F2C94_DD1B_4A01_8694_513D4D6F3BD9_.wvu.FilterData" hidden="1" oldHidden="1">
    <formula>'1.СЗН'!$A$1:$AF$63</formula>
    <oldFormula>'1.СЗН'!$A$1:$AF$63</oldFormula>
  </rdn>
  <rdn rId="0" localSheetId="3" customView="1" name="Z_442F2C94_DD1B_4A01_8694_513D4D6F3BD9_.wvu.FilterData" hidden="1" oldHidden="1">
    <formula>'2.АПК'!$A$1:$AF$36</formula>
    <oldFormula>'2.АПК'!$A$1:$AF$36</oldFormula>
  </rdn>
  <rdn rId="0" localSheetId="4" customView="1" name="Z_442F2C94_DD1B_4A01_8694_513D4D6F3BD9_.wvu.FilterData" hidden="1" oldHidden="1">
    <formula>'3.БЖД'!$A$1:$AF$17</formula>
    <oldFormula>'3.БЖД'!$A$1:$AF$17</oldFormula>
  </rdn>
  <rdn rId="0" localSheetId="5" customView="1" name="Z_442F2C94_DD1B_4A01_8694_513D4D6F3BD9_.wvu.FilterData" hidden="1" oldHidden="1">
    <formula>'4.УМИ'!$A$1:$AF$11</formula>
    <oldFormula>'4.УМИ'!$A$1:$AF$11</oldFormula>
  </rdn>
  <rdn rId="0" localSheetId="6" customView="1" name="Z_442F2C94_DD1B_4A01_8694_513D4D6F3BD9_.wvu.FilterData" hidden="1" oldHidden="1">
    <formula>'5.Проф. прав.'!$A$1:$AF$12</formula>
    <oldFormula>'5.Проф. прав.'!$A$1:$AF$12</oldFormula>
  </rdn>
  <rdn rId="0" localSheetId="7" customView="1" name="Z_442F2C94_DD1B_4A01_8694_513D4D6F3BD9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442F2C94_DD1B_4A01_8694_513D4D6F3BD9_.wvu.FilterData" hidden="1" oldHidden="1">
    <formula>'6.Экстримизм'!$A$1:$AF$11</formula>
    <oldFormula>'6.Экстримизм'!$A$1:$AF$11</oldFormula>
  </rdn>
  <rdn rId="0" localSheetId="14" customView="1" name="Z_442F2C94_DD1B_4A01_8694_513D4D6F3BD9_.wvu.FilterData" hidden="1" oldHidden="1">
    <formula>'11.МП РО'!$A$4:$A$380</formula>
    <oldFormula>'11.МП РО'!$A$4:$A$380</oldFormula>
  </rdn>
  <rdn rId="0" localSheetId="17" customView="1" name="Z_442F2C94_DD1B_4A01_8694_513D4D6F3BD9_.wvu.Rows" hidden="1" oldHidden="1">
    <formula>'13.МП РЖС'!$122:$127</formula>
    <oldFormula>'13.МП РЖС'!$122:$127</oldFormula>
  </rdn>
  <rdn rId="0" localSheetId="17" customView="1" name="Z_442F2C94_DD1B_4A01_8694_513D4D6F3BD9_.wvu.Cols" hidden="1" oldHidden="1">
    <formula>'13.МП РЖС'!$AG:$AG</formula>
    <oldFormula>'13.МП РЖС'!$AG:$AG</oldFormula>
  </rdn>
  <rcv guid="{442F2C94-DD1B-4A01-8694-513D4D6F3BD9}" action="add"/>
</revisions>
</file>

<file path=xl/revisions/revisionLog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463" sId="20">
    <oc r="C2" t="inlineStr">
      <is>
        <t>План на 01.06.2024</t>
      </is>
    </oc>
    <nc r="C2" t="inlineStr">
      <is>
        <t>План на 01.07.2024</t>
      </is>
    </nc>
  </rcc>
  <rcc rId="6464" sId="20">
    <oc r="D2" t="inlineStr">
      <is>
        <t>Профинансировано на 01.06.2024</t>
      </is>
    </oc>
    <nc r="D2" t="inlineStr">
      <is>
        <t>Профинансировано на 01.07.2024</t>
      </is>
    </nc>
  </rcc>
  <rcc rId="6465" sId="20">
    <oc r="E2" t="inlineStr">
      <is>
        <t>Кассовый расход на 01.05.2024</t>
      </is>
    </oc>
    <nc r="E2" t="inlineStr">
      <is>
        <t>Кассовый расход на 01.07.2024</t>
      </is>
    </nc>
  </rcc>
</revisions>
</file>

<file path=xl/revisions/revisionLog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466" sId="15" numFmtId="19">
    <oc r="C7">
      <v>45444</v>
    </oc>
    <nc r="C7">
      <v>45474</v>
    </nc>
  </rcc>
  <rcc rId="6467" sId="15" numFmtId="19">
    <oc r="D7">
      <v>45444</v>
    </oc>
    <nc r="D7">
      <v>45474</v>
    </nc>
  </rcc>
  <rcc rId="6468" sId="15" numFmtId="19">
    <oc r="E7">
      <v>45444</v>
    </oc>
    <nc r="E7">
      <v>45474</v>
    </nc>
  </rcc>
  <rfmt sheetId="15" sqref="R6:S6">
    <dxf>
      <fill>
        <patternFill patternType="solid">
          <bgColor theme="0" tint="-4.9989318521683403E-2"/>
        </patternFill>
      </fill>
    </dxf>
  </rfmt>
  <rcc rId="6469" sId="15" numFmtId="4">
    <oc r="R14">
      <v>4652.8</v>
    </oc>
    <nc r="R14">
      <v>4833</v>
    </nc>
  </rcc>
  <rcc rId="6470" sId="15" numFmtId="4">
    <oc r="S14">
      <v>5408.95</v>
    </oc>
    <nc r="S14">
      <v>4763.16</v>
    </nc>
  </rcc>
  <rcc rId="6471" sId="15" numFmtId="4">
    <oc r="AD14">
      <v>6113.93</v>
    </oc>
    <nc r="AD14">
      <v>5933.73</v>
    </nc>
  </rcc>
  <rcc rId="6472" sId="15">
    <oc r="C14">
      <f>H14+J14+L14+N14+P14</f>
    </oc>
    <nc r="C14">
      <f>H14+J14+L14+N14+P14+R14</f>
    </nc>
  </rcc>
  <rcc rId="6473" sId="15">
    <oc r="D14">
      <f>I14+K14+M14+O14+Q14</f>
    </oc>
    <nc r="D14">
      <f>I14+K14+M14+O14+Q14+S14</f>
    </nc>
  </rcc>
  <rcc rId="6474" sId="15">
    <oc r="E14">
      <f>I14+K14+M14+O14+Q14</f>
    </oc>
    <nc r="E14">
      <f>I14+K14+M14+O14+Q14+S14</f>
    </nc>
  </rcc>
</revisions>
</file>

<file path=xl/revisions/revisionLog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475" sId="15">
    <oc r="AF14" t="inlineStr">
      <is>
        <t xml:space="preserve">Неисполнение плановых ассигнований в размере 2 467,50 тыс. рублей по заработной плате и начислениям на выплаты по оплате труда, в связи с наличием вакансий, предоставлением листов нетрудоспособности </t>
      </is>
    </oc>
    <nc r="AF14" t="inlineStr">
      <is>
        <t xml:space="preserve">Неисполнение плановых ассигнований в размере 2 537,34 тыс. рублей по заработной плате и начислениям на выплаты по оплате труда, в связи с наличием вакансий, предоставлением листов нетрудоспособности </t>
      </is>
    </nc>
  </rcc>
</revisions>
</file>

<file path=xl/revisions/revisionLog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476" sId="21">
    <oc r="C3" t="inlineStr">
      <is>
        <t>План на 01.06.2024</t>
      </is>
    </oc>
    <nc r="C3" t="inlineStr">
      <is>
        <t>План на 01.07.2024</t>
      </is>
    </nc>
  </rcc>
  <rcc rId="6477" sId="21">
    <oc r="D3" t="inlineStr">
      <is>
        <t>Профинансировано на 01.06.2024</t>
      </is>
    </oc>
    <nc r="D3" t="inlineStr">
      <is>
        <t>Профинансировано на 01.07.2024</t>
      </is>
    </nc>
  </rcc>
  <rcc rId="6478" sId="21">
    <oc r="E3" t="inlineStr">
      <is>
        <t>Кассовый расход на 01.06.2024</t>
      </is>
    </oc>
    <nc r="E3" t="inlineStr">
      <is>
        <t>Кассовый расход на 01.07.2024</t>
      </is>
    </nc>
  </rcc>
  <rcc rId="6479" sId="21">
    <oc r="C17">
      <f>C23+C29+C35</f>
    </oc>
    <nc r="C17">
      <f>C23+C29+C35+C41+C47</f>
    </nc>
  </rcc>
  <rcc rId="6480" sId="21">
    <oc r="C19">
      <f>C25+C31+C37</f>
    </oc>
    <nc r="C19">
      <f>C25+C31+C37+C43+C49</f>
    </nc>
  </rcc>
  <rcc rId="6481" sId="21">
    <oc r="C20">
      <f>C26+C32+C38</f>
    </oc>
    <nc r="C20">
      <f>C26+C32+C38+C44+C50</f>
    </nc>
  </rcc>
  <rcc rId="6482" sId="21">
    <oc r="C23">
      <f>H23+J23+L23+N23+P23</f>
    </oc>
    <nc r="C23">
      <f>H23+J23+L23+N23+P23+R23</f>
    </nc>
  </rcc>
  <rcc rId="6483" sId="21">
    <oc r="C24">
      <f>H24+J24+L24+N24+P24</f>
    </oc>
    <nc r="C24">
      <f>H24+J24+L24+N24+P24+R24</f>
    </nc>
  </rcc>
  <rcc rId="6484" sId="21">
    <oc r="C26">
      <f>H26+J26+L26+N26+P26</f>
    </oc>
    <nc r="C26">
      <f>H26+J26+L26+N26+P26+R26</f>
    </nc>
  </rcc>
  <rcc rId="6485" sId="21">
    <oc r="C30">
      <f>H30+J30+L30+N30+P30</f>
    </oc>
    <nc r="C30">
      <f>H30+J30+L30+N30+P30+R30</f>
    </nc>
  </rcc>
  <rcc rId="6486" sId="21">
    <oc r="C35">
      <f>H35+J35+L35+N35+P35</f>
    </oc>
    <nc r="C35">
      <f>H35+J35+L35+N35+P35+R35</f>
    </nc>
  </rcc>
  <rcc rId="6487" sId="21">
    <oc r="C36">
      <f>H36+J36+L36+N36+P36</f>
    </oc>
    <nc r="C36">
      <f>H36+J36+L36+N36+P36+R36</f>
    </nc>
  </rcc>
  <rcc rId="6488" sId="21">
    <oc r="C38">
      <f>H38+J38+L38+N38+P38</f>
    </oc>
    <nc r="C38">
      <f>H38+J38+L38+N38+P38+R38</f>
    </nc>
  </rcc>
  <rcc rId="6489" sId="21">
    <oc r="C41">
      <f>H41+J41+L41+N41+P41</f>
    </oc>
    <nc r="C41">
      <f>H41+J41+L41+N41+P41+R41</f>
    </nc>
  </rcc>
  <rcc rId="6490" sId="21">
    <oc r="C42">
      <f>H42+J42+L42+N42+P42</f>
    </oc>
    <nc r="C42">
      <f>H42+J42+L42+N42+P42+R42</f>
    </nc>
  </rcc>
  <rcc rId="6491" sId="21">
    <oc r="C43">
      <f>H43+J43+L43+N43+P43</f>
    </oc>
    <nc r="C43">
      <f>H43+J43+L43+N43+P43+R43</f>
    </nc>
  </rcc>
  <rcc rId="6492" sId="21">
    <oc r="C44">
      <f>H44+J44+L44+N44+P44</f>
    </oc>
    <nc r="C44">
      <f>H44+J44+L44+N44+P44+R44</f>
    </nc>
  </rcc>
  <rcc rId="6493" sId="21">
    <oc r="C47">
      <f>H47+J47+L47+N47+P47</f>
    </oc>
    <nc r="C47">
      <f>H47+J47+L47+N47+P47+R47</f>
    </nc>
  </rcc>
  <rcc rId="6494" sId="21">
    <oc r="C48">
      <f>H48+J48+L48+N48+P48</f>
    </oc>
    <nc r="C48">
      <f>H48+J48+L48+N48+P48+R48</f>
    </nc>
  </rcc>
  <rcc rId="6495" sId="21">
    <oc r="C49">
      <f>H49+J49+L49+N49+P49</f>
    </oc>
    <nc r="C49">
      <f>H49+J49+L49+N49+P49+R49</f>
    </nc>
  </rcc>
  <rcc rId="6496" sId="21">
    <oc r="C50">
      <f>H50+J50+L50+N50+P50</f>
    </oc>
    <nc r="C50">
      <f>H50+J50+L50+N50+P50+R50</f>
    </nc>
  </rcc>
  <rcc rId="6497" sId="21">
    <oc r="C66">
      <f>H66+J66+L66+N66+P66</f>
    </oc>
    <nc r="C66">
      <f>H66+J66+L66+N66+P66+R66</f>
    </nc>
  </rcc>
  <rcc rId="6498" sId="21">
    <oc r="C72">
      <f>H72+J72+L72+N72+P72</f>
    </oc>
    <nc r="C72">
      <f>H72+J72+L72+N72+P72+R72</f>
    </nc>
  </rcc>
  <rcc rId="6499" sId="21">
    <oc r="C78">
      <f>H78+J78+L78+N78+P78</f>
    </oc>
    <nc r="C78">
      <f>H78+J78+L78+N78+P78+R78</f>
    </nc>
  </rcc>
  <rcc rId="6500" sId="21">
    <oc r="C84">
      <f>H84+J84+L84+N84</f>
    </oc>
    <nc r="C84">
      <f>H84+J84+L84+N84+P84</f>
    </nc>
  </rcc>
  <rcc rId="6501" sId="21">
    <oc r="C90">
      <f>H90+J90+L90+N90+P90</f>
    </oc>
    <nc r="C90">
      <f>H90+J90+L90+N90+P90+R90</f>
    </nc>
  </rcc>
  <rcc rId="6502" sId="21">
    <oc r="C96">
      <f>H96+J96+L96+N96+P96</f>
    </oc>
    <nc r="C96">
      <f>H96+J96+L96+N96+P96+R96</f>
    </nc>
  </rcc>
  <rcc rId="6503" sId="21">
    <oc r="C102">
      <f>H102+J102+L102+N102+P102</f>
    </oc>
    <nc r="C102">
      <f>H102+J102+L102+N102+P102+R102</f>
    </nc>
  </rcc>
  <rcc rId="6504" sId="21">
    <oc r="C108">
      <f>H108+J108+L108+N108+P108</f>
    </oc>
    <nc r="C108">
      <f>H108+J108+L108+N108+P108+R108</f>
    </nc>
  </rcc>
  <rcc rId="6505" sId="21">
    <oc r="C114">
      <f>H114+J114+L114+N114+P114</f>
    </oc>
    <nc r="C114">
      <f>H114+J114+L114+N114+P114+R114</f>
    </nc>
  </rcc>
  <rcc rId="6506" sId="21">
    <oc r="C133">
      <f>H133+J133+L133+N133+P133</f>
    </oc>
    <nc r="C133">
      <f>H133+J133+L133+N133+P133+R133</f>
    </nc>
  </rcc>
  <rcc rId="6507" sId="21">
    <oc r="C139">
      <f>H139+J139+L139+N139+P139</f>
    </oc>
    <nc r="C139">
      <f>H139+J139+L139+N139+P139+R139</f>
    </nc>
  </rcc>
</revisions>
</file>

<file path=xl/revisions/revisionLog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508" sId="21" numFmtId="4">
    <nc r="S12">
      <v>3261.28</v>
    </nc>
  </rcc>
  <rcc rId="6509" sId="21">
    <oc r="C12">
      <f>H12+J12+L12+N12+P12</f>
    </oc>
    <nc r="C12">
      <f>H12+J12+L12+N12+P12+R12</f>
    </nc>
  </rcc>
</revisions>
</file>

<file path=xl/revisions/revisionLog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510" sId="21">
    <oc r="C26">
      <f>H26+J26+L26+N26+P26+R26</f>
    </oc>
    <nc r="C26">
      <f>H26+J26+L26+N26+P26+R26</f>
    </nc>
  </rcc>
  <rcc rId="6511" sId="21">
    <oc r="C24">
      <f>H24+J24+L24+N24+P24+R24</f>
    </oc>
    <nc r="C24">
      <f>H24+J24+L24+N24+P24+R24</f>
    </nc>
  </rcc>
  <rcc rId="6512" sId="21" numFmtId="4">
    <nc r="R24">
      <v>30</v>
    </nc>
  </rcc>
  <rcc rId="6513" sId="21" numFmtId="4">
    <nc r="S24">
      <v>26</v>
    </nc>
  </rcc>
  <rcc rId="6514" sId="21" numFmtId="4">
    <nc r="T24">
      <v>11</v>
    </nc>
  </rcc>
  <rcc rId="6515" sId="21" numFmtId="4">
    <nc r="T26">
      <v>2806.29</v>
    </nc>
  </rcc>
  <rcc rId="6516" sId="21" numFmtId="4">
    <nc r="X26">
      <v>56431.37</v>
    </nc>
  </rcc>
  <rcc rId="6517" sId="21" numFmtId="4">
    <oc r="Z26">
      <v>54339</v>
    </oc>
    <nc r="Z26">
      <v>65420.44</v>
    </nc>
  </rcc>
  <rcc rId="6518" sId="21" numFmtId="4">
    <oc r="Z24">
      <v>12301.1</v>
    </oc>
    <nc r="Z24">
      <v>10414.299999999999</v>
    </nc>
  </rcc>
  <rcc rId="6519" sId="21" numFmtId="4">
    <oc r="AB24">
      <v>8211.1</v>
    </oc>
    <nc r="AB24">
      <v>8200.1</v>
    </nc>
  </rcc>
  <rcc rId="6520" sId="21" numFmtId="4">
    <nc r="AB26">
      <v>286.83999999999997</v>
    </nc>
  </rcc>
  <rcc rId="6521" sId="21" numFmtId="4">
    <nc r="AD26">
      <v>2321.06</v>
    </nc>
  </rcc>
  <rcc rId="6522" sId="21">
    <oc r="AF22" t="inlineStr">
      <is>
        <r>
          <rPr>
            <b/>
            <sz val="12"/>
            <rFont val="Times New Roman"/>
            <family val="1"/>
            <charset val="204"/>
          </rPr>
          <t>МКУ "УКС и ЖКК г.Когалыма":</t>
        </r>
        <r>
          <rPr>
            <sz val="12"/>
            <rFont val="Times New Roman"/>
            <family val="1"/>
            <charset val="204"/>
          </rPr>
          <t xml:space="preserve">
На основании приказа КФ от 31.01.2024 №13-О, в соответствии с распоряжением Правительства ХМАО-Югры от 26.01.2024 №21-рп "О Соглашении о сотрудничестве между Правительством ХМАО-Югры и ПАО "ЛУКОЙЛ" на 2024-2028 годы", доведены плановые ассигнования в сумме 54 339,0 тыс.руб. на ремонт автомобильных дорог г.Когалыма, в т.ч.:
- на участок улицы Дружбы Народов (от кольцевого пересечения улиц Дружбы Народов-Береговая до моста через реку Ингуягун на км 2+289 автодороги улица Дружбы Народов), 0,15 км, в сумме 4 716,0 тыс.руб.;
- на участок улицы Повховское шоссе (подходы к Путепроводу), 0,75 км, в сумме 29 670,0 тыс.руб.;
- на участок улицы проспект Нефтяников (поворот на ПТП), 0,27 км, в сумме 6 765,0 тыс.руб.;
- на участок улицы Романтиков (участок от улицы Береговая до улицы Нефтяников), 0,40 км, в сумме 13 188,0 тыс.руб.
Заключен МК от 26.02.2024 №13/2024 на оказание услуг по проведению негосударственной экспертизы проверки достоверности сметной стоимости ремонта автомобильных дорог г.Когалыма на сумму 59,00 тыс.руб. Услуги по МК оказаны и оплачены в полном объеме.
Закючены МК:  
- от 13.05.2024 №0187300013724000073 на выполнение работ по ремонту автомобильных дорог города Когалыма (участок ул. Проспект Нефтяников поворот на ПТП) на сумму 7 324,12 тыс.руб.;
- от 27.05.2024 №35/2024 на оказание услуг по проведению негосударственной экспертизы проверки достоверности сметной стоимости ремонта автомобильных дорог города Когалыма (Шмидта, Бакинская) на сумму 26,0 тыс.руб.;
- от 27.05.2024 №0187300013724000089 на выполнение работ по ремонту автомобильных дорог города Когалыма (участок ул. Романтиков, ул.Береговая до Нефтяников) на сумму 19 418,912 тыс.руб.;
- от 28.05.2024 №0187300013724000099 на выполнение работ по ремонту автомобильных дорог города Когалыма (участок ул.Повховское шоссе (подходы к Путепроводу) на сумму 39 883,29 тыс.руб.</t>
        </r>
      </is>
    </oc>
    <nc r="AF22" t="inlineStr">
      <is>
        <r>
          <rPr>
            <b/>
            <sz val="12"/>
            <rFont val="Times New Roman"/>
            <family val="1"/>
            <charset val="204"/>
          </rPr>
          <t>МКУ "УКС и ЖКК г.Когалыма":</t>
        </r>
        <r>
          <rPr>
            <sz val="12"/>
            <rFont val="Times New Roman"/>
            <family val="1"/>
            <charset val="204"/>
          </rPr>
          <t xml:space="preserve">
На основании приказа КФ от 31.01.2024 №13-О, в соответствии с распоряжением Правительства ХМАО-Югры от 26.01.2024 №21-рп "О Соглашении о сотрудничестве между Правительством ХМАО-Югры и ПАО "ЛУКОЙЛ" на 2024-2028 годы", доведены плановые ассигнования в сумме 54 339,0 тыс.руб. на ремонт автомобильных дорог г.Когалыма, в т.ч.:
- на участок улицы Дружбы Народов (от кольцевого пересечения улиц Дружбы Народов-Береговая до моста через реку Ингуягун на км 2+289 автодороги улица Дружбы Народов), 0,15 км, в сумме 4 716,0 тыс.руб.;
- на участок улицы Повховское шоссе (подходы к Путепроводу), 0,75 км, в сумме 29 670,0 тыс.руб.;
- на участок улицы проспект Нефтяников (поворот на ПТП), 0,27 км, в сумме 6 765,0 тыс.руб.;
- на участок улицы Романтиков (участок от улицы Береговая до улицы Нефтяников), 0,40 км, в сумме 13 188,0 тыс.руб.
Заключен МК от 26.02.2024 №13/2024 на оказание услуг по проведению негосударственной экспертизы проверки достоверности сметной стоимости ремонта автомобильных дорог г.Когалыма на сумму 59,00 тыс.руб. Услуги по МК оказаны и оплачены в полном объеме.
Закючены МК:  
- от 13.05.2024 №0187300013724000073 на выполнение работ по ремонту автомобильных дорог города Когалыма (участок ул. Проспект Нефтяников поворот на ПТП) на сумму 7 324,12 тыс.руб.;
- от 27.05.2024 №35/2024 на оказание услуг по проведению негосударственной экспертизы проверки достоверности сметной стоимости ремонта автомобильных дорог города Когалыма (Шмидта, Бакинская) на сумму 26,0 тыс.руб.;
- от 27.05.2024 №0187300013724000089 на выполнение работ по ремонту автомобильных дорог города Когалыма (участок ул. Романтиков, ул.Береговая до Нефтяников) на сумму 19 418,912 тыс.руб.;
- от 28.05.2024 №0187300013724000099 на выполнение работ по ремонту автомобильных дорог города Когалыма (участок ул.Повховское шоссе (подходы к Путепроводу) на сумму 39 883,29 тыс.руб.
В соответствии с решением Думы г.Когалыма от 19.06.2024 №410-ГД плановые ассигнования:
- в сумме 1 856,8 тыс.руб. перераспределены на п.п.2.2.4.  Перенос кабелей светофорного объекта, расположенного на пересечении улиц Мира - Молодежная в подземную канализацию;
- в сумме 72 927,0 тыс.руб. скорректированы с мероприятия п.п.2.1.3 Реконструкция развязки Восточной (проспект Нефтяников, улица Ноябрьская).</t>
        </r>
      </is>
    </nc>
  </rcc>
</revisions>
</file>

<file path=xl/revisions/revisionLog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523" sId="21" numFmtId="4">
    <oc r="AB30">
      <v>388.9</v>
    </oc>
    <nc r="AB30">
      <v>1156.8</v>
    </nc>
  </rcc>
  <rcc rId="6524" sId="21">
    <nc r="AF28" t="inlineStr">
      <is>
        <r>
          <rPr>
            <b/>
            <sz val="12"/>
            <rFont val="Times New Roman"/>
            <family val="1"/>
            <charset val="204"/>
          </rPr>
          <t>МКУ "УКС и ЖКК г.Когалыма":</t>
        </r>
        <r>
          <rPr>
            <sz val="12"/>
            <rFont val="Times New Roman"/>
            <family val="1"/>
            <charset val="204"/>
          </rPr>
          <t xml:space="preserve">
В соответствии с решением Думы г.Когалыма от 19.06.2024 №410-ГД на данное мероприятие дополнительно перераспределены плановые ассигнования в сумме 767,9 тыс.руб.</t>
        </r>
      </is>
    </nc>
  </rcc>
  <rcc rId="6525" sId="21" numFmtId="4">
    <oc r="N38">
      <v>180</v>
    </oc>
    <nc r="N38"/>
  </rcc>
  <rcc rId="6526" sId="21" numFmtId="4">
    <oc r="O38">
      <v>180</v>
    </oc>
    <nc r="O38"/>
  </rcc>
  <rcc rId="6527" sId="21" numFmtId="4">
    <nc r="N36">
      <v>180</v>
    </nc>
  </rcc>
  <rcc rId="6528" sId="21" numFmtId="4">
    <nc r="O36">
      <v>180</v>
    </nc>
  </rcc>
  <rcc rId="6529" sId="21" numFmtId="4">
    <oc r="T38">
      <v>11225.16</v>
    </oc>
    <nc r="T38">
      <v>8418.8700000000008</v>
    </nc>
  </rcc>
  <rcc rId="6530" sId="21" numFmtId="4">
    <oc r="X38">
      <v>225725.5</v>
    </oc>
    <nc r="X38">
      <v>169294.13</v>
    </nc>
  </rcc>
  <rcc rId="6531" sId="21" numFmtId="4">
    <oc r="Z38">
      <v>44713.46</v>
    </oc>
    <nc r="Z38">
      <v>33244.31</v>
    </nc>
  </rcc>
  <rcc rId="6532" sId="21" numFmtId="4">
    <nc r="Z36">
      <v>387.71</v>
    </nc>
  </rcc>
  <rcc rId="6533" sId="21" numFmtId="4">
    <oc r="AB38">
      <v>1147.3499999999999</v>
    </oc>
    <nc r="AB38">
      <v>860.51</v>
    </nc>
  </rcc>
  <rcc rId="6534" sId="21" numFmtId="4">
    <oc r="AD38">
      <v>19277.29</v>
    </oc>
    <nc r="AD38">
      <v>17523.939999999999</v>
    </nc>
  </rcc>
  <rcc rId="6535" sId="21" numFmtId="4">
    <oc r="AD36">
      <v>11186.63</v>
    </oc>
    <nc r="AD36">
      <v>11786.32</v>
    </nc>
  </rcc>
  <rcc rId="6536" sId="21">
    <oc r="AF34" t="inlineStr">
      <is>
        <r>
          <rPr>
            <b/>
            <sz val="12"/>
            <rFont val="Times New Roman"/>
            <family val="1"/>
            <charset val="204"/>
          </rPr>
          <t>МКУ "УКС и ЖКК г.Когалыма":</t>
        </r>
        <r>
          <rPr>
            <sz val="12"/>
            <rFont val="Times New Roman"/>
            <family val="1"/>
            <charset val="204"/>
          </rPr>
          <t xml:space="preserve">
Заключен МК от 04.08.2023 с ООО Строительная Компания «ЮВ и С» на выполнение работ на сумму 366 990,6 тыс.руб. 
Сроки выполнения работ: 1 этап с 04.08.2023 по 16.11.2023; 2 этап с 01.01.2024 по 18.10.2024.
В 2023 году выполнен и оплачен 1 этап на сумму 84 566,83 тыс.руб.
Заключен МК от 02.10.2023 №24-23АН с ООО "Югорский Проектный Институт" на оказание услуг по авторскому надзору по объекту на сумму 737,669 тыс.руб. В 2023 году выполнены и оплачены работы на сумму 169,959 тыс.руб.; в 2024 году на сумму 180,0 тыс.руб. 
На основании приказа КФ от 31.01.2024 №13-О, в соответствии с распоряжением Правительства ХМАО-Югры от 26.01.2024 №21-рп "О Соглашении о сотрудничестве между Правительством ХМАО-Югры и ПАО "ЛУКОЙЛ" на 2024-2028 годы", доведены плановые ассигнования в сумме 156 414,0 тыс.руб.</t>
        </r>
      </is>
    </oc>
    <nc r="AF34" t="inlineStr">
      <is>
        <r>
          <rPr>
            <b/>
            <sz val="12"/>
            <rFont val="Times New Roman"/>
            <family val="1"/>
            <charset val="204"/>
          </rPr>
          <t>МКУ "УКС и ЖКК г.Когалыма":</t>
        </r>
        <r>
          <rPr>
            <sz val="12"/>
            <rFont val="Times New Roman"/>
            <family val="1"/>
            <charset val="204"/>
          </rPr>
          <t xml:space="preserve">
Заключен МК от 04.08.2023 с ООО Строительная Компания «ЮВ и С» на выполнение работ на сумму 366 990,6 тыс.руб. 
Сроки выполнения работ: 1 этап с 04.08.2023 по 16.11.2023; 2 этап с 01.01.2024 по 18.10.2024.
В 2023 году выполнен и оплачен 1 этап на сумму 84 566,83 тыс.руб.
Заключен МК от 02.10.2023 №24-23АН с ООО "Югорский Проектный Институт" на оказание услуг по авторскому надзору по объекту на сумму 737,669 тыс.руб. В 2023 году выполнены и оплачены работы на сумму 169,959 тыс.руб.; в 2024 году на сумму 180,0 тыс.руб. 
На основании приказа КФ от 31.01.2024 №13-О, в соответствии с распоряжением Правительства ХМАО-Югры от 26.01.2024 №21-рп "О Соглашении о сотрудничестве между Правительством ХМАО-Югры и ПАО "ЛУКОЙЛ" на 2024-2028 годы", доведены плановые ассигнования в сумме 156 414,0 тыс.руб.
В соответствии с решением Думы г.Когалыма от 19.06.2024 №410-ГД:
-  скоррректированы плановые ассигнования в сумме 72 927,0 тыс.руб. на мероприятие п.п.2.1.1. Ремонт, в том числе капитальный, автомобильных дорог общего пользования местного значения (в том числе проезды и устройство ливневой канализации);
- выделены плановые ассигнования в сумме 1 227,2 тыс .руб. на оказание услуг по лабораторному сопровождению СМР по объекту Реконструкция развязки Восточной (проспект Нефтяников, улица Ноябрьская).</t>
        </r>
      </is>
    </nc>
  </rcc>
</revisions>
</file>

<file path=xl/revisions/revisionLog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1" sqref="A57:AE57" start="0" length="2147483647">
    <dxf>
      <font>
        <color rgb="FFFF0000"/>
      </font>
    </dxf>
  </rfmt>
  <rfmt sheetId="21" sqref="A63:AE63" start="0" length="2147483647">
    <dxf>
      <font>
        <color rgb="FFFF0000"/>
      </font>
    </dxf>
  </rfmt>
  <rfmt sheetId="21" sqref="A69:AE69" start="0" length="2147483647">
    <dxf>
      <font>
        <color rgb="FFFF0000"/>
      </font>
    </dxf>
  </rfmt>
  <rcc rId="6537" sId="21" numFmtId="4">
    <nc r="S78">
      <v>571.28</v>
    </nc>
  </rcc>
  <rcc rId="6538" sId="21" numFmtId="4">
    <nc r="S84">
      <v>28.6</v>
    </nc>
  </rcc>
</revisions>
</file>

<file path=xl/revisions/revisionLog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539" sId="21" numFmtId="4">
    <nc r="T90">
      <v>275</v>
    </nc>
  </rcc>
  <rcc rId="6540" sId="21" numFmtId="4">
    <oc r="Z90">
      <v>3693.74</v>
    </oc>
    <nc r="Z90">
      <v>6865.6</v>
    </nc>
  </rcc>
  <rcc rId="6541" sId="21">
    <oc r="AF88" t="inlineStr">
      <is>
        <r>
          <t xml:space="preserve">МКУ "УКС и ЖКК г.Когалыма":
</t>
        </r>
        <r>
          <rPr>
            <sz val="12"/>
            <rFont val="Times New Roman"/>
            <family val="1"/>
            <charset val="204"/>
          </rPr>
          <t>В соответствии с постановлением Администрации города Когалыма от 29.05.2024 №1026 перераспределены ПА на установку светофорных объектов в районе лыжной базы "Снежинка" и в районе парка Победы в сумме 2 333,75 тыс.руб., а также на обустройство объектов дорожной инфраструктуры в сумме 1 113,110 тыс.руб. (отв. исполнитель МБУ "КСАТ").</t>
        </r>
      </is>
    </oc>
    <nc r="AF88" t="inlineStr">
      <is>
        <r>
          <t xml:space="preserve">МКУ "УКС и ЖКК г.Когалыма":
</t>
        </r>
        <r>
          <rPr>
            <sz val="12"/>
            <rFont val="Times New Roman"/>
            <family val="1"/>
            <charset val="204"/>
          </rPr>
          <t xml:space="preserve"> В соответствии с постановлением Администрации города Когалыма от 29.05.2024 №1026 перераспределены ПА на установку светофорных объектов в районе лыжной базы "Снежинка" и в районе парка Победы в сумме 2 333,75 тыс.руб., а также на обустройство объектов дорожной инфраструктуры в сумме 1 113,110 тыс.руб. (отв. исполнитель МБУ "КСАТ").
МК от 28.06.2024 №45/2024 на выполнение работ по разработке проекта на перенос кабелей светофорного объекта, расположенного на пересечении улиц Мира-Молодежная в подземную канализацию в городе Когалыме на сумму 275,0 тыс.руб.</t>
        </r>
      </is>
    </nc>
  </rcc>
</revisions>
</file>

<file path=xl/revisions/revisionLog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8" sqref="B24:C26">
    <dxf>
      <fill>
        <patternFill patternType="none">
          <bgColor auto="1"/>
        </patternFill>
      </fill>
    </dxf>
  </rfmt>
  <rfmt sheetId="18" sqref="B28:C30">
    <dxf>
      <fill>
        <patternFill patternType="none">
          <bgColor auto="1"/>
        </patternFill>
      </fill>
    </dxf>
  </rfmt>
  <rrc rId="8064" sId="18" ref="A33:XFD33" action="insertRow"/>
  <rfmt sheetId="18" s="1" sqref="B33" start="0" length="0">
    <dxf>
      <font>
        <b val="0"/>
        <sz val="14"/>
        <color auto="1"/>
        <name val="Times New Roman"/>
        <scheme val="none"/>
      </font>
      <alignment vertical="bottom" readingOrder="0"/>
    </dxf>
  </rfmt>
  <rcc rId="8065" sId="18">
    <nc r="B33">
      <f>B21+B25+B29</f>
    </nc>
  </rcc>
  <rcc rId="8066" sId="18" odxf="1" s="1" dxf="1">
    <nc r="C33">
      <f>C21+C25+C29</f>
    </nc>
    <odxf>
      <font>
        <b/>
        <i val="0"/>
        <strike val="0"/>
        <condense val="0"/>
        <extend val="0"/>
        <outline val="0"/>
        <shadow val="0"/>
        <u val="none"/>
        <vertAlign val="baseline"/>
        <sz val="14"/>
        <color auto="1"/>
        <name val="Times New Roman"/>
        <scheme val="none"/>
      </font>
      <numFmt numFmtId="169" formatCode="#,##0.00_ ;[Red]\-#,##0.00\ "/>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val="0"/>
        <sz val="14"/>
        <color auto="1"/>
        <name val="Times New Roman"/>
        <scheme val="none"/>
      </font>
      <alignment vertical="bottom" readingOrder="0"/>
    </ndxf>
  </rcc>
  <rcc rId="8067" sId="18" odxf="1" s="1" dxf="1">
    <nc r="D33">
      <f>D21+D25+D29</f>
    </nc>
    <odxf>
      <font>
        <b/>
        <i val="0"/>
        <strike val="0"/>
        <condense val="0"/>
        <extend val="0"/>
        <outline val="0"/>
        <shadow val="0"/>
        <u val="none"/>
        <vertAlign val="baseline"/>
        <sz val="14"/>
        <color auto="1"/>
        <name val="Times New Roman"/>
        <scheme val="none"/>
      </font>
      <numFmt numFmtId="169" formatCode="#,##0.00_ ;[Red]\-#,##0.00\ "/>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val="0"/>
        <sz val="14"/>
        <color auto="1"/>
        <name val="Times New Roman"/>
        <scheme val="none"/>
      </font>
      <alignment vertical="bottom" readingOrder="0"/>
    </ndxf>
  </rcc>
  <rcc rId="8068" sId="18" odxf="1" s="1" dxf="1">
    <nc r="E33">
      <f>E21+E25+E29</f>
    </nc>
    <odxf>
      <font>
        <b/>
        <i val="0"/>
        <strike val="0"/>
        <condense val="0"/>
        <extend val="0"/>
        <outline val="0"/>
        <shadow val="0"/>
        <u val="none"/>
        <vertAlign val="baseline"/>
        <sz val="14"/>
        <color auto="1"/>
        <name val="Times New Roman"/>
        <scheme val="none"/>
      </font>
      <numFmt numFmtId="169" formatCode="#,##0.00_ ;[Red]\-#,##0.00\ "/>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val="0"/>
        <sz val="14"/>
        <color auto="1"/>
        <name val="Times New Roman"/>
        <scheme val="none"/>
      </font>
      <alignment vertical="bottom" readingOrder="0"/>
    </ndxf>
  </rcc>
  <rfmt sheetId="18" sqref="F33" start="0" length="0">
    <dxf>
      <font>
        <b val="0"/>
        <sz val="14"/>
        <color auto="1"/>
        <name val="Times New Roman"/>
        <scheme val="none"/>
      </font>
      <alignment vertical="top" readingOrder="0"/>
    </dxf>
  </rfmt>
  <rfmt sheetId="18" sqref="G33" start="0" length="0">
    <dxf>
      <font>
        <b val="0"/>
        <sz val="14"/>
        <color auto="1"/>
        <name val="Times New Roman"/>
        <scheme val="none"/>
      </font>
      <alignment vertical="top" readingOrder="0"/>
    </dxf>
  </rfmt>
  <rcc rId="8069" sId="18" odxf="1" s="1" dxf="1">
    <nc r="H33">
      <f>H21+H25+H29</f>
    </nc>
    <odxf>
      <font>
        <b/>
        <i val="0"/>
        <strike val="0"/>
        <condense val="0"/>
        <extend val="0"/>
        <outline val="0"/>
        <shadow val="0"/>
        <u val="none"/>
        <vertAlign val="baseline"/>
        <sz val="14"/>
        <color auto="1"/>
        <name val="Times New Roman"/>
        <scheme val="none"/>
      </font>
      <numFmt numFmtId="169" formatCode="#,##0.00_ ;[Red]\-#,##0.00\ "/>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odxf>
    <ndxf>
      <font>
        <b val="0"/>
        <sz val="14"/>
        <color auto="1"/>
        <name val="Times New Roman"/>
        <scheme val="none"/>
      </font>
      <alignment vertical="bottom" readingOrder="0"/>
      <protection locked="1"/>
    </ndxf>
  </rcc>
  <rfmt sheetId="18" s="1" sqref="I33" start="0" length="0">
    <dxf>
      <font>
        <b val="0"/>
        <sz val="14"/>
        <color auto="1"/>
        <name val="Times New Roman"/>
        <scheme val="none"/>
      </font>
      <alignment vertical="bottom" readingOrder="0"/>
      <protection locked="1"/>
    </dxf>
  </rfmt>
  <rcc rId="8070" sId="18" odxf="1" dxf="1">
    <nc r="F33">
      <f>IFERROR(E33/B33*100,0)</f>
    </nc>
    <ndxf>
      <font>
        <b/>
        <sz val="14"/>
        <color auto="1"/>
        <name val="Times New Roman"/>
        <scheme val="none"/>
      </font>
      <alignment vertical="center" readingOrder="0"/>
    </ndxf>
  </rcc>
  <rcc rId="8071" sId="18" odxf="1" dxf="1">
    <nc r="G33">
      <f>IFERROR(E33/C33*100,0)</f>
    </nc>
    <ndxf>
      <font>
        <b/>
        <sz val="14"/>
        <color auto="1"/>
        <name val="Times New Roman"/>
        <scheme val="none"/>
      </font>
      <alignment vertical="center" readingOrder="0"/>
    </ndxf>
  </rcc>
  <rfmt sheetId="18" sqref="F33:G33" start="0" length="2147483647">
    <dxf>
      <font>
        <b val="0"/>
      </font>
    </dxf>
  </rfmt>
  <rcc rId="8072" sId="18" odxf="1" dxf="1">
    <nc r="A33" t="inlineStr">
      <is>
        <t>бюджет автономного округа</t>
      </is>
    </nc>
    <odxf>
      <font>
        <b/>
        <sz val="14"/>
        <color auto="1"/>
        <name val="Times New Roman"/>
        <scheme val="none"/>
      </font>
      <fill>
        <patternFill patternType="solid">
          <bgColor theme="0"/>
        </patternFill>
      </fill>
    </odxf>
    <ndxf>
      <font>
        <b val="0"/>
        <sz val="14"/>
        <color auto="1"/>
        <name val="Times New Roman"/>
        <scheme val="none"/>
      </font>
      <fill>
        <patternFill patternType="none">
          <bgColor indexed="65"/>
        </patternFill>
      </fill>
    </ndxf>
  </rcc>
  <rcc rId="8073" sId="18">
    <oc r="B32">
      <f>SUM(B34:B34)</f>
    </oc>
    <nc r="B32">
      <f>B33+B34</f>
    </nc>
  </rcc>
  <rcc rId="8074" sId="18">
    <oc r="C32">
      <f>SUM(C34:C34)</f>
    </oc>
    <nc r="C32">
      <f>C33+C34</f>
    </nc>
  </rcc>
  <rcc rId="8075" sId="18">
    <oc r="D32">
      <f>SUM(D34:D34)</f>
    </oc>
    <nc r="D32">
      <f>D33+D34</f>
    </nc>
  </rcc>
  <rcc rId="8076" sId="18">
    <oc r="E32">
      <f>SUM(E34:E34)</f>
    </oc>
    <nc r="E32">
      <f>E33+E34</f>
    </nc>
  </rcc>
  <rfmt sheetId="18" s="1" sqref="F32" start="0" length="0">
    <dxf/>
  </rfmt>
  <rfmt sheetId="18" s="1" sqref="G32" start="0" length="0">
    <dxf/>
  </rfmt>
  <rcc rId="8077" sId="18" odxf="1" s="1" dxf="1">
    <oc r="F32">
      <f>IFERROR(E32/B32*100,0)</f>
    </oc>
    <nc r="F32">
      <f>IFERROR(E32/B32*100,0)</f>
    </nc>
    <ndxf>
      <font>
        <b val="0"/>
        <sz val="14"/>
        <color auto="1"/>
        <name val="Times New Roman"/>
        <scheme val="none"/>
      </font>
    </ndxf>
  </rcc>
  <rcc rId="8078" sId="18" odxf="1" s="1" dxf="1">
    <oc r="G32">
      <f>IFERROR(E32/C32*100,0)</f>
    </oc>
    <nc r="G32">
      <f>IFERROR(E32/C32*100,0)</f>
    </nc>
    <ndxf>
      <font>
        <b val="0"/>
        <sz val="14"/>
        <color auto="1"/>
        <name val="Times New Roman"/>
        <scheme val="none"/>
      </font>
    </ndxf>
  </rcc>
  <rfmt sheetId="18" sqref="F32:G32" start="0" length="2147483647">
    <dxf>
      <font>
        <b/>
      </font>
    </dxf>
  </rfmt>
  <rcc rId="8079" sId="18">
    <nc r="I33">
      <f>I21+I25+I29</f>
    </nc>
  </rcc>
  <rcc rId="8080" sId="18" odxf="1" s="1" dxf="1">
    <nc r="J33">
      <f>J21+J25+J29</f>
    </nc>
    <odxf>
      <font>
        <b/>
        <i val="0"/>
        <strike val="0"/>
        <condense val="0"/>
        <extend val="0"/>
        <outline val="0"/>
        <shadow val="0"/>
        <u val="none"/>
        <vertAlign val="baseline"/>
        <sz val="14"/>
        <color auto="1"/>
        <name val="Times New Roman"/>
        <scheme val="none"/>
      </font>
      <numFmt numFmtId="169" formatCode="#,##0.00_ ;[Red]\-#,##0.00\ "/>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odxf>
    <ndxf>
      <font>
        <b val="0"/>
        <sz val="14"/>
        <color auto="1"/>
        <name val="Times New Roman"/>
        <scheme val="none"/>
      </font>
      <alignment vertical="bottom" readingOrder="0"/>
      <protection locked="1"/>
    </ndxf>
  </rcc>
  <rcc rId="8081" sId="18" odxf="1" s="1" dxf="1">
    <nc r="K33">
      <f>K21+K25+K29</f>
    </nc>
    <odxf>
      <font>
        <b/>
        <i val="0"/>
        <strike val="0"/>
        <condense val="0"/>
        <extend val="0"/>
        <outline val="0"/>
        <shadow val="0"/>
        <u val="none"/>
        <vertAlign val="baseline"/>
        <sz val="14"/>
        <color auto="1"/>
        <name val="Times New Roman"/>
        <scheme val="none"/>
      </font>
      <numFmt numFmtId="169" formatCode="#,##0.00_ ;[Red]\-#,##0.00\ "/>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odxf>
    <ndxf>
      <font>
        <b val="0"/>
        <sz val="14"/>
        <color auto="1"/>
        <name val="Times New Roman"/>
        <scheme val="none"/>
      </font>
      <alignment vertical="bottom" readingOrder="0"/>
      <protection locked="1"/>
    </ndxf>
  </rcc>
  <rcc rId="8082" sId="18" odxf="1" s="1" dxf="1">
    <nc r="L33">
      <f>L21+L25+L29</f>
    </nc>
    <odxf>
      <font>
        <b/>
        <i val="0"/>
        <strike val="0"/>
        <condense val="0"/>
        <extend val="0"/>
        <outline val="0"/>
        <shadow val="0"/>
        <u val="none"/>
        <vertAlign val="baseline"/>
        <sz val="14"/>
        <color auto="1"/>
        <name val="Times New Roman"/>
        <scheme val="none"/>
      </font>
      <numFmt numFmtId="169" formatCode="#,##0.00_ ;[Red]\-#,##0.00\ "/>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odxf>
    <ndxf>
      <font>
        <b val="0"/>
        <sz val="14"/>
        <color auto="1"/>
        <name val="Times New Roman"/>
        <scheme val="none"/>
      </font>
      <alignment vertical="bottom" readingOrder="0"/>
      <protection locked="1"/>
    </ndxf>
  </rcc>
  <rcc rId="8083" sId="18" odxf="1" s="1" dxf="1">
    <nc r="M33">
      <f>M21+M25+M29</f>
    </nc>
    <odxf>
      <font>
        <b/>
        <i val="0"/>
        <strike val="0"/>
        <condense val="0"/>
        <extend val="0"/>
        <outline val="0"/>
        <shadow val="0"/>
        <u val="none"/>
        <vertAlign val="baseline"/>
        <sz val="14"/>
        <color auto="1"/>
        <name val="Times New Roman"/>
        <scheme val="none"/>
      </font>
      <numFmt numFmtId="169" formatCode="#,##0.00_ ;[Red]\-#,##0.00\ "/>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odxf>
    <ndxf>
      <font>
        <b val="0"/>
        <sz val="14"/>
        <color auto="1"/>
        <name val="Times New Roman"/>
        <scheme val="none"/>
      </font>
      <alignment vertical="bottom" readingOrder="0"/>
      <protection locked="1"/>
    </ndxf>
  </rcc>
  <rcc rId="8084" sId="18" odxf="1" s="1" dxf="1">
    <nc r="N33">
      <f>N21+N25+N29</f>
    </nc>
    <odxf>
      <font>
        <b/>
        <i val="0"/>
        <strike val="0"/>
        <condense val="0"/>
        <extend val="0"/>
        <outline val="0"/>
        <shadow val="0"/>
        <u val="none"/>
        <vertAlign val="baseline"/>
        <sz val="14"/>
        <color auto="1"/>
        <name val="Times New Roman"/>
        <scheme val="none"/>
      </font>
      <numFmt numFmtId="169" formatCode="#,##0.00_ ;[Red]\-#,##0.00\ "/>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odxf>
    <ndxf>
      <font>
        <b val="0"/>
        <sz val="14"/>
        <color auto="1"/>
        <name val="Times New Roman"/>
        <scheme val="none"/>
      </font>
      <alignment vertical="bottom" readingOrder="0"/>
      <protection locked="1"/>
    </ndxf>
  </rcc>
  <rcc rId="8085" sId="18" odxf="1" s="1" dxf="1">
    <nc r="O33">
      <f>O21+O25+O29</f>
    </nc>
    <odxf>
      <font>
        <b/>
        <i val="0"/>
        <strike val="0"/>
        <condense val="0"/>
        <extend val="0"/>
        <outline val="0"/>
        <shadow val="0"/>
        <u val="none"/>
        <vertAlign val="baseline"/>
        <sz val="14"/>
        <color auto="1"/>
        <name val="Times New Roman"/>
        <scheme val="none"/>
      </font>
      <numFmt numFmtId="169" formatCode="#,##0.00_ ;[Red]\-#,##0.00\ "/>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odxf>
    <ndxf>
      <font>
        <b val="0"/>
        <sz val="14"/>
        <color auto="1"/>
        <name val="Times New Roman"/>
        <scheme val="none"/>
      </font>
      <alignment vertical="bottom" readingOrder="0"/>
      <protection locked="1"/>
    </ndxf>
  </rcc>
  <rcc rId="8086" sId="18" odxf="1" s="1" dxf="1">
    <nc r="P33">
      <f>P21+P25+P29</f>
    </nc>
    <odxf>
      <font>
        <b/>
        <i val="0"/>
        <strike val="0"/>
        <condense val="0"/>
        <extend val="0"/>
        <outline val="0"/>
        <shadow val="0"/>
        <u val="none"/>
        <vertAlign val="baseline"/>
        <sz val="14"/>
        <color auto="1"/>
        <name val="Times New Roman"/>
        <scheme val="none"/>
      </font>
      <numFmt numFmtId="169" formatCode="#,##0.00_ ;[Red]\-#,##0.00\ "/>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odxf>
    <ndxf>
      <font>
        <b val="0"/>
        <sz val="14"/>
        <color auto="1"/>
        <name val="Times New Roman"/>
        <scheme val="none"/>
      </font>
      <alignment vertical="bottom" readingOrder="0"/>
      <protection locked="1"/>
    </ndxf>
  </rcc>
  <rcc rId="8087" sId="18" odxf="1" s="1" dxf="1">
    <nc r="Q33">
      <f>Q21+Q25+Q29</f>
    </nc>
    <odxf>
      <font>
        <b/>
        <i val="0"/>
        <strike val="0"/>
        <condense val="0"/>
        <extend val="0"/>
        <outline val="0"/>
        <shadow val="0"/>
        <u val="none"/>
        <vertAlign val="baseline"/>
        <sz val="14"/>
        <color auto="1"/>
        <name val="Times New Roman"/>
        <scheme val="none"/>
      </font>
      <numFmt numFmtId="169" formatCode="#,##0.00_ ;[Red]\-#,##0.00\ "/>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odxf>
    <ndxf>
      <font>
        <b val="0"/>
        <sz val="14"/>
        <color auto="1"/>
        <name val="Times New Roman"/>
        <scheme val="none"/>
      </font>
      <alignment vertical="bottom" readingOrder="0"/>
      <protection locked="1"/>
    </ndxf>
  </rcc>
  <rcc rId="8088" sId="18" odxf="1" s="1" dxf="1">
    <nc r="R33">
      <f>R21+R25+R29</f>
    </nc>
    <odxf>
      <font>
        <b/>
        <i val="0"/>
        <strike val="0"/>
        <condense val="0"/>
        <extend val="0"/>
        <outline val="0"/>
        <shadow val="0"/>
        <u val="none"/>
        <vertAlign val="baseline"/>
        <sz val="14"/>
        <color auto="1"/>
        <name val="Times New Roman"/>
        <scheme val="none"/>
      </font>
      <numFmt numFmtId="169" formatCode="#,##0.00_ ;[Red]\-#,##0.00\ "/>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odxf>
    <ndxf>
      <font>
        <b val="0"/>
        <sz val="14"/>
        <color auto="1"/>
        <name val="Times New Roman"/>
        <scheme val="none"/>
      </font>
      <alignment vertical="bottom" readingOrder="0"/>
      <protection locked="1"/>
    </ndxf>
  </rcc>
  <rcc rId="8089" sId="18" odxf="1" s="1" dxf="1">
    <nc r="S33">
      <f>S21+S25+S29</f>
    </nc>
    <odxf>
      <font>
        <b/>
        <i val="0"/>
        <strike val="0"/>
        <condense val="0"/>
        <extend val="0"/>
        <outline val="0"/>
        <shadow val="0"/>
        <u val="none"/>
        <vertAlign val="baseline"/>
        <sz val="14"/>
        <color auto="1"/>
        <name val="Times New Roman"/>
        <scheme val="none"/>
      </font>
      <numFmt numFmtId="169" formatCode="#,##0.00_ ;[Red]\-#,##0.00\ "/>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odxf>
    <ndxf>
      <font>
        <b val="0"/>
        <sz val="14"/>
        <color auto="1"/>
        <name val="Times New Roman"/>
        <scheme val="none"/>
      </font>
      <alignment vertical="bottom" readingOrder="0"/>
      <protection locked="1"/>
    </ndxf>
  </rcc>
  <rcc rId="8090" sId="18" odxf="1" s="1" dxf="1">
    <nc r="T33">
      <f>T21+T25+T29</f>
    </nc>
    <odxf>
      <font>
        <b/>
        <i val="0"/>
        <strike val="0"/>
        <condense val="0"/>
        <extend val="0"/>
        <outline val="0"/>
        <shadow val="0"/>
        <u val="none"/>
        <vertAlign val="baseline"/>
        <sz val="14"/>
        <color auto="1"/>
        <name val="Times New Roman"/>
        <scheme val="none"/>
      </font>
      <numFmt numFmtId="169" formatCode="#,##0.00_ ;[Red]\-#,##0.00\ "/>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odxf>
    <ndxf>
      <font>
        <b val="0"/>
        <sz val="14"/>
        <color auto="1"/>
        <name val="Times New Roman"/>
        <scheme val="none"/>
      </font>
      <alignment vertical="bottom" readingOrder="0"/>
      <protection locked="1"/>
    </ndxf>
  </rcc>
  <rcc rId="8091" sId="18" odxf="1" s="1" dxf="1">
    <nc r="U33">
      <f>U21+U25+U29</f>
    </nc>
    <odxf>
      <font>
        <b/>
        <i val="0"/>
        <strike val="0"/>
        <condense val="0"/>
        <extend val="0"/>
        <outline val="0"/>
        <shadow val="0"/>
        <u val="none"/>
        <vertAlign val="baseline"/>
        <sz val="14"/>
        <color auto="1"/>
        <name val="Times New Roman"/>
        <scheme val="none"/>
      </font>
      <numFmt numFmtId="169" formatCode="#,##0.00_ ;[Red]\-#,##0.00\ "/>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odxf>
    <ndxf>
      <font>
        <b val="0"/>
        <sz val="14"/>
        <color auto="1"/>
        <name val="Times New Roman"/>
        <scheme val="none"/>
      </font>
      <alignment vertical="bottom" readingOrder="0"/>
      <protection locked="1"/>
    </ndxf>
  </rcc>
  <rcc rId="8092" sId="18" odxf="1" s="1" dxf="1">
    <nc r="V33">
      <f>V21+V25+V29</f>
    </nc>
    <odxf>
      <font>
        <b/>
        <i val="0"/>
        <strike val="0"/>
        <condense val="0"/>
        <extend val="0"/>
        <outline val="0"/>
        <shadow val="0"/>
        <u val="none"/>
        <vertAlign val="baseline"/>
        <sz val="14"/>
        <color auto="1"/>
        <name val="Times New Roman"/>
        <scheme val="none"/>
      </font>
      <numFmt numFmtId="169" formatCode="#,##0.00_ ;[Red]\-#,##0.00\ "/>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odxf>
    <ndxf>
      <font>
        <b val="0"/>
        <sz val="14"/>
        <color auto="1"/>
        <name val="Times New Roman"/>
        <scheme val="none"/>
      </font>
      <alignment vertical="bottom" readingOrder="0"/>
      <protection locked="1"/>
    </ndxf>
  </rcc>
  <rcc rId="8093" sId="18" odxf="1" s="1" dxf="1">
    <nc r="W33">
      <f>W21+W25+W29</f>
    </nc>
    <odxf>
      <font>
        <b/>
        <i val="0"/>
        <strike val="0"/>
        <condense val="0"/>
        <extend val="0"/>
        <outline val="0"/>
        <shadow val="0"/>
        <u val="none"/>
        <vertAlign val="baseline"/>
        <sz val="14"/>
        <color auto="1"/>
        <name val="Times New Roman"/>
        <scheme val="none"/>
      </font>
      <numFmt numFmtId="169" formatCode="#,##0.00_ ;[Red]\-#,##0.00\ "/>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odxf>
    <ndxf>
      <font>
        <b val="0"/>
        <sz val="14"/>
        <color auto="1"/>
        <name val="Times New Roman"/>
        <scheme val="none"/>
      </font>
      <alignment vertical="bottom" readingOrder="0"/>
      <protection locked="1"/>
    </ndxf>
  </rcc>
  <rcc rId="8094" sId="18" odxf="1" s="1" dxf="1">
    <nc r="X33">
      <f>X21+X25+X29</f>
    </nc>
    <odxf>
      <font>
        <b/>
        <i val="0"/>
        <strike val="0"/>
        <condense val="0"/>
        <extend val="0"/>
        <outline val="0"/>
        <shadow val="0"/>
        <u val="none"/>
        <vertAlign val="baseline"/>
        <sz val="14"/>
        <color auto="1"/>
        <name val="Times New Roman"/>
        <scheme val="none"/>
      </font>
      <numFmt numFmtId="169" formatCode="#,##0.00_ ;[Red]\-#,##0.00\ "/>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odxf>
    <ndxf>
      <font>
        <b val="0"/>
        <sz val="14"/>
        <color auto="1"/>
        <name val="Times New Roman"/>
        <scheme val="none"/>
      </font>
      <alignment vertical="bottom" readingOrder="0"/>
      <protection locked="1"/>
    </ndxf>
  </rcc>
  <rcc rId="8095" sId="18" odxf="1" s="1" dxf="1">
    <nc r="Y33">
      <f>Y21+Y25+Y29</f>
    </nc>
    <odxf>
      <font>
        <b/>
        <i val="0"/>
        <strike val="0"/>
        <condense val="0"/>
        <extend val="0"/>
        <outline val="0"/>
        <shadow val="0"/>
        <u val="none"/>
        <vertAlign val="baseline"/>
        <sz val="14"/>
        <color auto="1"/>
        <name val="Times New Roman"/>
        <scheme val="none"/>
      </font>
      <numFmt numFmtId="169" formatCode="#,##0.00_ ;[Red]\-#,##0.00\ "/>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odxf>
    <ndxf>
      <font>
        <b val="0"/>
        <sz val="14"/>
        <color auto="1"/>
        <name val="Times New Roman"/>
        <scheme val="none"/>
      </font>
      <alignment vertical="bottom" readingOrder="0"/>
      <protection locked="1"/>
    </ndxf>
  </rcc>
  <rcc rId="8096" sId="18" odxf="1" s="1" dxf="1">
    <nc r="Z33">
      <f>Z21+Z25+Z29</f>
    </nc>
    <odxf>
      <font>
        <b/>
        <i val="0"/>
        <strike val="0"/>
        <condense val="0"/>
        <extend val="0"/>
        <outline val="0"/>
        <shadow val="0"/>
        <u val="none"/>
        <vertAlign val="baseline"/>
        <sz val="14"/>
        <color auto="1"/>
        <name val="Times New Roman"/>
        <scheme val="none"/>
      </font>
      <numFmt numFmtId="169" formatCode="#,##0.00_ ;[Red]\-#,##0.00\ "/>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odxf>
    <ndxf>
      <font>
        <b val="0"/>
        <sz val="14"/>
        <color auto="1"/>
        <name val="Times New Roman"/>
        <scheme val="none"/>
      </font>
      <alignment vertical="bottom" readingOrder="0"/>
      <protection locked="1"/>
    </ndxf>
  </rcc>
  <rcc rId="8097" sId="18" odxf="1" s="1" dxf="1">
    <nc r="AA33">
      <f>AA21+AA25+AA29</f>
    </nc>
    <odxf>
      <font>
        <b/>
        <i val="0"/>
        <strike val="0"/>
        <condense val="0"/>
        <extend val="0"/>
        <outline val="0"/>
        <shadow val="0"/>
        <u val="none"/>
        <vertAlign val="baseline"/>
        <sz val="14"/>
        <color auto="1"/>
        <name val="Times New Roman"/>
        <scheme val="none"/>
      </font>
      <numFmt numFmtId="169" formatCode="#,##0.00_ ;[Red]\-#,##0.00\ "/>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odxf>
    <ndxf>
      <font>
        <b val="0"/>
        <sz val="14"/>
        <color auto="1"/>
        <name val="Times New Roman"/>
        <scheme val="none"/>
      </font>
      <alignment vertical="bottom" readingOrder="0"/>
      <protection locked="1"/>
    </ndxf>
  </rcc>
  <rcc rId="8098" sId="18" odxf="1" s="1" dxf="1">
    <nc r="AB33">
      <f>AB21+AB25+AB29</f>
    </nc>
    <odxf>
      <font>
        <b/>
        <i val="0"/>
        <strike val="0"/>
        <condense val="0"/>
        <extend val="0"/>
        <outline val="0"/>
        <shadow val="0"/>
        <u val="none"/>
        <vertAlign val="baseline"/>
        <sz val="14"/>
        <color auto="1"/>
        <name val="Times New Roman"/>
        <scheme val="none"/>
      </font>
      <numFmt numFmtId="169" formatCode="#,##0.00_ ;[Red]\-#,##0.00\ "/>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odxf>
    <ndxf>
      <font>
        <b val="0"/>
        <sz val="14"/>
        <color auto="1"/>
        <name val="Times New Roman"/>
        <scheme val="none"/>
      </font>
      <alignment vertical="bottom" readingOrder="0"/>
      <protection locked="1"/>
    </ndxf>
  </rcc>
  <rcc rId="8099" sId="18" odxf="1" s="1" dxf="1">
    <nc r="AC33">
      <f>AC21+AC25+AC29</f>
    </nc>
    <odxf>
      <font>
        <b/>
        <i val="0"/>
        <strike val="0"/>
        <condense val="0"/>
        <extend val="0"/>
        <outline val="0"/>
        <shadow val="0"/>
        <u val="none"/>
        <vertAlign val="baseline"/>
        <sz val="14"/>
        <color auto="1"/>
        <name val="Times New Roman"/>
        <scheme val="none"/>
      </font>
      <numFmt numFmtId="169" formatCode="#,##0.00_ ;[Red]\-#,##0.00\ "/>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odxf>
    <ndxf>
      <font>
        <b val="0"/>
        <sz val="14"/>
        <color auto="1"/>
        <name val="Times New Roman"/>
        <scheme val="none"/>
      </font>
      <alignment vertical="bottom" readingOrder="0"/>
      <protection locked="1"/>
    </ndxf>
  </rcc>
  <rcc rId="8100" sId="18" odxf="1" s="1" dxf="1">
    <nc r="AD33">
      <f>AD21+AD25+AD29</f>
    </nc>
    <odxf>
      <font>
        <b/>
        <i val="0"/>
        <strike val="0"/>
        <condense val="0"/>
        <extend val="0"/>
        <outline val="0"/>
        <shadow val="0"/>
        <u val="none"/>
        <vertAlign val="baseline"/>
        <sz val="14"/>
        <color auto="1"/>
        <name val="Times New Roman"/>
        <scheme val="none"/>
      </font>
      <numFmt numFmtId="169" formatCode="#,##0.00_ ;[Red]\-#,##0.00\ "/>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odxf>
    <ndxf>
      <font>
        <b val="0"/>
        <sz val="14"/>
        <color auto="1"/>
        <name val="Times New Roman"/>
        <scheme val="none"/>
      </font>
      <alignment vertical="bottom" readingOrder="0"/>
      <protection locked="1"/>
    </ndxf>
  </rcc>
  <rcc rId="8101" sId="18" odxf="1" s="1" dxf="1">
    <nc r="AE33">
      <f>AE21+AE25+AE29</f>
    </nc>
    <odxf>
      <font>
        <b/>
        <i val="0"/>
        <strike val="0"/>
        <condense val="0"/>
        <extend val="0"/>
        <outline val="0"/>
        <shadow val="0"/>
        <u val="none"/>
        <vertAlign val="baseline"/>
        <sz val="14"/>
        <color auto="1"/>
        <name val="Times New Roman"/>
        <scheme val="none"/>
      </font>
      <numFmt numFmtId="169" formatCode="#,##0.00_ ;[Red]\-#,##0.00\ "/>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odxf>
    <ndxf>
      <font>
        <b val="0"/>
        <sz val="14"/>
        <color auto="1"/>
        <name val="Times New Roman"/>
        <scheme val="none"/>
      </font>
      <alignment vertical="bottom" readingOrder="0"/>
      <protection locked="1"/>
    </ndxf>
  </rcc>
  <rcc rId="8102" sId="18">
    <oc r="I32">
      <f>SUM(I34:I34)</f>
    </oc>
    <nc r="I32">
      <f>SUM(I34:I34)</f>
    </nc>
  </rcc>
  <rcc rId="8103" sId="18">
    <oc r="J32">
      <f>SUM(J34:J34)</f>
    </oc>
    <nc r="J32">
      <f>SUM(J34:J34)</f>
    </nc>
  </rcc>
  <rcc rId="8104" sId="18">
    <oc r="K32">
      <f>SUM(K34:K34)</f>
    </oc>
    <nc r="K32">
      <f>SUM(K34:K34)</f>
    </nc>
  </rcc>
  <rcc rId="8105" sId="18">
    <oc r="L32">
      <f>SUM(L34:L34)</f>
    </oc>
    <nc r="L32">
      <f>SUM(L34:L34)</f>
    </nc>
  </rcc>
  <rcc rId="8106" sId="18">
    <oc r="M32">
      <f>SUM(M34:M34)</f>
    </oc>
    <nc r="M32">
      <f>SUM(M34:M34)</f>
    </nc>
  </rcc>
  <rcc rId="8107" sId="18">
    <oc r="N32">
      <f>SUM(N34:N34)</f>
    </oc>
    <nc r="N32">
      <f>SUM(N34:N34)</f>
    </nc>
  </rcc>
  <rcc rId="8108" sId="18">
    <oc r="O32">
      <f>SUM(O34:O34)</f>
    </oc>
    <nc r="O32">
      <f>SUM(O34:O34)</f>
    </nc>
  </rcc>
  <rcc rId="8109" sId="18">
    <oc r="P32">
      <f>SUM(P34:P34)</f>
    </oc>
    <nc r="P32">
      <f>SUM(P34:P34)</f>
    </nc>
  </rcc>
  <rcc rId="8110" sId="18">
    <oc r="Q32">
      <f>SUM(Q34:Q34)</f>
    </oc>
    <nc r="Q32">
      <f>SUM(Q34:Q34)</f>
    </nc>
  </rcc>
  <rcc rId="8111" sId="18">
    <oc r="R32">
      <f>SUM(R34:R34)</f>
    </oc>
    <nc r="R32">
      <f>SUM(R34:R34)</f>
    </nc>
  </rcc>
  <rcc rId="8112" sId="18">
    <oc r="S32">
      <f>SUM(S34:S34)</f>
    </oc>
    <nc r="S32">
      <f>SUM(S34:S34)</f>
    </nc>
  </rcc>
  <rcc rId="8113" sId="18">
    <oc r="T32">
      <f>SUM(T34:T34)</f>
    </oc>
    <nc r="T32">
      <f>SUM(T34:T34)</f>
    </nc>
  </rcc>
  <rcc rId="8114" sId="18">
    <oc r="U32">
      <f>SUM(U34:U34)</f>
    </oc>
    <nc r="U32">
      <f>SUM(U34:U34)</f>
    </nc>
  </rcc>
  <rcc rId="8115" sId="18">
    <oc r="V32">
      <f>SUM(V34:V34)</f>
    </oc>
    <nc r="V32">
      <f>SUM(V34:V34)</f>
    </nc>
  </rcc>
  <rcc rId="8116" sId="18">
    <oc r="W32">
      <f>SUM(W34:W34)</f>
    </oc>
    <nc r="W32">
      <f>SUM(W34:W34)</f>
    </nc>
  </rcc>
  <rcc rId="8117" sId="18">
    <oc r="X32">
      <f>SUM(X34:X34)</f>
    </oc>
    <nc r="X32">
      <f>SUM(X34:X34)</f>
    </nc>
  </rcc>
  <rcc rId="8118" sId="18">
    <oc r="Y32">
      <f>SUM(Y34:Y34)</f>
    </oc>
    <nc r="Y32">
      <f>SUM(Y34:Y34)</f>
    </nc>
  </rcc>
  <rcc rId="8119" sId="18">
    <oc r="Z32">
      <f>SUM(Z34:Z34)</f>
    </oc>
    <nc r="Z32">
      <f>SUM(Z34:Z34)</f>
    </nc>
  </rcc>
  <rcc rId="8120" sId="18">
    <oc r="AA32">
      <f>SUM(AA34:AA34)</f>
    </oc>
    <nc r="AA32">
      <f>SUM(AA34:AA34)</f>
    </nc>
  </rcc>
  <rcc rId="8121" sId="18">
    <oc r="AB32">
      <f>SUM(AB34:AB34)</f>
    </oc>
    <nc r="AB32">
      <f>SUM(AB34:AB34)</f>
    </nc>
  </rcc>
  <rcc rId="8122" sId="18">
    <oc r="AC32">
      <f>SUM(AC34:AC34)</f>
    </oc>
    <nc r="AC32">
      <f>SUM(AC34:AC34)</f>
    </nc>
  </rcc>
  <rcc rId="8123" sId="18">
    <oc r="AD32">
      <f>SUM(AD34:AD34)</f>
    </oc>
    <nc r="AD32">
      <f>SUM(AD34:AD34)</f>
    </nc>
  </rcc>
  <rcc rId="8124" sId="18">
    <oc r="AE32">
      <f>SUM(AE34:AE34)</f>
    </oc>
    <nc r="AE32">
      <f>SUM(AE34:AE34)</f>
    </nc>
  </rcc>
</revisions>
</file>

<file path=xl/revisions/revisionLog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542" sId="21" numFmtId="4">
    <nc r="X114">
      <v>30.5</v>
    </nc>
  </rcc>
  <rcc rId="6543" sId="21" numFmtId="4">
    <oc r="AD114">
      <v>7367.8</v>
    </oc>
    <nc r="AD114">
      <v>4232.2</v>
    </nc>
  </rcc>
  <rcc rId="6544" sId="21">
    <oc r="AF112" t="inlineStr">
      <is>
        <r>
          <rPr>
            <b/>
            <sz val="12"/>
            <rFont val="Times New Roman"/>
            <family val="1"/>
            <charset val="204"/>
          </rPr>
          <t>МКУ "УКС и ЖКК г.Когалыма":</t>
        </r>
        <r>
          <rPr>
            <sz val="12"/>
            <rFont val="Times New Roman"/>
            <family val="1"/>
            <charset val="204"/>
          </rPr>
          <t xml:space="preserve">
МК от 15.04.2024 №0187300013724000046 на выполнение работ по сторительству сетей наружного освещения автомобильной дороги по проспекту Нефтяников (от улицы Ноябрьская до путепровода) на сумму 3 732,16 тыс.руб.</t>
        </r>
      </is>
    </oc>
    <nc r="AF112" t="inlineStr">
      <is>
        <r>
          <rPr>
            <b/>
            <sz val="12"/>
            <rFont val="Times New Roman"/>
            <family val="1"/>
            <charset val="204"/>
          </rPr>
          <t>МКУ "УКС и ЖКК г.Когалыма":</t>
        </r>
        <r>
          <rPr>
            <sz val="12"/>
            <rFont val="Times New Roman"/>
            <family val="1"/>
            <charset val="204"/>
          </rPr>
          <t xml:space="preserve">
МК от 15.04.2024 №0187300013724000046 на выполнение работ по сторительству сетей наружного освещения автомобильной дороги по проспекту Нефтяников (от улицы Ноябрьская до путепровода) на сумму 3 732,16 тыс.руб.
В соответствии с решением Думы г.Когалыма от 19.06.2024 №410-ГД экономия плановых ассигнований по итогам электронного аукциона в сумме 3 105,1 тыс.руб. перераспределена на другие мероприятия в рамках муниципальных программ города Когалыма.</t>
        </r>
      </is>
    </nc>
  </rcc>
  <rfmt sheetId="21" sqref="A130:AE130" start="0" length="2147483647">
    <dxf>
      <font>
        <color rgb="FFFF0000"/>
      </font>
    </dxf>
  </rfmt>
  <rrc rId="6545" sId="21" ref="A142:XFD147" action="insertRow"/>
  <rfmt sheetId="21" sqref="A142" start="0" length="0">
    <dxf>
      <fill>
        <patternFill patternType="solid">
          <bgColor theme="9" tint="0.79998168889431442"/>
        </patternFill>
      </fill>
      <border outline="0">
        <right/>
      </border>
    </dxf>
  </rfmt>
  <rcc rId="6546" sId="21">
    <nc r="A143" t="inlineStr">
      <is>
        <t>Всего</t>
      </is>
    </nc>
  </rcc>
  <rcc rId="6547" sId="21" odxf="1" dxf="1">
    <nc r="B143">
      <f>B144+B145+B147</f>
    </nc>
    <odxf>
      <fill>
        <patternFill patternType="none">
          <bgColor indexed="65"/>
        </patternFill>
      </fill>
    </odxf>
    <ndxf>
      <fill>
        <patternFill patternType="solid">
          <bgColor theme="0"/>
        </patternFill>
      </fill>
    </ndxf>
  </rcc>
  <rcc rId="6548" sId="21" odxf="1" dxf="1">
    <nc r="C143">
      <f>C144+C145+C147</f>
    </nc>
    <odxf>
      <numFmt numFmtId="172" formatCode="#,##0.00_р_."/>
      <fill>
        <patternFill patternType="none">
          <bgColor indexed="65"/>
        </patternFill>
      </fill>
    </odxf>
    <ndxf>
      <numFmt numFmtId="4" formatCode="#,##0.00"/>
      <fill>
        <patternFill patternType="solid">
          <bgColor theme="0"/>
        </patternFill>
      </fill>
    </ndxf>
  </rcc>
  <rcc rId="6549" sId="21" odxf="1" dxf="1">
    <nc r="D143">
      <f>D144+D145+D147</f>
    </nc>
    <odxf>
      <fill>
        <patternFill patternType="none">
          <bgColor indexed="65"/>
        </patternFill>
      </fill>
    </odxf>
    <ndxf>
      <fill>
        <patternFill patternType="solid">
          <bgColor theme="0"/>
        </patternFill>
      </fill>
    </ndxf>
  </rcc>
  <rcc rId="6550" sId="21" odxf="1" dxf="1">
    <nc r="E143">
      <f>E144+E145+E147</f>
    </nc>
    <odxf>
      <fill>
        <patternFill patternType="none">
          <bgColor indexed="65"/>
        </patternFill>
      </fill>
    </odxf>
    <ndxf>
      <fill>
        <patternFill patternType="solid">
          <bgColor theme="0"/>
        </patternFill>
      </fill>
    </ndxf>
  </rcc>
  <rcc rId="6551" sId="21">
    <nc r="F143">
      <f>IFERROR(E143/B143*100,0)</f>
    </nc>
  </rcc>
  <rcc rId="6552" sId="21">
    <nc r="G143">
      <f>IFERROR(E143/C143*100,0)</f>
    </nc>
  </rcc>
  <rcc rId="6553" sId="21" odxf="1" dxf="1">
    <nc r="H143">
      <f>H144+H145+H147</f>
    </nc>
    <odxf>
      <numFmt numFmtId="172" formatCode="#,##0.00_р_."/>
    </odxf>
    <ndxf>
      <numFmt numFmtId="4" formatCode="#,##0.00"/>
    </ndxf>
  </rcc>
  <rcc rId="6554" sId="21" odxf="1" dxf="1">
    <nc r="I143">
      <f>I144+I145+I147</f>
    </nc>
    <odxf>
      <numFmt numFmtId="172" formatCode="#,##0.00_р_."/>
    </odxf>
    <ndxf>
      <numFmt numFmtId="4" formatCode="#,##0.00"/>
    </ndxf>
  </rcc>
  <rcc rId="6555" sId="21" odxf="1" dxf="1">
    <nc r="J143">
      <f>J144+J145+J147</f>
    </nc>
    <odxf>
      <numFmt numFmtId="172" formatCode="#,##0.00_р_."/>
    </odxf>
    <ndxf>
      <numFmt numFmtId="4" formatCode="#,##0.00"/>
    </ndxf>
  </rcc>
  <rcc rId="6556" sId="21" odxf="1" dxf="1">
    <nc r="K143">
      <f>K144+K145+K147</f>
    </nc>
    <odxf>
      <numFmt numFmtId="172" formatCode="#,##0.00_р_."/>
    </odxf>
    <ndxf>
      <numFmt numFmtId="4" formatCode="#,##0.00"/>
    </ndxf>
  </rcc>
  <rcc rId="6557" sId="21" odxf="1" dxf="1">
    <nc r="L143">
      <f>L144+L145+L147</f>
    </nc>
    <odxf>
      <numFmt numFmtId="172" formatCode="#,##0.00_р_."/>
    </odxf>
    <ndxf>
      <numFmt numFmtId="4" formatCode="#,##0.00"/>
    </ndxf>
  </rcc>
  <rcc rId="6558" sId="21" odxf="1" dxf="1">
    <nc r="M143">
      <f>M144+M145+M147</f>
    </nc>
    <odxf>
      <numFmt numFmtId="172" formatCode="#,##0.00_р_."/>
    </odxf>
    <ndxf>
      <numFmt numFmtId="4" formatCode="#,##0.00"/>
    </ndxf>
  </rcc>
  <rcc rId="6559" sId="21" odxf="1" dxf="1">
    <nc r="N143">
      <f>N144+N145+N147</f>
    </nc>
    <odxf>
      <numFmt numFmtId="172" formatCode="#,##0.00_р_."/>
    </odxf>
    <ndxf>
      <numFmt numFmtId="4" formatCode="#,##0.00"/>
    </ndxf>
  </rcc>
  <rcc rId="6560" sId="21" odxf="1" dxf="1">
    <nc r="O143">
      <f>O144+O145+O147</f>
    </nc>
    <odxf>
      <numFmt numFmtId="172" formatCode="#,##0.00_р_."/>
    </odxf>
    <ndxf>
      <numFmt numFmtId="4" formatCode="#,##0.00"/>
    </ndxf>
  </rcc>
  <rcc rId="6561" sId="21" odxf="1" dxf="1">
    <nc r="P143">
      <f>P144+P145+P147</f>
    </nc>
    <odxf>
      <numFmt numFmtId="172" formatCode="#,##0.00_р_."/>
    </odxf>
    <ndxf>
      <numFmt numFmtId="4" formatCode="#,##0.00"/>
    </ndxf>
  </rcc>
  <rcc rId="6562" sId="21" odxf="1" dxf="1">
    <nc r="Q143">
      <f>Q144+Q145+Q147</f>
    </nc>
    <odxf>
      <numFmt numFmtId="172" formatCode="#,##0.00_р_."/>
    </odxf>
    <ndxf>
      <numFmt numFmtId="4" formatCode="#,##0.00"/>
    </ndxf>
  </rcc>
  <rcc rId="6563" sId="21" odxf="1" dxf="1">
    <nc r="R143">
      <f>R144+R145+R147</f>
    </nc>
    <odxf>
      <numFmt numFmtId="172" formatCode="#,##0.00_р_."/>
    </odxf>
    <ndxf>
      <numFmt numFmtId="4" formatCode="#,##0.00"/>
    </ndxf>
  </rcc>
  <rcc rId="6564" sId="21" odxf="1" dxf="1">
    <nc r="S143">
      <f>S144+S145+S147</f>
    </nc>
    <odxf>
      <numFmt numFmtId="172" formatCode="#,##0.00_р_."/>
    </odxf>
    <ndxf>
      <numFmt numFmtId="4" formatCode="#,##0.00"/>
    </ndxf>
  </rcc>
  <rcc rId="6565" sId="21" odxf="1" dxf="1">
    <nc r="T143">
      <f>T144+T145+T147</f>
    </nc>
    <odxf>
      <numFmt numFmtId="172" formatCode="#,##0.00_р_."/>
    </odxf>
    <ndxf>
      <numFmt numFmtId="4" formatCode="#,##0.00"/>
    </ndxf>
  </rcc>
  <rcc rId="6566" sId="21" odxf="1" dxf="1">
    <nc r="U143">
      <f>U144+U145+U147</f>
    </nc>
    <odxf>
      <numFmt numFmtId="172" formatCode="#,##0.00_р_."/>
    </odxf>
    <ndxf>
      <numFmt numFmtId="4" formatCode="#,##0.00"/>
    </ndxf>
  </rcc>
  <rcc rId="6567" sId="21" odxf="1" dxf="1">
    <nc r="V143">
      <f>V144+V145+V147</f>
    </nc>
    <odxf>
      <numFmt numFmtId="172" formatCode="#,##0.00_р_."/>
    </odxf>
    <ndxf>
      <numFmt numFmtId="4" formatCode="#,##0.00"/>
    </ndxf>
  </rcc>
  <rcc rId="6568" sId="21" odxf="1" dxf="1">
    <nc r="W143">
      <f>W144+W145+W147</f>
    </nc>
    <odxf>
      <numFmt numFmtId="172" formatCode="#,##0.00_р_."/>
    </odxf>
    <ndxf>
      <numFmt numFmtId="4" formatCode="#,##0.00"/>
    </ndxf>
  </rcc>
  <rcc rId="6569" sId="21" odxf="1" dxf="1">
    <nc r="X143">
      <f>X144+X145+X147</f>
    </nc>
    <odxf>
      <numFmt numFmtId="172" formatCode="#,##0.00_р_."/>
    </odxf>
    <ndxf>
      <numFmt numFmtId="4" formatCode="#,##0.00"/>
    </ndxf>
  </rcc>
  <rcc rId="6570" sId="21" odxf="1" dxf="1">
    <nc r="Y143">
      <f>Y144+Y145+Y147</f>
    </nc>
    <odxf>
      <numFmt numFmtId="172" formatCode="#,##0.00_р_."/>
    </odxf>
    <ndxf>
      <numFmt numFmtId="4" formatCode="#,##0.00"/>
    </ndxf>
  </rcc>
  <rcc rId="6571" sId="21" odxf="1" dxf="1">
    <nc r="Z143">
      <f>Z144+Z145+Z147</f>
    </nc>
    <odxf>
      <numFmt numFmtId="172" formatCode="#,##0.00_р_."/>
    </odxf>
    <ndxf>
      <numFmt numFmtId="4" formatCode="#,##0.00"/>
    </ndxf>
  </rcc>
  <rcc rId="6572" sId="21" odxf="1" dxf="1">
    <nc r="AA143">
      <f>AA144+AA145+AA147</f>
    </nc>
    <odxf>
      <numFmt numFmtId="172" formatCode="#,##0.00_р_."/>
    </odxf>
    <ndxf>
      <numFmt numFmtId="4" formatCode="#,##0.00"/>
    </ndxf>
  </rcc>
  <rcc rId="6573" sId="21" odxf="1" dxf="1">
    <nc r="AB143">
      <f>AB144+AB145+AB147</f>
    </nc>
    <odxf>
      <numFmt numFmtId="172" formatCode="#,##0.00_р_."/>
    </odxf>
    <ndxf>
      <numFmt numFmtId="4" formatCode="#,##0.00"/>
    </ndxf>
  </rcc>
  <rcc rId="6574" sId="21" odxf="1" dxf="1">
    <nc r="AC143">
      <f>AC144+AC145+AC147</f>
    </nc>
    <odxf>
      <numFmt numFmtId="172" formatCode="#,##0.00_р_."/>
    </odxf>
    <ndxf>
      <numFmt numFmtId="4" formatCode="#,##0.00"/>
    </ndxf>
  </rcc>
  <rcc rId="6575" sId="21" odxf="1" dxf="1">
    <nc r="AD143">
      <f>AD144+AD145+AD147</f>
    </nc>
    <odxf>
      <numFmt numFmtId="172" formatCode="#,##0.00_р_."/>
    </odxf>
    <ndxf>
      <numFmt numFmtId="4" formatCode="#,##0.00"/>
    </ndxf>
  </rcc>
  <rcc rId="6576" sId="21" odxf="1" dxf="1">
    <nc r="AE143">
      <f>AE144+AE145+AE147</f>
    </nc>
    <odxf>
      <numFmt numFmtId="172" formatCode="#,##0.00_р_."/>
    </odxf>
    <ndxf>
      <numFmt numFmtId="4" formatCode="#,##0.00"/>
    </ndxf>
  </rcc>
  <rfmt sheetId="21" sqref="AF143" start="0" length="0">
    <dxf>
      <alignment wrapText="1" readingOrder="0"/>
    </dxf>
  </rfmt>
  <rcc rId="6577" sId="21">
    <nc r="A144" t="inlineStr">
      <is>
        <t>бюджет автономного округа</t>
      </is>
    </nc>
  </rcc>
  <rcc rId="6578" sId="21">
    <nc r="A145" t="inlineStr">
      <is>
        <t>бюджет города Когалыма</t>
      </is>
    </nc>
  </rcc>
  <rcc rId="6579" sId="21">
    <nc r="B145">
      <f>H145+J145+L145+N145+P145+R145+T145+V145+X145+Z145+AB145+AD145</f>
    </nc>
  </rcc>
  <rcc rId="6580" sId="21">
    <nc r="C145">
      <f>H145+J145+L145+N145+P145+R145</f>
    </nc>
  </rcc>
  <rcc rId="6581" sId="21">
    <nc r="D145">
      <f>E145</f>
    </nc>
  </rcc>
  <rcc rId="6582" sId="21">
    <nc r="E145">
      <f>I145+K145+M145+O145+Q145+S145+U145+W145+Y145+AA145+AC145+AE145</f>
    </nc>
  </rcc>
  <rcc rId="6583" sId="21">
    <nc r="F145">
      <f>IFERROR(E145/B145*100,0)</f>
    </nc>
  </rcc>
  <rcc rId="6584" sId="21">
    <nc r="G145">
      <f>IFERROR(E145/C145*100,0)</f>
    </nc>
  </rcc>
  <rcc rId="6585" sId="21" odxf="1" dxf="1">
    <nc r="A146" t="inlineStr">
      <is>
        <t>в т.ч. бюджет города Когалыма в части софинансирования</t>
      </is>
    </nc>
    <odxf>
      <alignment horizontal="left" readingOrder="0"/>
    </odxf>
    <ndxf>
      <alignment horizontal="right" readingOrder="0"/>
    </ndxf>
  </rcc>
  <rcc rId="6586" sId="21">
    <nc r="A147" t="inlineStr">
      <is>
        <t>иные источники финансирования</t>
      </is>
    </nc>
  </rcc>
  <rcc rId="6587" sId="21">
    <nc r="A142" t="inlineStr">
      <is>
        <t xml:space="preserve"> 3.1.3. Перенос кабелей системы автоматической фотовидеофиксации нарушений правил дорожного движения города Когалыма в подземную канализацию на улице Мира</t>
      </is>
    </nc>
  </rcc>
  <rcc rId="6588" sId="21">
    <oc r="C126">
      <f>C132+C138</f>
    </oc>
    <nc r="C126">
      <f>C132+C138+C144</f>
    </nc>
  </rcc>
  <rcc rId="6589" sId="21">
    <oc r="C127">
      <f>C133+C139</f>
    </oc>
    <nc r="C127">
      <f>C133+C139+C145</f>
    </nc>
  </rcc>
  <rcc rId="6590" sId="21">
    <oc r="C128">
      <f>C134+C140</f>
    </oc>
    <nc r="C128">
      <f>C134+C140+C146</f>
    </nc>
  </rcc>
  <rcc rId="6591" sId="21">
    <oc r="C129">
      <f>C135+C141</f>
    </oc>
    <nc r="C129">
      <f>C135+C141+C147</f>
    </nc>
  </rcc>
  <rcc rId="6592" sId="21">
    <oc r="H126">
      <f>H132+H138</f>
    </oc>
    <nc r="H126">
      <f>H132+H138+H144</f>
    </nc>
  </rcc>
  <rcc rId="6593" sId="21">
    <oc r="H127">
      <f>H133+H139</f>
    </oc>
    <nc r="H127">
      <f>H133+H139+H145</f>
    </nc>
  </rcc>
  <rcc rId="6594" sId="21">
    <oc r="H128">
      <f>H134+H140</f>
    </oc>
    <nc r="H128">
      <f>H134+H140+H146</f>
    </nc>
  </rcc>
  <rcc rId="6595" sId="21">
    <oc r="H129">
      <f>H135+H141</f>
    </oc>
    <nc r="H129">
      <f>H135+H141+H147</f>
    </nc>
  </rcc>
  <rcc rId="6596" sId="21">
    <oc r="I126">
      <f>I132+I138</f>
    </oc>
    <nc r="I126">
      <f>I132+I138+I144</f>
    </nc>
  </rcc>
  <rcc rId="6597" sId="21">
    <oc r="J126">
      <f>J132+J138</f>
    </oc>
    <nc r="J126">
      <f>J132+J138+J144</f>
    </nc>
  </rcc>
  <rcc rId="6598" sId="21">
    <oc r="K126">
      <f>K132+K138</f>
    </oc>
    <nc r="K126">
      <f>K132+K138+K144</f>
    </nc>
  </rcc>
  <rcc rId="6599" sId="21">
    <oc r="L126">
      <f>L132+L138</f>
    </oc>
    <nc r="L126">
      <f>L132+L138+L144</f>
    </nc>
  </rcc>
  <rcc rId="6600" sId="21">
    <oc r="M126">
      <f>M132+M138</f>
    </oc>
    <nc r="M126">
      <f>M132+M138+M144</f>
    </nc>
  </rcc>
  <rcc rId="6601" sId="21">
    <oc r="N126">
      <f>N132+N138</f>
    </oc>
    <nc r="N126">
      <f>N132+N138+N144</f>
    </nc>
  </rcc>
  <rcc rId="6602" sId="21">
    <oc r="O126">
      <f>O132+O138</f>
    </oc>
    <nc r="O126">
      <f>O132+O138+O144</f>
    </nc>
  </rcc>
  <rcc rId="6603" sId="21">
    <oc r="P126">
      <f>P132+P138</f>
    </oc>
    <nc r="P126">
      <f>P132+P138+P144</f>
    </nc>
  </rcc>
  <rcc rId="6604" sId="21">
    <oc r="Q126">
      <f>Q132+Q138</f>
    </oc>
    <nc r="Q126">
      <f>Q132+Q138+Q144</f>
    </nc>
  </rcc>
  <rcc rId="6605" sId="21">
    <oc r="R126">
      <f>R132+R138</f>
    </oc>
    <nc r="R126">
      <f>R132+R138+R144</f>
    </nc>
  </rcc>
  <rcc rId="6606" sId="21">
    <oc r="S126">
      <f>S132+S138</f>
    </oc>
    <nc r="S126">
      <f>S132+S138+S144</f>
    </nc>
  </rcc>
  <rcc rId="6607" sId="21">
    <oc r="T126">
      <f>T132+T138</f>
    </oc>
    <nc r="T126">
      <f>T132+T138+T144</f>
    </nc>
  </rcc>
  <rcc rId="6608" sId="21">
    <oc r="U126">
      <f>U132+U138</f>
    </oc>
    <nc r="U126">
      <f>U132+U138+U144</f>
    </nc>
  </rcc>
  <rcc rId="6609" sId="21">
    <oc r="V126">
      <f>V132+V138</f>
    </oc>
    <nc r="V126">
      <f>V132+V138+V144</f>
    </nc>
  </rcc>
  <rcc rId="6610" sId="21">
    <oc r="W126">
      <f>W132+W138</f>
    </oc>
    <nc r="W126">
      <f>W132+W138+W144</f>
    </nc>
  </rcc>
  <rcc rId="6611" sId="21">
    <oc r="X126">
      <f>X132+X138</f>
    </oc>
    <nc r="X126">
      <f>X132+X138+X144</f>
    </nc>
  </rcc>
  <rcc rId="6612" sId="21">
    <oc r="Y126">
      <f>Y132+Y138</f>
    </oc>
    <nc r="Y126">
      <f>Y132+Y138+Y144</f>
    </nc>
  </rcc>
  <rcc rId="6613" sId="21">
    <oc r="Z126">
      <f>Z132+Z138</f>
    </oc>
    <nc r="Z126">
      <f>Z132+Z138+Z144</f>
    </nc>
  </rcc>
  <rcc rId="6614" sId="21">
    <oc r="AA126">
      <f>AA132+AA138</f>
    </oc>
    <nc r="AA126">
      <f>AA132+AA138+AA144</f>
    </nc>
  </rcc>
  <rcc rId="6615" sId="21">
    <oc r="AB126">
      <f>AB132+AB138</f>
    </oc>
    <nc r="AB126">
      <f>AB132+AB138+AB144</f>
    </nc>
  </rcc>
  <rcc rId="6616" sId="21">
    <oc r="AC126">
      <f>AC132+AC138</f>
    </oc>
    <nc r="AC126">
      <f>AC132+AC138+AC144</f>
    </nc>
  </rcc>
  <rcc rId="6617" sId="21">
    <oc r="AD126">
      <f>AD132+AD138</f>
    </oc>
    <nc r="AD126">
      <f>AD132+AD138+AD144</f>
    </nc>
  </rcc>
  <rcc rId="6618" sId="21">
    <oc r="AE126">
      <f>AE132+AE138</f>
    </oc>
    <nc r="AE126">
      <f>AE132+AE138+AE144</f>
    </nc>
  </rcc>
  <rcc rId="6619" sId="21">
    <oc r="I127">
      <f>I133+I139</f>
    </oc>
    <nc r="I127">
      <f>I133+I139+I145</f>
    </nc>
  </rcc>
  <rcc rId="6620" sId="21">
    <oc r="J127">
      <f>J133+J139</f>
    </oc>
    <nc r="J127">
      <f>J133+J139+J145</f>
    </nc>
  </rcc>
  <rcc rId="6621" sId="21">
    <oc r="K127">
      <f>K133+K139</f>
    </oc>
    <nc r="K127">
      <f>K133+K139+K145</f>
    </nc>
  </rcc>
  <rcc rId="6622" sId="21">
    <oc r="L127">
      <f>L133+L139</f>
    </oc>
    <nc r="L127">
      <f>L133+L139+L145</f>
    </nc>
  </rcc>
  <rcc rId="6623" sId="21">
    <oc r="M127">
      <f>M133+M139</f>
    </oc>
    <nc r="M127">
      <f>M133+M139+M145</f>
    </nc>
  </rcc>
  <rcc rId="6624" sId="21">
    <oc r="N127">
      <f>N133+N139</f>
    </oc>
    <nc r="N127">
      <f>N133+N139+N145</f>
    </nc>
  </rcc>
  <rcc rId="6625" sId="21">
    <oc r="O127">
      <f>O133+O139</f>
    </oc>
    <nc r="O127">
      <f>O133+O139+O145</f>
    </nc>
  </rcc>
  <rcc rId="6626" sId="21">
    <oc r="P127">
      <f>P133+P139</f>
    </oc>
    <nc r="P127">
      <f>P133+P139+P145</f>
    </nc>
  </rcc>
  <rcc rId="6627" sId="21">
    <oc r="Q127">
      <f>Q133+Q139</f>
    </oc>
    <nc r="Q127">
      <f>Q133+Q139+Q145</f>
    </nc>
  </rcc>
  <rcc rId="6628" sId="21">
    <oc r="R127">
      <f>R133+R139</f>
    </oc>
    <nc r="R127">
      <f>R133+R139+R145</f>
    </nc>
  </rcc>
  <rcc rId="6629" sId="21">
    <oc r="S127">
      <f>S133+S139</f>
    </oc>
    <nc r="S127">
      <f>S133+S139+S145</f>
    </nc>
  </rcc>
  <rcc rId="6630" sId="21">
    <oc r="T127">
      <f>T133+T139</f>
    </oc>
    <nc r="T127">
      <f>T133+T139+T145</f>
    </nc>
  </rcc>
  <rcc rId="6631" sId="21">
    <oc r="U127">
      <f>U133+U139</f>
    </oc>
    <nc r="U127">
      <f>U133+U139+U145</f>
    </nc>
  </rcc>
  <rcc rId="6632" sId="21">
    <oc r="V127">
      <f>V133+V139</f>
    </oc>
    <nc r="V127">
      <f>V133+V139+V145</f>
    </nc>
  </rcc>
  <rcc rId="6633" sId="21">
    <oc r="W127">
      <f>W133+W139</f>
    </oc>
    <nc r="W127">
      <f>W133+W139+W145</f>
    </nc>
  </rcc>
  <rcc rId="6634" sId="21">
    <oc r="X127">
      <f>X133+X139</f>
    </oc>
    <nc r="X127">
      <f>X133+X139+X145</f>
    </nc>
  </rcc>
  <rcc rId="6635" sId="21">
    <oc r="Y127">
      <f>Y133+Y139</f>
    </oc>
    <nc r="Y127">
      <f>Y133+Y139+Y145</f>
    </nc>
  </rcc>
  <rcc rId="6636" sId="21">
    <oc r="Z127">
      <f>Z133+Z139</f>
    </oc>
    <nc r="Z127">
      <f>Z133+Z139+Z145</f>
    </nc>
  </rcc>
  <rcc rId="6637" sId="21">
    <oc r="AA127">
      <f>AA133+AA139</f>
    </oc>
    <nc r="AA127">
      <f>AA133+AA139+AA145</f>
    </nc>
  </rcc>
  <rcc rId="6638" sId="21">
    <oc r="AB127">
      <f>AB133+AB139</f>
    </oc>
    <nc r="AB127">
      <f>AB133+AB139+AB145</f>
    </nc>
  </rcc>
  <rcc rId="6639" sId="21">
    <oc r="AC127">
      <f>AC133+AC139</f>
    </oc>
    <nc r="AC127">
      <f>AC133+AC139+AC145</f>
    </nc>
  </rcc>
  <rcc rId="6640" sId="21">
    <oc r="AD127">
      <f>AD133+AD139</f>
    </oc>
    <nc r="AD127">
      <f>AD133+AD139+AD145</f>
    </nc>
  </rcc>
  <rcc rId="6641" sId="21">
    <oc r="AE127">
      <f>AE133+AE139</f>
    </oc>
    <nc r="AE127">
      <f>AE133+AE139+AE145</f>
    </nc>
  </rcc>
  <rcc rId="6642" sId="21">
    <oc r="I128">
      <f>I134+I140</f>
    </oc>
    <nc r="I128">
      <f>I134+I140+I146</f>
    </nc>
  </rcc>
  <rcc rId="6643" sId="21">
    <oc r="J128">
      <f>J134+J140</f>
    </oc>
    <nc r="J128">
      <f>J134+J140+J146</f>
    </nc>
  </rcc>
  <rcc rId="6644" sId="21">
    <oc r="K128">
      <f>K134+K140</f>
    </oc>
    <nc r="K128">
      <f>K134+K140+K146</f>
    </nc>
  </rcc>
  <rcc rId="6645" sId="21">
    <oc r="L128">
      <f>L134+L140</f>
    </oc>
    <nc r="L128">
      <f>L134+L140+L146</f>
    </nc>
  </rcc>
  <rcc rId="6646" sId="21">
    <oc r="M128">
      <f>M134+M140</f>
    </oc>
    <nc r="M128">
      <f>M134+M140+M146</f>
    </nc>
  </rcc>
  <rcc rId="6647" sId="21">
    <oc r="N128">
      <f>N134+N140</f>
    </oc>
    <nc r="N128">
      <f>N134+N140+N146</f>
    </nc>
  </rcc>
  <rcc rId="6648" sId="21">
    <oc r="O128">
      <f>O134+O140</f>
    </oc>
    <nc r="O128">
      <f>O134+O140+O146</f>
    </nc>
  </rcc>
  <rcc rId="6649" sId="21">
    <oc r="P128">
      <f>P134+P140</f>
    </oc>
    <nc r="P128">
      <f>P134+P140+P146</f>
    </nc>
  </rcc>
  <rcc rId="6650" sId="21">
    <oc r="Q128">
      <f>Q134+Q140</f>
    </oc>
    <nc r="Q128">
      <f>Q134+Q140+Q146</f>
    </nc>
  </rcc>
  <rcc rId="6651" sId="21">
    <oc r="R128">
      <f>R134+R140</f>
    </oc>
    <nc r="R128">
      <f>R134+R140+R146</f>
    </nc>
  </rcc>
  <rcc rId="6652" sId="21">
    <oc r="S128">
      <f>S134+S140</f>
    </oc>
    <nc r="S128">
      <f>S134+S140+S146</f>
    </nc>
  </rcc>
  <rcc rId="6653" sId="21">
    <oc r="T128">
      <f>T134+T140</f>
    </oc>
    <nc r="T128">
      <f>T134+T140+T146</f>
    </nc>
  </rcc>
  <rcc rId="6654" sId="21">
    <oc r="U128">
      <f>U134+U140</f>
    </oc>
    <nc r="U128">
      <f>U134+U140+U146</f>
    </nc>
  </rcc>
  <rcc rId="6655" sId="21">
    <oc r="V128">
      <f>V134+V140</f>
    </oc>
    <nc r="V128">
      <f>V134+V140+V146</f>
    </nc>
  </rcc>
  <rcc rId="6656" sId="21">
    <oc r="W128">
      <f>W134+W140</f>
    </oc>
    <nc r="W128">
      <f>W134+W140+W146</f>
    </nc>
  </rcc>
  <rcc rId="6657" sId="21">
    <oc r="X128">
      <f>X134+X140</f>
    </oc>
    <nc r="X128">
      <f>X134+X140+X146</f>
    </nc>
  </rcc>
  <rcc rId="6658" sId="21">
    <oc r="Y128">
      <f>Y134+Y140</f>
    </oc>
    <nc r="Y128">
      <f>Y134+Y140+Y146</f>
    </nc>
  </rcc>
  <rcc rId="6659" sId="21">
    <oc r="Z128">
      <f>Z134+Z140</f>
    </oc>
    <nc r="Z128">
      <f>Z134+Z140+Z146</f>
    </nc>
  </rcc>
  <rcc rId="6660" sId="21">
    <oc r="AA128">
      <f>AA134+AA140</f>
    </oc>
    <nc r="AA128">
      <f>AA134+AA140+AA146</f>
    </nc>
  </rcc>
  <rcc rId="6661" sId="21">
    <oc r="AB128">
      <f>AB134+AB140</f>
    </oc>
    <nc r="AB128">
      <f>AB134+AB140+AB146</f>
    </nc>
  </rcc>
  <rcc rId="6662" sId="21">
    <oc r="AC128">
      <f>AC134+AC140</f>
    </oc>
    <nc r="AC128">
      <f>AC134+AC140+AC146</f>
    </nc>
  </rcc>
  <rcc rId="6663" sId="21">
    <oc r="AD128">
      <f>AD134+AD140</f>
    </oc>
    <nc r="AD128">
      <f>AD134+AD140+AD146</f>
    </nc>
  </rcc>
  <rcc rId="6664" sId="21">
    <oc r="AE128">
      <f>AE134+AE140</f>
    </oc>
    <nc r="AE128">
      <f>AE134+AE140+AE146</f>
    </nc>
  </rcc>
  <rcc rId="6665" sId="21">
    <oc r="I129">
      <f>I135+I141</f>
    </oc>
    <nc r="I129">
      <f>I135+I141+I147</f>
    </nc>
  </rcc>
  <rcc rId="6666" sId="21">
    <oc r="J129">
      <f>J135+J141</f>
    </oc>
    <nc r="J129">
      <f>J135+J141+J147</f>
    </nc>
  </rcc>
  <rcc rId="6667" sId="21">
    <oc r="K129">
      <f>K135+K141</f>
    </oc>
    <nc r="K129">
      <f>K135+K141+K147</f>
    </nc>
  </rcc>
  <rcc rId="6668" sId="21">
    <oc r="L129">
      <f>L135+L141</f>
    </oc>
    <nc r="L129">
      <f>L135+L141+L147</f>
    </nc>
  </rcc>
  <rcc rId="6669" sId="21">
    <oc r="M129">
      <f>M135+M141</f>
    </oc>
    <nc r="M129">
      <f>M135+M141+M147</f>
    </nc>
  </rcc>
  <rcc rId="6670" sId="21">
    <oc r="N129">
      <f>N135+N141</f>
    </oc>
    <nc r="N129">
      <f>N135+N141+N147</f>
    </nc>
  </rcc>
  <rcc rId="6671" sId="21">
    <oc r="O129">
      <f>O135+O141</f>
    </oc>
    <nc r="O129">
      <f>O135+O141+O147</f>
    </nc>
  </rcc>
  <rcc rId="6672" sId="21">
    <oc r="P129">
      <f>P135+P141</f>
    </oc>
    <nc r="P129">
      <f>P135+P141+P147</f>
    </nc>
  </rcc>
  <rcc rId="6673" sId="21">
    <oc r="Q129">
      <f>Q135+Q141</f>
    </oc>
    <nc r="Q129">
      <f>Q135+Q141+Q147</f>
    </nc>
  </rcc>
  <rcc rId="6674" sId="21">
    <oc r="R129">
      <f>R135+R141</f>
    </oc>
    <nc r="R129">
      <f>R135+R141+R147</f>
    </nc>
  </rcc>
  <rcc rId="6675" sId="21">
    <oc r="S129">
      <f>S135+S141</f>
    </oc>
    <nc r="S129">
      <f>S135+S141+S147</f>
    </nc>
  </rcc>
  <rcc rId="6676" sId="21">
    <oc r="T129">
      <f>T135+T141</f>
    </oc>
    <nc r="T129">
      <f>T135+T141+T147</f>
    </nc>
  </rcc>
  <rcc rId="6677" sId="21">
    <oc r="U129">
      <f>U135+U141</f>
    </oc>
    <nc r="U129">
      <f>U135+U141+U147</f>
    </nc>
  </rcc>
  <rcc rId="6678" sId="21">
    <oc r="V129">
      <f>V135+V141</f>
    </oc>
    <nc r="V129">
      <f>V135+V141+V147</f>
    </nc>
  </rcc>
  <rcc rId="6679" sId="21">
    <oc r="W129">
      <f>W135+W141</f>
    </oc>
    <nc r="W129">
      <f>W135+W141+W147</f>
    </nc>
  </rcc>
  <rcc rId="6680" sId="21">
    <oc r="X129">
      <f>X135+X141</f>
    </oc>
    <nc r="X129">
      <f>X135+X141+X147</f>
    </nc>
  </rcc>
  <rcc rId="6681" sId="21">
    <oc r="Y129">
      <f>Y135+Y141</f>
    </oc>
    <nc r="Y129">
      <f>Y135+Y141+Y147</f>
    </nc>
  </rcc>
  <rcc rId="6682" sId="21">
    <oc r="Z129">
      <f>Z135+Z141</f>
    </oc>
    <nc r="Z129">
      <f>Z135+Z141+Z147</f>
    </nc>
  </rcc>
  <rcc rId="6683" sId="21">
    <oc r="AA129">
      <f>AA135+AA141</f>
    </oc>
    <nc r="AA129">
      <f>AA135+AA141+AA147</f>
    </nc>
  </rcc>
  <rcc rId="6684" sId="21">
    <oc r="AB129">
      <f>AB135+AB141</f>
    </oc>
    <nc r="AB129">
      <f>AB135+AB141+AB147</f>
    </nc>
  </rcc>
  <rcc rId="6685" sId="21">
    <oc r="AC129">
      <f>AC135+AC141</f>
    </oc>
    <nc r="AC129">
      <f>AC135+AC141+AC147</f>
    </nc>
  </rcc>
  <rcc rId="6686" sId="21">
    <oc r="AD129">
      <f>AD135+AD141</f>
    </oc>
    <nc r="AD129">
      <f>AD135+AD141+AD147</f>
    </nc>
  </rcc>
  <rcc rId="6687" sId="21">
    <oc r="AE129">
      <f>AE135+AE141</f>
    </oc>
    <nc r="AE129">
      <f>AE135+AE141+AE147</f>
    </nc>
  </rcc>
  <rcc rId="6688" sId="21" numFmtId="4">
    <nc r="AB145">
      <v>3922.9</v>
    </nc>
  </rcc>
  <rfmt sheetId="21" sqref="AF142" start="0" length="0">
    <dxf>
      <alignment wrapText="1" readingOrder="0"/>
    </dxf>
  </rfmt>
  <rcc rId="6689" sId="21">
    <nc r="AF142" t="inlineStr">
      <is>
        <r>
          <rPr>
            <b/>
            <sz val="12"/>
            <rFont val="Times New Roman"/>
            <family val="1"/>
            <charset val="204"/>
          </rPr>
          <t>МКУ "УКС и ЖКК г.Когалыма":</t>
        </r>
        <r>
          <rPr>
            <sz val="12"/>
            <rFont val="Times New Roman"/>
            <family val="1"/>
            <charset val="204"/>
          </rPr>
          <t xml:space="preserve">
На основании решения Думы г.Когалыма от 19.06.2024 №410-ГД выделены плановые ассигнования  в сумме 3 922,9 тыс.руб. на перенос кабелей системы автоматической фотовидеофиксации нарушений ПДД г.Когалыма в подземную канализацию на ул.Мира.</t>
        </r>
      </is>
    </nc>
  </rcc>
  <rcv guid="{0C2B9C2A-7B94-41EF-A2E6-F8AC9A67DE25}" action="delete"/>
  <rdn rId="0" localSheetId="2" customView="1" name="Z_0C2B9C2A_7B94_41EF_A2E6_F8AC9A67DE25_.wvu.Rows" hidden="1" oldHidden="1">
    <formula>'1.СЗН'!$69:$73</formula>
    <oldFormula>'1.СЗН'!$69:$73</oldFormula>
  </rdn>
  <rdn rId="0" localSheetId="2" customView="1" name="Z_0C2B9C2A_7B94_41EF_A2E6_F8AC9A67DE25_.wvu.FilterData" hidden="1" oldHidden="1">
    <formula>'1.СЗН'!$A$1:$AF$63</formula>
    <oldFormula>'1.СЗН'!$A$1:$AF$63</oldFormula>
  </rdn>
  <rdn rId="0" localSheetId="3" customView="1" name="Z_0C2B9C2A_7B94_41EF_A2E6_F8AC9A67DE25_.wvu.FilterData" hidden="1" oldHidden="1">
    <formula>'2.АПК'!$A$1:$AF$36</formula>
    <oldFormula>'2.АПК'!$A$1:$AF$36</oldFormula>
  </rdn>
  <rdn rId="0" localSheetId="4" customView="1" name="Z_0C2B9C2A_7B94_41EF_A2E6_F8AC9A67DE25_.wvu.FilterData" hidden="1" oldHidden="1">
    <formula>'3.БЖД'!$A$1:$AF$17</formula>
    <oldFormula>'3.БЖД'!$A$1:$AF$17</oldFormula>
  </rdn>
  <rdn rId="0" localSheetId="5" customView="1" name="Z_0C2B9C2A_7B94_41EF_A2E6_F8AC9A67DE25_.wvu.FilterData" hidden="1" oldHidden="1">
    <formula>'4.УМИ'!$A$1:$AF$11</formula>
    <oldFormula>'4.УМИ'!$A$1:$AF$11</oldFormula>
  </rdn>
  <rdn rId="0" localSheetId="6" customView="1" name="Z_0C2B9C2A_7B94_41EF_A2E6_F8AC9A67DE25_.wvu.FilterData" hidden="1" oldHidden="1">
    <formula>'5.Проф. прав.'!$A$1:$AF$12</formula>
    <oldFormula>'5.Проф. прав.'!$A$1:$AF$12</oldFormula>
  </rdn>
  <rdn rId="0" localSheetId="7" customView="1" name="Z_0C2B9C2A_7B94_41EF_A2E6_F8AC9A67DE25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0C2B9C2A_7B94_41EF_A2E6_F8AC9A67DE25_.wvu.FilterData" hidden="1" oldHidden="1">
    <formula>'6.Экстримизм'!$A$1:$AF$11</formula>
    <oldFormula>'6.Экстримизм'!$A$1:$AF$11</oldFormula>
  </rdn>
  <rdn rId="0" localSheetId="14" customView="1" name="Z_0C2B9C2A_7B94_41EF_A2E6_F8AC9A67DE25_.wvu.FilterData" hidden="1" oldHidden="1">
    <formula>'11.МП РО'!$A$4:$A$380</formula>
    <oldFormula>'11.МП РО'!$A$4:$A$380</oldFormula>
  </rdn>
  <rdn rId="0" localSheetId="17" customView="1" name="Z_0C2B9C2A_7B94_41EF_A2E6_F8AC9A67DE25_.wvu.Rows" hidden="1" oldHidden="1">
    <formula>'13.МП РЖС'!$122:$127</formula>
    <oldFormula>'13.МП РЖС'!$122:$127</oldFormula>
  </rdn>
  <rdn rId="0" localSheetId="17" customView="1" name="Z_0C2B9C2A_7B94_41EF_A2E6_F8AC9A67DE25_.wvu.Cols" hidden="1" oldHidden="1">
    <formula>'13.МП РЖС'!$AG:$AG</formula>
    <oldFormula>'13.МП РЖС'!$AG:$AG</oldFormula>
  </rdn>
  <rcv guid="{0C2B9C2A-7B94-41EF-A2E6-F8AC9A67DE25}" action="add"/>
</revisions>
</file>

<file path=xl/revisions/revisionLog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701" sId="21">
    <oc r="AF52" t="inlineStr">
      <is>
        <r>
          <rPr>
            <b/>
            <sz val="12"/>
            <rFont val="Times New Roman"/>
            <family val="1"/>
            <charset val="204"/>
          </rPr>
          <t>МБУ"КСАТ":</t>
        </r>
        <r>
          <rPr>
            <sz val="12"/>
            <rFont val="Times New Roman"/>
            <family val="1"/>
            <charset val="204"/>
          </rPr>
          <t xml:space="preserve">
Отклонение от плана составляет 22 412,18 тыс. руб. в том числе:
1. 9 121,66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3 227,38 тыс. руб.  -неисполнение субсидии по статье начисления на оплату труда возникло в связи с оплатой страховых взносов в мае 2024 г.
3. 24,19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4. 175,58 тыс. 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5. 368,47  тыс. руб. - неисполнение субсидии по статье оплата услуг по содержанию имущества возникла в связи с: 1. Оплата за  техническое обслуживание контрольных устройств установленных на транспортные средства (Автограф, тахограф, системы мониторинга "ГЛОНАСС") будет, согласно выставленных счетов. 2. Оплата за прохождения технического осмотра, будет произведена по факту оказанных услуг
6. 311,52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будет произведена по факту оказанных услуг, на основании выставленных документов; 2.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будет  произведена согласно заключенного договора. 3.  Оказание услуг по охране базы, так как оплата произведена по факту оказанных услуг
7. 209,05 тыс.руб.-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8. 3 951,03 тыс.руб.- неисполнение субсидии по статье увеличение стоимости горюче-смазочных материалов оплата будет произведена по факту оказанных услуг согласно выставленных счетов
9. 3 677,49 тыс. руб. – неисполнение субсидии по статье увеличение стоимости прочих оборотных запасов (материалов), в связи : 1. Приобретение соли, оплата будет  произведена по факту поставки товара. 2. Оплата счетов за приобретение запасных частей  будет произведена по факту поставки товара. 3 Оплата за приобретение шин, будет по факту поставки товара
10. 621,23 тыс. руб. - неисполнение по статье расходов прочие расходы  оплата налога на имущество будет произведена в феврале, в связи со сдачей декларации в мае 2024 г  и транспортного налога (согласно декларации)
11. 33,31тыс. руб. неисполнение по статье расходов  пособий по уходу за ребенком инвалидом, оплата  произведена по факту предоставленных документов
12.  502,85 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использования оплаты  санаторно-курортных путевок, а так же в связи с оплатой по факту поставки молока, согласно поданных заявок..
13. 38,38тыс. руб. неисполнение субсидии по статье  расходов на приобретение мягкого инвентаря, оплата будет произведена по факту поставки товара
14. 52,54 тыс. руб. неисполнение по статье расходов  пособий за первые три дня временной нетрудоспособности за счет средств работодателя, корректировка платежей  произведена по факту предоставленных документов. 
15. 97,5 тыс.руб неисполнение по статье расходов на приобретение основных средств, оплата будет произведена по факту поставки товара</t>
        </r>
      </is>
    </oc>
    <nc r="AF52" t="inlineStr">
      <is>
        <r>
          <rPr>
            <b/>
            <sz val="12"/>
            <rFont val="Times New Roman"/>
            <family val="1"/>
            <charset val="204"/>
          </rPr>
          <t>МБУ"КСАТ":</t>
        </r>
        <r>
          <rPr>
            <sz val="12"/>
            <rFont val="Times New Roman"/>
            <family val="1"/>
            <charset val="204"/>
          </rPr>
          <t xml:space="preserve">
Отклонение от плана составляет 20 643,35 тыс. руб. в том числе:
1. 8 716,12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2 755,74 тыс. руб.  -неисполнение субсидии по статье начисления на оплату труда возникло в связи с оплатой страховых взносов в июле 2024 г.
3. 30,96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4. 142,33 тыс. 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5. 375,25 тыс. руб. - неисполнение субсидии по статье оплата услуг по содержанию имущества возникла в связи с: 1. Оплата за  техническое обслуживание контрольных устройств установленных на транспортные средства (Автограф, тахограф, системы мониторинга "ГЛОНАСС") будет, согласно выставленных счетов. 2. Оплата за прохождения технического осмотра, будет произведена по факту оказанных услуг
6. 335,19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будет произведена по факту оказанных услуг, на основании выставленных документов; 2.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будет  произведена согласно заключенного договора. 3.  Оказание услуг по охране базы, так как оплата произведена по факту оказанных услуг
7. 209,05 тыс.руб.-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8. 3 913,07 тыс.руб.- неисполнение субсидии по статье увеличение стоимости горюче-смазочных материалов оплата будет произведена по факту оказанных услуг согласно выставленных счетов
9. 2 540,76 тыс. руб. – неисполнение субсидии по статье увеличение стоимости прочих оборотных запасов (материалов), в связи : 1. Приобретение соли, оплата будет  произведена по факту поставки товара. 2. Оплата счетов за приобретение запасных частей  будет произведена по факту поставки товара. 3 Оплата за приобретение шин, будет по факту поставки товара
10. 621,23 тыс. руб. - неисполнение по статье расходов прочие расходы  оплата налога на имущество будет произведена в феврале, в связи со сдачей декларации в мае 2024 г  и транспортного налога (согласно декларации)
11. 33,31тыс. руб. неисполнение по статье расходов  пособий по уходу за ребенком инвалидом, оплата  произведена по факту предоставленных документов
12.  827,45 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использования оплаты  санаторно-курортных путевок, а так же в связи с оплатой по факту поставки молока, согласно поданных заявок..
13. 38,38тыс. руб. неисполнение субсидии по статье  расходов на приобретение мягкого инвентаря, оплата будет произведена по факту поставки товара
14. 7,01 тыс. руб. неисполнение по статье расходов  пособий за первые три дня временной нетрудоспособности за счет средств работодателя, корректировка платежей  произведена по факту предоставленных документов. 
15. 97,5 тыс.руб неисполнение по статье расходов на приобретение основных средств, оплата будет произведена по факту поставки товара.</t>
        </r>
      </is>
    </nc>
  </rcc>
  <rfmt sheetId="21" sqref="A57:AE57" start="0" length="2147483647">
    <dxf>
      <font>
        <color auto="1"/>
      </font>
    </dxf>
  </rfmt>
  <rcc rId="6702" sId="21" numFmtId="4">
    <nc r="S66">
      <v>17495.75</v>
    </nc>
  </rcc>
  <rfmt sheetId="21" sqref="A63:AE63" start="0" length="2147483647">
    <dxf>
      <font>
        <color auto="1"/>
      </font>
    </dxf>
  </rfmt>
  <rcc rId="6703" sId="21" numFmtId="4">
    <nc r="S72">
      <v>963.86</v>
    </nc>
  </rcc>
  <rfmt sheetId="21" sqref="A69:AE69" start="0" length="2147483647">
    <dxf>
      <font>
        <color auto="1"/>
      </font>
    </dxf>
  </rfmt>
</revisions>
</file>

<file path=xl/revisions/revisionLog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704" sId="21" numFmtId="4">
    <nc r="S133">
      <v>291.16000000000003</v>
    </nc>
  </rcc>
  <rfmt sheetId="21" sqref="A130:AE130" start="0" length="2147483647">
    <dxf>
      <font>
        <color auto="1"/>
      </font>
    </dxf>
  </rfmt>
</revisions>
</file>

<file path=xl/revisions/revisionLog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705" sId="20" xfDxf="1" s="1" dxf="1">
    <nc r="AF14" t="inlineStr">
      <is>
        <t>Заключно соглашение о предоставление из  бюджета города Когалыма Югорскому фонду капитального ремонта многоквартирных домов субсидии на долевое финансирование обеспечение  проведения капитального ремонта общего имущества в многоквартирных домах, расположенных на территории города Когалыма № 31/МС от 06.05.2024 года;</t>
      </is>
    </nc>
    <ndxf>
      <font>
        <b/>
        <i val="0"/>
        <strike val="0"/>
        <condense val="0"/>
        <extend val="0"/>
        <outline val="0"/>
        <shadow val="0"/>
        <u val="none"/>
        <vertAlign val="baseline"/>
        <sz val="12"/>
        <color auto="1"/>
        <name val="Times New Roman"/>
        <scheme val="none"/>
      </font>
      <numFmt numFmtId="166" formatCode="#,##0_ ;[Red]\-#,##0\ "/>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ndxf>
  </rcc>
  <rfmt sheetId="20" sqref="AF14" start="0" length="2147483647">
    <dxf>
      <font>
        <b val="0"/>
      </font>
    </dxf>
  </rfmt>
  <rfmt sheetId="20" sqref="AF14" start="0" length="2147483647">
    <dxf>
      <font>
        <sz val="11"/>
      </font>
    </dxf>
  </rfmt>
  <rcc rId="6706" sId="20">
    <nc r="AF15" t="inlineStr">
      <is>
        <t>-сумма соглашения: 2 958 026,73</t>
      </is>
    </nc>
  </rcc>
  <rcc rId="6707" sId="20">
    <nc r="AF16" t="inlineStr">
      <is>
        <t>-сроки предоставления : с 06.05.2024 по 31.12.2024 г.</t>
      </is>
    </nc>
  </rcc>
  <rfmt sheetId="20" sqref="AF16">
    <dxf>
      <alignment wrapText="1" readingOrder="0"/>
    </dxf>
  </rfmt>
  <rcc rId="6708" sId="20">
    <oc r="AF48" t="inlineStr">
      <is>
        <t>На отчетную дату ведется исполнение следующих контрактов:
1. Муниципальный контаркт № 5К/2023 от 20.11.2023 на выполнение работ по объекту: "Реконструкция участка ВЛ 35кВ ПП-35кВ "Аэропорт "ПС №35"
-сроки выполнения работ 14.02.2024;
-цена контракта 43 988,590 тыс.руб; в 2023 году перечислен аванс в размере 30% от цены контракта, что составило 13 196,58 тыс.руб;
 - в процесе приемки выполненных работ выявлена неисправность кабельной линии, ведется устранение.</t>
      </is>
    </oc>
    <nc r="AF48" t="inlineStr">
      <is>
        <t>На отчетную дату ведется исполнение следующих контрактов:
1. Муниципальный контаркт № 5К/2023 от 20.11.2023 на выполнение работ по объекту: "Реконструкция участка ВЛ 35кВ ПП-35кВ "Аэропорт "ПС №35"
-сроки выполнения работ 14.02.2024;
-цена контракта 43 988,590 тыс.руб; в 2023 году перечислен аванс в размере 30% от цены контракта, что составило 13 196,58 тыс.руб;
- срок окончания работ 30.06.2024г. ( Дополнительное соглашение № 3 от 22.05.2024)</t>
      </is>
    </nc>
  </rcc>
  <rcc rId="6709" sId="20">
    <oc r="AF49" t="inlineStr">
      <is>
        <t xml:space="preserve">2. Муниципальный контракт № Т2/23/0013-ДТП от 18.12.2023 на осуществление технологического присоединения к электрическим сетям Этнодеревни в городе Когалыме.
-срок выполнения работ по 25.12.2024;
-цена контракта 8697,74 тыс.руб; по условиям которого произведено авансирование 10%, что составляет 869,774 тыс.руб. В адрес филиала АО "Россети Тюмень"  направлено письмо от 18.03.2024 №69-Исх-820 о расторжении договора.
 Технологическое присоединение объекта включено в инвестиционную программу АО "ЮТЭК-РС". </t>
      </is>
    </oc>
    <nc r="AF49" t="inlineStr">
      <is>
        <t>2. Муниципальный контракт № Т2/23/0013-ДТП от 18.12.2023 на осуществление технологического присоединения к электрическим сетям Этнодеревни в городе Когалыме.
-срок выполнения работ по 25.12.2024;
-цена контракта 8697,74 тыс.руб; по условиям которого произведено авансирование 10%, что составляет 869,774 тыс.руб.
В адрес филиала АО "Россети Тюмень"  направлено письмо от 18.03.2024 №69-Исх-820 о расторжении договора.
 Технологическое присоединение объекта включено в инвестиционную программу АО "ЮТЭК-Региональные сети".</t>
      </is>
    </nc>
  </rcc>
  <rcc rId="6710" sId="20">
    <oc r="AF50" t="inlineStr">
      <is>
        <t>3. Контракт № 1229-23 от 29.12.2023 (функции заказчика переданы 02.02.2024г.) на выполнение проектно изыскательских работ для строительства объекта: "Котельная по улице Сибирская и магистральные сети теплоснабжения в городе Когалыме"
-срок выполнения работ 30.10.2024 г.;
-цена контракта 22 602,62 тыс.руб;
-ведется выполнение работ.                                                        Неисполнение сетевого графика из-за нарушения сроков выполнения работ и начатой процедуры расторжения договора.</t>
      </is>
    </oc>
    <nc r="AF50" t="inlineStr">
      <is>
        <t xml:space="preserve">3. Контракт № 1229-23 от 29.12.2023 (функции заказчика переданы 02.02.2024г.) на выполнение проектно изыскательских работ для строительства объекта: "Котельная по улице Сибирская и магистральные сети теплоснабжения в городе Когалыме"
-срок выполнения работ 30.10.2024 г.;
-цена контракта 22 602,62 тыс.руб;
-ведется выполнение работ.
Неисполнение сетевого графика из-за нарушения сроков выполнения работ и начатой процедуры расторжения договора.
В соответствии с решением Думы города Когалыма от 19.06.2024 №410-ГД:
- выделены плановые ассигнования в размере 107,6 тыс. руб. на технологическое присоединение для электроснабжения объекта: "Котельная по улице Сибирской и магистральные тепловые сети в городе Когалыме" 
-закрыты плановые ассигнования по соглашению с ПАО "Лукойл" в размере 149,46 тыс.руб.
</t>
      </is>
    </nc>
  </rcc>
  <rcc rId="6711" sId="20">
    <oc r="AF53" t="inlineStr">
      <is>
        <t>Аукционная документация на строительство объекта: "Магистральные инженерные сети водоснабжения и канализации жилых комплексов "Философский камень" и "ЛУКОЙЛ" в городе Когалыме" (уведомление Департамента финансов ХМАО-Югры №480/04/1229 от 27.04.2024), на сумму  84 622,5 тыс.руб. проходит согласование в Департаменте государственного заказа ХМАО-Югры.</t>
      </is>
    </oc>
    <nc r="AF53" t="inlineStr">
      <is>
        <t>Подведены итоги  электронного аукциона на строительство объекта: "Магистральные инженерные сети водоснабжения и канализации жилых комплексов "Философский камень" и "ЛУКОЙЛ" в городе Когалыме",планируемая  дата зподписания Заказчиком  - 08.07.2024г.</t>
      </is>
    </nc>
  </rcc>
  <rrc rId="6712" sId="20" ref="A59:XFD67" action="insertRow"/>
  <rcc rId="6713" sId="20">
    <nc r="A59" t="inlineStr">
      <is>
        <t>п.п 3.1.3 Разработка топливно-энергетического баланса города Когалыма за 2023 год и актуализация прогнозного баланса  до 2030 года</t>
      </is>
    </nc>
  </rcc>
  <rcc rId="6714" sId="20" odxf="1" s="1" dxf="1">
    <nc r="B59">
      <f>B60</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4" formatCode="_-* #,##0.00_-;\-* #,##0.00_-;_-* &quot;-&quot;??_-;_-@_-"/>
    </ndxf>
  </rcc>
  <rcc rId="6715" sId="20" numFmtId="4">
    <nc r="C59">
      <v>0</v>
    </nc>
  </rcc>
  <rcc rId="6716" sId="20" numFmtId="4">
    <nc r="D59">
      <v>0</v>
    </nc>
  </rcc>
  <rcc rId="6717" sId="20" numFmtId="4">
    <nc r="E59">
      <v>0</v>
    </nc>
  </rcc>
  <rcc rId="6718" sId="20" numFmtId="4">
    <nc r="F59">
      <v>0</v>
    </nc>
  </rcc>
  <rcc rId="6719" sId="20" numFmtId="4">
    <nc r="G59">
      <v>0</v>
    </nc>
  </rcc>
  <rcc rId="6720" sId="20" numFmtId="4">
    <nc r="H59">
      <v>0</v>
    </nc>
  </rcc>
  <rcc rId="6721" sId="20" numFmtId="4">
    <nc r="I59">
      <v>0</v>
    </nc>
  </rcc>
  <rcc rId="6722" sId="20" numFmtId="4">
    <nc r="J59">
      <v>0</v>
    </nc>
  </rcc>
  <rcc rId="6723" sId="20" numFmtId="4">
    <nc r="K59">
      <v>0</v>
    </nc>
  </rcc>
  <rcc rId="6724" sId="20" numFmtId="4">
    <nc r="L59">
      <v>0</v>
    </nc>
  </rcc>
  <rcc rId="6725" sId="20" numFmtId="4">
    <nc r="M59">
      <v>0</v>
    </nc>
  </rcc>
  <rcc rId="6726" sId="20" numFmtId="4">
    <nc r="N59">
      <v>0</v>
    </nc>
  </rcc>
  <rcc rId="6727" sId="20" numFmtId="4">
    <nc r="O59">
      <v>0</v>
    </nc>
  </rcc>
  <rcc rId="6728" sId="20" numFmtId="4">
    <nc r="P59">
      <v>0</v>
    </nc>
  </rcc>
  <rcc rId="6729" sId="20" numFmtId="4">
    <nc r="Q59">
      <v>0</v>
    </nc>
  </rcc>
  <rcc rId="6730" sId="20" numFmtId="4">
    <nc r="R59">
      <v>0</v>
    </nc>
  </rcc>
  <rcc rId="6731" sId="20" numFmtId="4">
    <nc r="S59">
      <v>0</v>
    </nc>
  </rcc>
  <rcc rId="6732" sId="20" numFmtId="4">
    <nc r="T59">
      <v>0</v>
    </nc>
  </rcc>
  <rcc rId="6733" sId="20" numFmtId="4">
    <nc r="U59">
      <v>0</v>
    </nc>
  </rcc>
  <rcc rId="6734" sId="20" numFmtId="4">
    <nc r="V59">
      <v>0</v>
    </nc>
  </rcc>
  <rcc rId="6735" sId="20" numFmtId="4">
    <nc r="W59">
      <v>0</v>
    </nc>
  </rcc>
  <rcc rId="6736" sId="20" odxf="1" s="1" dxf="1">
    <nc r="X59">
      <f>X62</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4" formatCode="_-* #,##0.00_-;\-* #,##0.00_-;_-* &quot;-&quot;??_-;_-@_-"/>
      <alignment horizontal="general" readingOrder="0"/>
    </ndxf>
  </rcc>
  <rcc rId="6737" sId="20" numFmtId="4">
    <nc r="Y59">
      <v>0</v>
    </nc>
  </rcc>
  <rcc rId="6738" sId="20" numFmtId="4">
    <nc r="Z59">
      <v>0</v>
    </nc>
  </rcc>
  <rcc rId="6739" sId="20" numFmtId="4">
    <nc r="AA59">
      <v>0</v>
    </nc>
  </rcc>
  <rcc rId="6740" sId="20" numFmtId="4">
    <nc r="AB59">
      <v>0</v>
    </nc>
  </rcc>
  <rcc rId="6741" sId="20" numFmtId="4">
    <nc r="AC59">
      <v>0</v>
    </nc>
  </rcc>
  <rcc rId="6742" sId="20" numFmtId="4">
    <nc r="AD59">
      <v>0</v>
    </nc>
  </rcc>
  <rcc rId="6743" sId="20" numFmtId="4">
    <nc r="AE59">
      <v>0</v>
    </nc>
  </rcc>
  <rcc rId="6744" sId="20">
    <nc r="AF59" t="inlineStr">
      <is>
        <t>В соответствии с решением Думы города Когалыма от 19.06.2024 №410-ГД:
- выделены плановые ассигнования в размере 118,0 тыс. руб. на разработку топливно-энергетического баланса г.Когалыма за 2023 год и на период до 2030 года (письмо от 06.06.2024 №69-Исх-1798).</t>
      </is>
    </nc>
  </rcc>
  <rcc rId="6745" sId="20">
    <nc r="A60" t="inlineStr">
      <is>
        <t>Всего</t>
      </is>
    </nc>
  </rcc>
  <rcc rId="6746" sId="20" odxf="1" s="1" dxf="1">
    <nc r="B60">
      <f>B61+B62+B64</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4" formatCode="_-* #,##0.00_-;\-* #,##0.00_-;_-* &quot;-&quot;??_-;_-@_-"/>
    </ndxf>
  </rcc>
  <rcc rId="6747" sId="20" numFmtId="4">
    <nc r="C60">
      <v>0</v>
    </nc>
  </rcc>
  <rcc rId="6748" sId="20" numFmtId="4">
    <nc r="D60">
      <v>0</v>
    </nc>
  </rcc>
  <rcc rId="6749" sId="20" numFmtId="4">
    <nc r="E60">
      <v>0</v>
    </nc>
  </rcc>
  <rcc rId="6750" sId="20" numFmtId="4">
    <nc r="F60">
      <v>0</v>
    </nc>
  </rcc>
  <rcc rId="6751" sId="20" numFmtId="4">
    <nc r="G60">
      <v>0</v>
    </nc>
  </rcc>
  <rcc rId="6752" sId="20" numFmtId="4">
    <nc r="H60">
      <v>0</v>
    </nc>
  </rcc>
  <rcc rId="6753" sId="20" numFmtId="4">
    <nc r="I60">
      <v>0</v>
    </nc>
  </rcc>
  <rcc rId="6754" sId="20" numFmtId="4">
    <nc r="J60">
      <v>0</v>
    </nc>
  </rcc>
  <rcc rId="6755" sId="20" numFmtId="4">
    <nc r="K60">
      <v>0</v>
    </nc>
  </rcc>
  <rcc rId="6756" sId="20" numFmtId="4">
    <nc r="L60">
      <v>0</v>
    </nc>
  </rcc>
  <rcc rId="6757" sId="20" numFmtId="4">
    <nc r="M60">
      <v>0</v>
    </nc>
  </rcc>
  <rcc rId="6758" sId="20" numFmtId="4">
    <nc r="N60">
      <v>0</v>
    </nc>
  </rcc>
  <rcc rId="6759" sId="20" numFmtId="4">
    <nc r="O60">
      <v>0</v>
    </nc>
  </rcc>
  <rcc rId="6760" sId="20" numFmtId="4">
    <nc r="P60">
      <v>0</v>
    </nc>
  </rcc>
  <rcc rId="6761" sId="20" numFmtId="4">
    <nc r="Q60">
      <v>0</v>
    </nc>
  </rcc>
  <rcc rId="6762" sId="20" numFmtId="4">
    <nc r="R60">
      <v>0</v>
    </nc>
  </rcc>
  <rcc rId="6763" sId="20" numFmtId="4">
    <nc r="S60">
      <v>0</v>
    </nc>
  </rcc>
  <rcc rId="6764" sId="20" numFmtId="4">
    <nc r="T60">
      <v>0</v>
    </nc>
  </rcc>
  <rcc rId="6765" sId="20" numFmtId="4">
    <nc r="U60">
      <v>0</v>
    </nc>
  </rcc>
  <rcc rId="6766" sId="20" numFmtId="4">
    <nc r="V60">
      <v>0</v>
    </nc>
  </rcc>
  <rcc rId="6767" sId="20" numFmtId="4">
    <nc r="W60">
      <v>0</v>
    </nc>
  </rcc>
  <rcc rId="6768" sId="20" odxf="1" s="1" dxf="1">
    <nc r="X60">
      <f>X61+X62+X64</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4" formatCode="_-* #,##0.00_-;\-* #,##0.00_-;_-* &quot;-&quot;??_-;_-@_-"/>
    </ndxf>
  </rcc>
  <rcc rId="6769" sId="20" numFmtId="4">
    <nc r="Y60">
      <v>0</v>
    </nc>
  </rcc>
  <rcc rId="6770" sId="20" numFmtId="4">
    <nc r="Z60">
      <v>0</v>
    </nc>
  </rcc>
  <rcc rId="6771" sId="20" numFmtId="4">
    <nc r="AA60">
      <v>0</v>
    </nc>
  </rcc>
  <rcc rId="6772" sId="20" numFmtId="4">
    <nc r="AB60">
      <v>0</v>
    </nc>
  </rcc>
  <rcc rId="6773" sId="20" numFmtId="4">
    <nc r="AC60">
      <v>0</v>
    </nc>
  </rcc>
  <rcc rId="6774" sId="20" numFmtId="4">
    <nc r="AD60">
      <v>0</v>
    </nc>
  </rcc>
  <rcc rId="6775" sId="20" numFmtId="4">
    <nc r="AE60">
      <v>0</v>
    </nc>
  </rcc>
  <rcc rId="6776" sId="20">
    <nc r="A61" t="inlineStr">
      <is>
        <t>бюджет Ханты-Мансийского автономного округа - Югры</t>
      </is>
    </nc>
  </rcc>
  <rcc rId="6777" sId="20" numFmtId="4">
    <nc r="B61">
      <v>0</v>
    </nc>
  </rcc>
  <rcc rId="6778" sId="20" numFmtId="4">
    <nc r="C61">
      <v>0</v>
    </nc>
  </rcc>
  <rcc rId="6779" sId="20" numFmtId="4">
    <nc r="D61">
      <v>0</v>
    </nc>
  </rcc>
  <rcc rId="6780" sId="20" numFmtId="4">
    <nc r="E61">
      <v>0</v>
    </nc>
  </rcc>
  <rcc rId="6781" sId="20" numFmtId="4">
    <nc r="F61">
      <v>0</v>
    </nc>
  </rcc>
  <rcc rId="6782" sId="20" numFmtId="4">
    <nc r="G61">
      <v>0</v>
    </nc>
  </rcc>
  <rcc rId="6783" sId="20" numFmtId="4">
    <nc r="H61">
      <v>0</v>
    </nc>
  </rcc>
  <rcc rId="6784" sId="20" numFmtId="4">
    <nc r="I61">
      <v>0</v>
    </nc>
  </rcc>
  <rcc rId="6785" sId="20" numFmtId="4">
    <nc r="J61">
      <v>0</v>
    </nc>
  </rcc>
  <rcc rId="6786" sId="20" numFmtId="4">
    <nc r="K61">
      <v>0</v>
    </nc>
  </rcc>
  <rcc rId="6787" sId="20" numFmtId="4">
    <nc r="L61">
      <v>0</v>
    </nc>
  </rcc>
  <rcc rId="6788" sId="20" numFmtId="4">
    <nc r="M61">
      <v>0</v>
    </nc>
  </rcc>
  <rcc rId="6789" sId="20" numFmtId="4">
    <nc r="N61">
      <v>0</v>
    </nc>
  </rcc>
  <rcc rId="6790" sId="20" numFmtId="4">
    <nc r="O61">
      <v>0</v>
    </nc>
  </rcc>
  <rcc rId="6791" sId="20" numFmtId="4">
    <nc r="P61">
      <v>0</v>
    </nc>
  </rcc>
  <rcc rId="6792" sId="20" numFmtId="4">
    <nc r="Q61">
      <v>0</v>
    </nc>
  </rcc>
  <rcc rId="6793" sId="20" numFmtId="4">
    <nc r="R61">
      <v>0</v>
    </nc>
  </rcc>
  <rcc rId="6794" sId="20" numFmtId="4">
    <nc r="S61">
      <v>0</v>
    </nc>
  </rcc>
  <rcc rId="6795" sId="20" numFmtId="4">
    <nc r="T61">
      <v>0</v>
    </nc>
  </rcc>
  <rcc rId="6796" sId="20" numFmtId="4">
    <nc r="U61">
      <v>0</v>
    </nc>
  </rcc>
  <rcc rId="6797" sId="20" numFmtId="4">
    <nc r="V61">
      <v>0</v>
    </nc>
  </rcc>
  <rcc rId="6798" sId="20" numFmtId="4">
    <nc r="W61">
      <v>0</v>
    </nc>
  </rcc>
  <rcc rId="6799" sId="20" numFmtId="4">
    <nc r="X61">
      <v>0</v>
    </nc>
  </rcc>
  <rcc rId="6800" sId="20" numFmtId="4">
    <nc r="Y61">
      <v>0</v>
    </nc>
  </rcc>
  <rcc rId="6801" sId="20" numFmtId="4">
    <nc r="Z61">
      <v>0</v>
    </nc>
  </rcc>
  <rcc rId="6802" sId="20" numFmtId="4">
    <nc r="AA61">
      <v>0</v>
    </nc>
  </rcc>
  <rcc rId="6803" sId="20" numFmtId="4">
    <nc r="AB61">
      <v>0</v>
    </nc>
  </rcc>
  <rcc rId="6804" sId="20" numFmtId="4">
    <nc r="AC61">
      <v>0</v>
    </nc>
  </rcc>
  <rcc rId="6805" sId="20" numFmtId="4">
    <nc r="AD61">
      <v>0</v>
    </nc>
  </rcc>
  <rcc rId="6806" sId="20" numFmtId="4">
    <nc r="AE61">
      <v>0</v>
    </nc>
  </rcc>
  <rcc rId="6807" sId="20">
    <nc r="A62" t="inlineStr">
      <is>
        <t>бюджет города Когалыма</t>
      </is>
    </nc>
  </rcc>
  <rcc rId="6808" sId="20" odxf="1" s="1" dxf="1">
    <nc r="B62">
      <f>X62</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4" formatCode="_-* #,##0.00_-;\-* #,##0.00_-;_-* &quot;-&quot;??_-;_-@_-"/>
    </ndxf>
  </rcc>
  <rcc rId="6809" sId="20" numFmtId="4">
    <nc r="C62">
      <v>0</v>
    </nc>
  </rcc>
  <rcc rId="6810" sId="20" numFmtId="4">
    <nc r="D62">
      <v>0</v>
    </nc>
  </rcc>
  <rcc rId="6811" sId="20" numFmtId="4">
    <nc r="E62">
      <v>0</v>
    </nc>
  </rcc>
  <rcc rId="6812" sId="20" numFmtId="4">
    <nc r="F62">
      <v>0</v>
    </nc>
  </rcc>
  <rcc rId="6813" sId="20" numFmtId="4">
    <nc r="G62">
      <v>0</v>
    </nc>
  </rcc>
  <rcc rId="6814" sId="20" numFmtId="4">
    <nc r="H62">
      <v>0</v>
    </nc>
  </rcc>
  <rcc rId="6815" sId="20" numFmtId="4">
    <nc r="I62">
      <v>0</v>
    </nc>
  </rcc>
  <rcc rId="6816" sId="20" numFmtId="4">
    <nc r="J62">
      <v>0</v>
    </nc>
  </rcc>
  <rcc rId="6817" sId="20" numFmtId="4">
    <nc r="K62">
      <v>0</v>
    </nc>
  </rcc>
  <rcc rId="6818" sId="20" numFmtId="4">
    <nc r="L62">
      <v>0</v>
    </nc>
  </rcc>
  <rcc rId="6819" sId="20" numFmtId="4">
    <nc r="M62">
      <v>0</v>
    </nc>
  </rcc>
  <rcc rId="6820" sId="20" numFmtId="4">
    <nc r="N62">
      <v>0</v>
    </nc>
  </rcc>
  <rcc rId="6821" sId="20" numFmtId="4">
    <nc r="O62">
      <v>0</v>
    </nc>
  </rcc>
  <rcc rId="6822" sId="20" numFmtId="4">
    <nc r="P62">
      <v>0</v>
    </nc>
  </rcc>
  <rcc rId="6823" sId="20" numFmtId="4">
    <nc r="Q62">
      <v>0</v>
    </nc>
  </rcc>
  <rcc rId="6824" sId="20" numFmtId="4">
    <nc r="R62">
      <v>0</v>
    </nc>
  </rcc>
  <rcc rId="6825" sId="20" numFmtId="4">
    <nc r="S62">
      <v>0</v>
    </nc>
  </rcc>
  <rcc rId="6826" sId="20" numFmtId="4">
    <nc r="T62">
      <v>0</v>
    </nc>
  </rcc>
  <rcc rId="6827" sId="20" numFmtId="4">
    <nc r="U62">
      <v>0</v>
    </nc>
  </rcc>
  <rcc rId="6828" sId="20" numFmtId="4">
    <nc r="V62">
      <v>0</v>
    </nc>
  </rcc>
  <rcc rId="6829" sId="20" numFmtId="4">
    <nc r="W62">
      <v>0</v>
    </nc>
  </rcc>
  <rcc rId="6830" sId="20" odxf="1" s="1" dxf="1" numFmtId="34">
    <nc r="X62">
      <v>118</v>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4" formatCode="_-* #,##0.00_-;\-* #,##0.00_-;_-* &quot;-&quot;??_-;_-@_-"/>
      <alignment horizontal="general" readingOrder="0"/>
    </ndxf>
  </rcc>
  <rcc rId="6831" sId="20" numFmtId="4">
    <nc r="Y62">
      <v>0</v>
    </nc>
  </rcc>
  <rcc rId="6832" sId="20" numFmtId="4">
    <nc r="Z62">
      <v>0</v>
    </nc>
  </rcc>
  <rcc rId="6833" sId="20" numFmtId="4">
    <nc r="AA62">
      <v>0</v>
    </nc>
  </rcc>
  <rcc rId="6834" sId="20" numFmtId="4">
    <nc r="AB62">
      <v>0</v>
    </nc>
  </rcc>
  <rcc rId="6835" sId="20" numFmtId="4">
    <nc r="AC62">
      <v>0</v>
    </nc>
  </rcc>
  <rcc rId="6836" sId="20" numFmtId="4">
    <nc r="AD62">
      <v>0</v>
    </nc>
  </rcc>
  <rcc rId="6837" sId="20" odxf="1" s="1" dxf="1" numFmtId="34">
    <nc r="AE62">
      <v>0</v>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64" formatCode="_-* #,##0.00_-;\-* #,##0.00_-;_-* &quot;-&quot;??_-;_-@_-"/>
      <alignment horizontal="general" readingOrder="0"/>
    </ndxf>
  </rcc>
  <rcc rId="6838" sId="20" odxf="1" dxf="1">
    <nc r="A63" t="inlineStr">
      <is>
        <t>в т.ч. бюджет города Когалыма в части софинансирования</t>
      </is>
    </nc>
    <odxf>
      <font>
        <i val="0"/>
        <sz val="12"/>
        <color auto="1"/>
        <name val="Times New Roman"/>
        <scheme val="none"/>
      </font>
    </odxf>
    <ndxf>
      <font>
        <i/>
        <sz val="12"/>
        <color auto="1"/>
        <name val="Times New Roman"/>
        <scheme val="none"/>
      </font>
    </ndxf>
  </rcc>
  <rcc rId="6839" sId="20" numFmtId="4">
    <nc r="B63">
      <v>0</v>
    </nc>
  </rcc>
  <rcc rId="6840" sId="20" numFmtId="4">
    <nc r="C63">
      <v>0</v>
    </nc>
  </rcc>
  <rcc rId="6841" sId="20" numFmtId="4">
    <nc r="D63">
      <v>0</v>
    </nc>
  </rcc>
  <rcc rId="6842" sId="20" numFmtId="4">
    <nc r="E63">
      <v>0</v>
    </nc>
  </rcc>
  <rcc rId="6843" sId="20" numFmtId="4">
    <nc r="F63">
      <v>0</v>
    </nc>
  </rcc>
  <rcc rId="6844" sId="20" numFmtId="4">
    <nc r="G63">
      <v>0</v>
    </nc>
  </rcc>
  <rcc rId="6845" sId="20" numFmtId="4">
    <nc r="H63">
      <v>0</v>
    </nc>
  </rcc>
  <rcc rId="6846" sId="20" numFmtId="4">
    <nc r="I63">
      <v>0</v>
    </nc>
  </rcc>
  <rcc rId="6847" sId="20" numFmtId="4">
    <nc r="J63">
      <v>0</v>
    </nc>
  </rcc>
  <rcc rId="6848" sId="20" numFmtId="4">
    <nc r="K63">
      <v>0</v>
    </nc>
  </rcc>
  <rcc rId="6849" sId="20" numFmtId="4">
    <nc r="L63">
      <v>0</v>
    </nc>
  </rcc>
  <rcc rId="6850" sId="20" numFmtId="4">
    <nc r="M63">
      <v>0</v>
    </nc>
  </rcc>
  <rcc rId="6851" sId="20" numFmtId="4">
    <nc r="N63">
      <v>0</v>
    </nc>
  </rcc>
  <rcc rId="6852" sId="20" numFmtId="4">
    <nc r="O63">
      <v>0</v>
    </nc>
  </rcc>
  <rcc rId="6853" sId="20" numFmtId="4">
    <nc r="P63">
      <v>0</v>
    </nc>
  </rcc>
  <rcc rId="6854" sId="20" numFmtId="4">
    <nc r="Q63">
      <v>0</v>
    </nc>
  </rcc>
  <rcc rId="6855" sId="20" numFmtId="4">
    <nc r="R63">
      <v>0</v>
    </nc>
  </rcc>
  <rcc rId="6856" sId="20" numFmtId="4">
    <nc r="S63">
      <v>0</v>
    </nc>
  </rcc>
  <rcc rId="6857" sId="20" numFmtId="4">
    <nc r="T63">
      <v>0</v>
    </nc>
  </rcc>
  <rcc rId="6858" sId="20" numFmtId="4">
    <nc r="U63">
      <v>0</v>
    </nc>
  </rcc>
  <rcc rId="6859" sId="20" numFmtId="4">
    <nc r="V63">
      <v>0</v>
    </nc>
  </rcc>
  <rcc rId="6860" sId="20" numFmtId="4">
    <nc r="W63">
      <v>0</v>
    </nc>
  </rcc>
  <rcc rId="6861" sId="20" numFmtId="4">
    <nc r="X63">
      <v>0</v>
    </nc>
  </rcc>
  <rcc rId="6862" sId="20" numFmtId="4">
    <nc r="Y63">
      <v>0</v>
    </nc>
  </rcc>
  <rcc rId="6863" sId="20" numFmtId="4">
    <nc r="Z63">
      <v>0</v>
    </nc>
  </rcc>
  <rcc rId="6864" sId="20" numFmtId="4">
    <nc r="AA63">
      <v>0</v>
    </nc>
  </rcc>
  <rcc rId="6865" sId="20" numFmtId="4">
    <nc r="AB63">
      <v>0</v>
    </nc>
  </rcc>
  <rcc rId="6866" sId="20" numFmtId="4">
    <nc r="AC63">
      <v>0</v>
    </nc>
  </rcc>
  <rcc rId="6867" sId="20" numFmtId="4">
    <nc r="AD63">
      <v>0</v>
    </nc>
  </rcc>
  <rcc rId="6868" sId="20" numFmtId="4">
    <nc r="AE63">
      <v>0</v>
    </nc>
  </rcc>
  <rcc rId="6869" sId="20">
    <nc r="A64" t="inlineStr">
      <is>
        <t>привлеченные средства</t>
      </is>
    </nc>
  </rcc>
  <rcc rId="6870" sId="20" numFmtId="4">
    <nc r="B64">
      <v>0</v>
    </nc>
  </rcc>
  <rcc rId="6871" sId="20" numFmtId="4">
    <nc r="C64">
      <v>0</v>
    </nc>
  </rcc>
  <rcc rId="6872" sId="20" numFmtId="4">
    <nc r="D64">
      <v>0</v>
    </nc>
  </rcc>
  <rcc rId="6873" sId="20" numFmtId="4">
    <nc r="E64">
      <v>0</v>
    </nc>
  </rcc>
  <rcc rId="6874" sId="20" numFmtId="4">
    <nc r="F64">
      <v>0</v>
    </nc>
  </rcc>
  <rcc rId="6875" sId="20" numFmtId="4">
    <nc r="G64">
      <v>0</v>
    </nc>
  </rcc>
  <rcc rId="6876" sId="20" numFmtId="4">
    <nc r="H64">
      <v>0</v>
    </nc>
  </rcc>
  <rcc rId="6877" sId="20" numFmtId="4">
    <nc r="I64">
      <v>0</v>
    </nc>
  </rcc>
  <rcc rId="6878" sId="20" numFmtId="4">
    <nc r="J64">
      <v>0</v>
    </nc>
  </rcc>
  <rcc rId="6879" sId="20" numFmtId="4">
    <nc r="K64">
      <v>0</v>
    </nc>
  </rcc>
  <rcc rId="6880" sId="20" numFmtId="4">
    <nc r="L64">
      <v>0</v>
    </nc>
  </rcc>
  <rcc rId="6881" sId="20" numFmtId="4">
    <nc r="M64">
      <v>0</v>
    </nc>
  </rcc>
  <rcc rId="6882" sId="20" numFmtId="4">
    <nc r="N64">
      <v>0</v>
    </nc>
  </rcc>
  <rcc rId="6883" sId="20" numFmtId="4">
    <nc r="O64">
      <v>0</v>
    </nc>
  </rcc>
  <rcc rId="6884" sId="20" numFmtId="4">
    <nc r="P64">
      <v>0</v>
    </nc>
  </rcc>
  <rcc rId="6885" sId="20" numFmtId="4">
    <nc r="Q64">
      <v>0</v>
    </nc>
  </rcc>
  <rcc rId="6886" sId="20" numFmtId="4">
    <nc r="R64">
      <v>0</v>
    </nc>
  </rcc>
  <rcc rId="6887" sId="20" numFmtId="4">
    <nc r="S64">
      <v>0</v>
    </nc>
  </rcc>
  <rcc rId="6888" sId="20" numFmtId="4">
    <nc r="T64">
      <v>0</v>
    </nc>
  </rcc>
  <rcc rId="6889" sId="20" numFmtId="4">
    <nc r="U64">
      <v>0</v>
    </nc>
  </rcc>
  <rcc rId="6890" sId="20" numFmtId="4">
    <nc r="V64">
      <v>0</v>
    </nc>
  </rcc>
  <rcc rId="6891" sId="20" numFmtId="4">
    <nc r="W64">
      <v>0</v>
    </nc>
  </rcc>
  <rcc rId="6892" sId="20" numFmtId="4">
    <nc r="X64">
      <v>0</v>
    </nc>
  </rcc>
  <rcc rId="6893" sId="20" numFmtId="4">
    <nc r="Y64">
      <v>0</v>
    </nc>
  </rcc>
  <rcc rId="6894" sId="20" numFmtId="4">
    <nc r="Z64">
      <v>0</v>
    </nc>
  </rcc>
  <rcc rId="6895" sId="20" numFmtId="4">
    <nc r="AA64">
      <v>0</v>
    </nc>
  </rcc>
  <rcc rId="6896" sId="20" numFmtId="4">
    <nc r="AB64">
      <v>0</v>
    </nc>
  </rcc>
  <rcc rId="6897" sId="20" numFmtId="4">
    <nc r="AC64">
      <v>0</v>
    </nc>
  </rcc>
  <rcc rId="6898" sId="20" numFmtId="4">
    <nc r="AD64">
      <v>0</v>
    </nc>
  </rcc>
  <rcc rId="6899" sId="20" numFmtId="4">
    <nc r="AE64">
      <v>0</v>
    </nc>
  </rcc>
  <rrc rId="6900" sId="20" ref="A65:XFD65" action="deleteRow">
    <rfmt sheetId="20" xfDxf="1" s="1" sqref="A65:XFD65" start="0" length="0">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20" s="1" sqref="A65" start="0" length="0">
      <dxf>
        <font>
          <sz val="12"/>
          <color auto="1"/>
          <name val="Times New Roman"/>
          <scheme val="none"/>
        </font>
        <alignment horizontal="left" vertical="center" wrapText="1" readingOrder="0"/>
        <border outline="0">
          <left style="thin">
            <color indexed="64"/>
          </left>
          <right style="thin">
            <color indexed="64"/>
          </right>
          <top style="thin">
            <color indexed="64"/>
          </top>
          <bottom style="thin">
            <color indexed="64"/>
          </bottom>
        </border>
      </dxf>
    </rfmt>
    <rfmt sheetId="20" s="1" sqref="B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C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D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E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F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G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H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I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J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K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L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M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N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O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P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Q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R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S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T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U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V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W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X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Y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Z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AA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AB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AC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AD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AE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AF65" start="0" length="0">
      <dxf>
        <font>
          <sz val="12"/>
          <color auto="1"/>
          <name val="Times New Roman"/>
          <scheme val="none"/>
        </font>
        <alignment horizontal="justify" vertical="top" wrapText="1" readingOrder="0"/>
        <border outline="0">
          <left style="thin">
            <color indexed="64"/>
          </left>
          <right style="thin">
            <color indexed="64"/>
          </right>
          <bottom style="thin">
            <color indexed="64"/>
          </bottom>
        </border>
      </dxf>
    </rfmt>
  </rrc>
  <rrc rId="6901" sId="20" ref="A65:XFD65" action="deleteRow">
    <rfmt sheetId="20" xfDxf="1" s="1" sqref="A65:XFD65" start="0" length="0">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20" s="1" sqref="A65" start="0" length="0">
      <dxf>
        <font>
          <sz val="12"/>
          <color auto="1"/>
          <name val="Times New Roman"/>
          <scheme val="none"/>
        </font>
        <alignment horizontal="left" vertical="center" wrapText="1" readingOrder="0"/>
        <border outline="0">
          <left style="thin">
            <color indexed="64"/>
          </left>
          <right style="thin">
            <color indexed="64"/>
          </right>
          <top style="thin">
            <color indexed="64"/>
          </top>
          <bottom style="thin">
            <color indexed="64"/>
          </bottom>
        </border>
      </dxf>
    </rfmt>
    <rfmt sheetId="20" s="1" sqref="B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C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D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E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F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G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H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I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J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K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L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M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N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O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P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Q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R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S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T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U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V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W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X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Y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Z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AA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AB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AC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AD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AE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AF65" start="0" length="0">
      <dxf>
        <font>
          <sz val="12"/>
          <color auto="1"/>
          <name val="Times New Roman"/>
          <scheme val="none"/>
        </font>
        <alignment horizontal="justify" vertical="top" wrapText="1" readingOrder="0"/>
        <border outline="0">
          <left style="thin">
            <color indexed="64"/>
          </left>
          <right style="thin">
            <color indexed="64"/>
          </right>
          <bottom style="thin">
            <color indexed="64"/>
          </bottom>
        </border>
      </dxf>
    </rfmt>
  </rrc>
  <rrc rId="6902" sId="20" ref="A65:XFD65" action="deleteRow">
    <rfmt sheetId="20" xfDxf="1" s="1" sqref="A65:XFD65" start="0" length="0">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20" s="1" sqref="A65" start="0" length="0">
      <dxf>
        <font>
          <sz val="12"/>
          <color auto="1"/>
          <name val="Times New Roman"/>
          <scheme val="none"/>
        </font>
        <alignment horizontal="left" vertical="center" wrapText="1" readingOrder="0"/>
        <border outline="0">
          <left style="thin">
            <color indexed="64"/>
          </left>
          <right style="thin">
            <color indexed="64"/>
          </right>
          <top style="thin">
            <color indexed="64"/>
          </top>
          <bottom style="thin">
            <color indexed="64"/>
          </bottom>
        </border>
      </dxf>
    </rfmt>
    <rfmt sheetId="20" s="1" sqref="B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C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D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E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F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G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H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I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J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K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L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M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N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O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P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Q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R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S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T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U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V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W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X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Y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Z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AA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AB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AC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AD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AE65" start="0" length="0">
      <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20" s="1" sqref="AF65" start="0" length="0">
      <dxf>
        <font>
          <sz val="12"/>
          <color auto="1"/>
          <name val="Times New Roman"/>
          <scheme val="none"/>
        </font>
        <alignment horizontal="justify" vertical="top" wrapText="1" readingOrder="0"/>
        <border outline="0">
          <left style="thin">
            <color indexed="64"/>
          </left>
          <right style="thin">
            <color indexed="64"/>
          </right>
          <bottom style="thin">
            <color indexed="64"/>
          </bottom>
        </border>
      </dxf>
    </rfmt>
  </rrc>
  <rfmt sheetId="20" sqref="AD56:AD57">
    <dxf>
      <alignment horizontal="center" readingOrder="0"/>
    </dxf>
  </rfmt>
  <rfmt sheetId="20" sqref="AD56:AD57">
    <dxf>
      <alignment vertical="center" readingOrder="0"/>
    </dxf>
  </rfmt>
  <rcc rId="6903" sId="20">
    <oc r="B48">
      <f>B49+B50+B52</f>
    </oc>
    <nc r="B48">
      <f>B49+B50+B52</f>
    </nc>
  </rcc>
  <rcc rId="6904" sId="20">
    <oc r="C48">
      <f>C49+C50+C52</f>
    </oc>
    <nc r="C48">
      <f>C49+C50+C52</f>
    </nc>
  </rcc>
  <rcc rId="6905" sId="20">
    <oc r="D48">
      <f>D49+D50+D52</f>
    </oc>
    <nc r="D48">
      <f>D49+D50+D52</f>
    </nc>
  </rcc>
  <rcc rId="6906" sId="20">
    <oc r="E48">
      <f>E49+E50+E52</f>
    </oc>
    <nc r="E48">
      <f>E49+E50+E52</f>
    </nc>
  </rcc>
  <rcc rId="6907" sId="20">
    <oc r="F48">
      <f>IFERROR(E48/B48*100,0)</f>
    </oc>
    <nc r="F48">
      <f>IFERROR(E48/B48*100,0)</f>
    </nc>
  </rcc>
  <rcc rId="6908" sId="20">
    <oc r="G48">
      <f>IFERROR(E48/C48*100,0)</f>
    </oc>
    <nc r="G48">
      <f>IFERROR(E48/C48*100,0)</f>
    </nc>
  </rcc>
  <rcc rId="6909" sId="20">
    <oc r="H48">
      <f>H49+H50+H52</f>
    </oc>
    <nc r="H48">
      <f>H49+H50+H52</f>
    </nc>
  </rcc>
  <rcc rId="6910" sId="20">
    <oc r="I48">
      <f>I49+I50+I52</f>
    </oc>
    <nc r="I48">
      <f>I49+I50+I52</f>
    </nc>
  </rcc>
  <rcc rId="6911" sId="20">
    <oc r="J48">
      <f>J49+J50+J52</f>
    </oc>
    <nc r="J48">
      <f>J49+J50+J52</f>
    </nc>
  </rcc>
  <rcc rId="6912" sId="20">
    <oc r="K48">
      <f>K49+K50+K52</f>
    </oc>
    <nc r="K48">
      <f>K49+K50+K52</f>
    </nc>
  </rcc>
  <rcc rId="6913" sId="20">
    <oc r="L48">
      <f>L49+L50+L52</f>
    </oc>
    <nc r="L48">
      <f>L49+L50+L52</f>
    </nc>
  </rcc>
  <rcc rId="6914" sId="20">
    <oc r="M48">
      <f>M49+M50+M52</f>
    </oc>
    <nc r="M48">
      <f>M49+M50+M52</f>
    </nc>
  </rcc>
  <rcc rId="6915" sId="20">
    <oc r="N48">
      <f>N49+N50+N52</f>
    </oc>
    <nc r="N48">
      <f>N49+N50+N52</f>
    </nc>
  </rcc>
  <rcc rId="6916" sId="20">
    <oc r="O48">
      <f>O49+O50+O52</f>
    </oc>
    <nc r="O48">
      <f>O49+O50+O52</f>
    </nc>
  </rcc>
  <rcc rId="6917" sId="20">
    <oc r="P48">
      <f>P49+P50+P52</f>
    </oc>
    <nc r="P48">
      <f>P49+P50+P52</f>
    </nc>
  </rcc>
  <rcc rId="6918" sId="20">
    <oc r="Q48">
      <f>Q49+Q50+Q52</f>
    </oc>
    <nc r="Q48">
      <f>Q49+Q50+Q52</f>
    </nc>
  </rcc>
  <rcc rId="6919" sId="20">
    <oc r="R48">
      <f>R49+R50+R52</f>
    </oc>
    <nc r="R48">
      <f>R49+R50+R52</f>
    </nc>
  </rcc>
  <rcc rId="6920" sId="20">
    <oc r="S48">
      <f>S49+S50+S52</f>
    </oc>
    <nc r="S48">
      <f>S49+S50+S52</f>
    </nc>
  </rcc>
  <rcc rId="6921" sId="20">
    <oc r="T48">
      <f>T49+T50+T52</f>
    </oc>
    <nc r="T48">
      <f>T49+T50+T52</f>
    </nc>
  </rcc>
  <rcc rId="6922" sId="20">
    <oc r="U48">
      <f>U49+U50+U52</f>
    </oc>
    <nc r="U48">
      <f>U49+U50+U52</f>
    </nc>
  </rcc>
  <rcc rId="6923" sId="20">
    <oc r="V48">
      <f>V49+V50+V52</f>
    </oc>
    <nc r="V48">
      <f>V49+V50+V52</f>
    </nc>
  </rcc>
  <rcc rId="6924" sId="20">
    <oc r="W48">
      <f>W49+W50+W52</f>
    </oc>
    <nc r="W48">
      <f>W49+W50+W52</f>
    </nc>
  </rcc>
  <rcc rId="6925" sId="20">
    <oc r="X48">
      <f>X49+X50+X52</f>
    </oc>
    <nc r="X48">
      <f>X49+X50+X52</f>
    </nc>
  </rcc>
  <rcc rId="6926" sId="20">
    <oc r="Y48">
      <f>Y49+Y50+Y52</f>
    </oc>
    <nc r="Y48">
      <f>Y49+Y50+Y52</f>
    </nc>
  </rcc>
  <rcc rId="6927" sId="20">
    <oc r="Z48">
      <f>Z49+Z50+Z52</f>
    </oc>
    <nc r="Z48">
      <f>Z49+Z50+Z52</f>
    </nc>
  </rcc>
  <rcc rId="6928" sId="20">
    <oc r="AA48">
      <f>AA49+AA50+AA52</f>
    </oc>
    <nc r="AA48">
      <f>AA49+AA50+AA52</f>
    </nc>
  </rcc>
  <rcc rId="6929" sId="20">
    <oc r="AB48">
      <f>AB49+AB50+AB52</f>
    </oc>
    <nc r="AB48">
      <f>AB49+AB50+AB52</f>
    </nc>
  </rcc>
  <rcc rId="6930" sId="20">
    <oc r="AC48">
      <f>AC49+AC50+AC52</f>
    </oc>
    <nc r="AC48">
      <f>AC49+AC50+AC52</f>
    </nc>
  </rcc>
  <rcc rId="6931" sId="20">
    <oc r="AD48">
      <f>AD49+AD50+AD52</f>
    </oc>
    <nc r="AD48">
      <f>AD49+AD50+AD52</f>
    </nc>
  </rcc>
  <rcc rId="6932" sId="20">
    <oc r="AE48">
      <f>AE49+AE50+AE52</f>
    </oc>
    <nc r="AE48">
      <f>AE49+AE50+AE52</f>
    </nc>
  </rcc>
  <rcc rId="6933" sId="20">
    <oc r="B49">
      <f>H49+J49+L49+N49+P49+R49+T49+V49+X49+Z49+AB49+AD49</f>
    </oc>
    <nc r="B49">
      <f>H49+J49+L49+N49+P49+R49+T49+V49+X49+Z49+AB49+AD49</f>
    </nc>
  </rcc>
  <rcc rId="6934" sId="20">
    <oc r="C49">
      <f>H49+J49+L49+N49</f>
    </oc>
    <nc r="C49">
      <f>H49+J49+L49+N49+P49+R49</f>
    </nc>
  </rcc>
  <rcc rId="6935" sId="20" numFmtId="4">
    <oc r="D49">
      <f>I49+K49+M49+O49</f>
    </oc>
    <nc r="D49">
      <v>0</v>
    </nc>
  </rcc>
  <rcc rId="6936" sId="20">
    <oc r="E49">
      <f>I49+K49+M49+O49+Q49+S49+U49+W49+Y49+AA49+AC49+AE49</f>
    </oc>
    <nc r="E49">
      <f>I49+K49+M49+O49+Q49+S49+U49+W49+Y49+AA49+AC49+AE49</f>
    </nc>
  </rcc>
  <rcc rId="6937" sId="20">
    <oc r="F49">
      <f>IFERROR(E49/B49*100,0)</f>
    </oc>
    <nc r="F49">
      <f>IFERROR(E49/B49*100,0)</f>
    </nc>
  </rcc>
  <rcc rId="6938" sId="20">
    <oc r="G49">
      <f>IFERROR(E49/C49*100,0)</f>
    </oc>
    <nc r="G49">
      <f>IFERROR(E49/C49*100,0)</f>
    </nc>
  </rcc>
  <rcc rId="6939" sId="20">
    <oc r="B50">
      <f>H50+J50+L50+N50+P50+R50+T50+V50+X50+Z50+AB50+AD50</f>
    </oc>
    <nc r="B50">
      <f>H50+J50+L50+N50+P50+R50+T50+V50+X50+Z50+AB50+AD50</f>
    </nc>
  </rcc>
  <rcc rId="6940" sId="20">
    <oc r="C50">
      <f>H50+J50+L50+N50</f>
    </oc>
    <nc r="C50">
      <f>H50+J50+L50+N50+P50+R50</f>
    </nc>
  </rcc>
  <rcc rId="6941" sId="20" numFmtId="4">
    <oc r="D50">
      <f>I50+K50+M50+O50</f>
    </oc>
    <nc r="D50">
      <v>0</v>
    </nc>
  </rcc>
  <rcc rId="6942" sId="20">
    <oc r="E50">
      <f>I50+K50+M50+O50+Q50+S50+U50+W50+Y50+AA50+AC50+AE50</f>
    </oc>
    <nc r="E50">
      <f>I50+K50+M50+O50+Q50+S50+U50+W50+Y50+AA50+AC50+AE50</f>
    </nc>
  </rcc>
  <rcc rId="6943" sId="20">
    <oc r="F50">
      <f>IFERROR(E50/B50*100,0)</f>
    </oc>
    <nc r="F50">
      <f>IFERROR(E50/B50*100,0)</f>
    </nc>
  </rcc>
  <rcc rId="6944" sId="20">
    <oc r="G50">
      <f>IFERROR(E50/C50*100,0)</f>
    </oc>
    <nc r="G50">
      <f>IFERROR(E50/C50*100,0)</f>
    </nc>
  </rcc>
  <rcc rId="6945" sId="20" numFmtId="4">
    <oc r="R50">
      <v>0</v>
    </oc>
    <nc r="R50">
      <v>107.6</v>
    </nc>
  </rcc>
  <rcc rId="6946" sId="20">
    <oc r="B51">
      <f>H51+J51+L51+N51+P51+R51+T51+V51+X51+Z51+AB51+AD51</f>
    </oc>
    <nc r="B51">
      <f>H51+J51+L51+N51+P51+R51+T51+V51+X51+Z51+AB51+AD51</f>
    </nc>
  </rcc>
  <rcc rId="6947" sId="20">
    <oc r="C51">
      <f>H51+J51+L51+N51</f>
    </oc>
    <nc r="C51">
      <f>H51+J51+L51+N51+P51+R51</f>
    </nc>
  </rcc>
  <rcc rId="6948" sId="20" numFmtId="4">
    <oc r="D51">
      <f>I51+K51+M51+O51</f>
    </oc>
    <nc r="D51">
      <v>0</v>
    </nc>
  </rcc>
  <rcc rId="6949" sId="20">
    <oc r="E51">
      <f>I51+K51+M51+O51+Q51+S51+U51+W51+Y51+AA51+AC51+AE51</f>
    </oc>
    <nc r="E51">
      <f>I51+K51+M51+O51+Q51+S51+U51+W51+Y51+AA51+AC51+AE51</f>
    </nc>
  </rcc>
  <rcc rId="6950" sId="20">
    <oc r="F51">
      <f>IFERROR(E51/B51*100,0)</f>
    </oc>
    <nc r="F51">
      <f>IFERROR(E51/B51*100,0)</f>
    </nc>
  </rcc>
  <rcc rId="6951" sId="20">
    <oc r="G51">
      <f>IFERROR(E51/C51*100,0)</f>
    </oc>
    <nc r="G51">
      <f>IFERROR(E51/C51*100,0)</f>
    </nc>
  </rcc>
  <rcc rId="6952" sId="20">
    <oc r="B52">
      <f>H52+J52+L52+N52+P52+R52+T52+V52+X52+Z52+AB52+AD52</f>
    </oc>
    <nc r="B52">
      <f>H52+J52+L52+N52+P52+R52+T52+V52+X52+Z52+AB52+AD52</f>
    </nc>
  </rcc>
  <rcc rId="6953" sId="20">
    <oc r="C52">
      <f>H52+J52+L52+N52</f>
    </oc>
    <nc r="C52">
      <f>H52+J52+L52+N52+P52+R52</f>
    </nc>
  </rcc>
  <rcc rId="6954" sId="20" numFmtId="4">
    <oc r="D52">
      <f>I52+K52+M52+O52</f>
    </oc>
    <nc r="D52">
      <v>0</v>
    </nc>
  </rcc>
  <rcc rId="6955" sId="20">
    <oc r="E52">
      <f>I52+K52+M52+O52+Q52+S52+U52+W52+Y52+AA52+AC52+AE52</f>
    </oc>
    <nc r="E52">
      <f>I52+K52+M52+O52+Q52+S52+U52+W52+Y52+AA52+AC52+AE52</f>
    </nc>
  </rcc>
  <rcc rId="6956" sId="20">
    <oc r="F52">
      <f>IFERROR(E52/B52*100,0)</f>
    </oc>
    <nc r="F52">
      <f>IFERROR(E52/B52*100,0)</f>
    </nc>
  </rcc>
  <rcc rId="6957" sId="20">
    <oc r="G52">
      <f>IFERROR(E52/C52*100,0)</f>
    </oc>
    <nc r="G52">
      <f>IFERROR(E52/C52*100,0)</f>
    </nc>
  </rcc>
  <rcc rId="6958" sId="20" numFmtId="4">
    <oc r="AD52">
      <v>175541.92</v>
    </oc>
    <nc r="AD52">
      <v>26081.72</v>
    </nc>
  </rcc>
  <rcc rId="6959" sId="20">
    <oc r="B53">
      <f>T53+AB53</f>
    </oc>
    <nc r="B53">
      <f>T53+AB53</f>
    </nc>
  </rcc>
  <rcc rId="6960" sId="20">
    <oc r="C53">
      <f>H53+J53</f>
    </oc>
    <nc r="C53">
      <f>H53+J53</f>
    </nc>
  </rcc>
  <rcc rId="6961" sId="20">
    <oc r="E53">
      <f>I53+K53+M53+O53+Q53+S53+U53+W53+Y53+AA53+AC53+AE53</f>
    </oc>
    <nc r="E53">
      <f>I53+K53+M53+O53+Q53+S53+U53+W53+Y53+AA53+AC53+AE53</f>
    </nc>
  </rcc>
  <rcc rId="6962" sId="20">
    <oc r="F53">
      <f>IFERROR(E53/B53*100,0)</f>
    </oc>
    <nc r="F53">
      <f>IFERROR(E53/B53*100,0)</f>
    </nc>
  </rcc>
  <rcc rId="6963" sId="20">
    <oc r="G53">
      <f>IFERROR(E53/C53*100,0)</f>
    </oc>
    <nc r="G53">
      <f>IFERROR(E53/C53*100,0)</f>
    </nc>
  </rcc>
  <rcc rId="6964" sId="20">
    <oc r="T53">
      <f>T55+T56</f>
    </oc>
    <nc r="T53">
      <f>T55+T56</f>
    </nc>
  </rcc>
  <rcc rId="6965" sId="20">
    <oc r="AB53">
      <f>AB55+AB56</f>
    </oc>
    <nc r="AB53">
      <f>AB55+AB56</f>
    </nc>
  </rcc>
  <rcc rId="6966" sId="20">
    <oc r="B54">
      <f>B55+B56+B58</f>
    </oc>
    <nc r="B54">
      <f>B55+B56+B58</f>
    </nc>
  </rcc>
  <rcc rId="6967" sId="20">
    <oc r="C54">
      <f>C55+C56+C58</f>
    </oc>
    <nc r="C54">
      <f>C55+C56+C58</f>
    </nc>
  </rcc>
  <rcc rId="6968" sId="20">
    <oc r="D54">
      <f>D55+D56+D58</f>
    </oc>
    <nc r="D54">
      <f>D55+D56+D58</f>
    </nc>
  </rcc>
  <rcc rId="6969" sId="20">
    <oc r="E54">
      <f>E55+E56+E58</f>
    </oc>
    <nc r="E54">
      <f>E55+E56+E58</f>
    </nc>
  </rcc>
  <rcc rId="6970" sId="20">
    <oc r="F54">
      <f>F55+F56+F58</f>
    </oc>
    <nc r="F54">
      <f>F55+F56+F58</f>
    </nc>
  </rcc>
  <rcc rId="6971" sId="20">
    <oc r="G54">
      <f>G55+G56+G58</f>
    </oc>
    <nc r="G54">
      <f>G55+G56+G58</f>
    </nc>
  </rcc>
  <rcc rId="6972" sId="20">
    <oc r="H54">
      <f>H55+H56+H58</f>
    </oc>
    <nc r="H54">
      <f>H55+H56+H58</f>
    </nc>
  </rcc>
  <rcc rId="6973" sId="20">
    <oc r="I54">
      <f>I55+I56+I58</f>
    </oc>
    <nc r="I54">
      <f>I55+I56+I58</f>
    </nc>
  </rcc>
  <rcc rId="6974" sId="20">
    <oc r="J54">
      <f>J55+J56+J58</f>
    </oc>
    <nc r="J54">
      <f>J55+J56+J58</f>
    </nc>
  </rcc>
  <rcc rId="6975" sId="20">
    <oc r="K54">
      <f>K55+K56+K58</f>
    </oc>
    <nc r="K54">
      <f>K55+K56+K58</f>
    </nc>
  </rcc>
  <rcc rId="6976" sId="20">
    <oc r="L54">
      <f>L55+L56+L58</f>
    </oc>
    <nc r="L54">
      <f>L55+L56+L58</f>
    </nc>
  </rcc>
  <rcc rId="6977" sId="20">
    <oc r="M54">
      <f>M55+M56+M58</f>
    </oc>
    <nc r="M54">
      <f>M55+M56+M58</f>
    </nc>
  </rcc>
  <rcc rId="6978" sId="20">
    <oc r="N54">
      <f>N55+N56+N58</f>
    </oc>
    <nc r="N54">
      <f>N55+N56+N58</f>
    </nc>
  </rcc>
  <rcc rId="6979" sId="20">
    <oc r="O54">
      <f>O55+O56+O58</f>
    </oc>
    <nc r="O54">
      <f>O55+O56+O58</f>
    </nc>
  </rcc>
  <rcc rId="6980" sId="20">
    <oc r="P54">
      <f>P55+P56+P58</f>
    </oc>
    <nc r="P54">
      <f>P55+P56+P58</f>
    </nc>
  </rcc>
  <rcc rId="6981" sId="20">
    <oc r="Q54">
      <f>Q55+Q56+Q58</f>
    </oc>
    <nc r="Q54">
      <f>Q55+Q56+Q58</f>
    </nc>
  </rcc>
  <rcc rId="6982" sId="20">
    <oc r="R54">
      <f>R55+R56+R58</f>
    </oc>
    <nc r="R54">
      <f>R55+R56+R58</f>
    </nc>
  </rcc>
  <rcc rId="6983" sId="20">
    <oc r="S54">
      <f>S55+S56+S58</f>
    </oc>
    <nc r="S54">
      <f>S55+S56+S58</f>
    </nc>
  </rcc>
  <rcc rId="6984" sId="20">
    <oc r="T54">
      <f>T55+T56+T58</f>
    </oc>
    <nc r="T54">
      <f>T55+T56+T58</f>
    </nc>
  </rcc>
  <rcc rId="6985" sId="20">
    <oc r="U54">
      <f>U55+U56+U58</f>
    </oc>
    <nc r="U54">
      <f>U55+U56+U58</f>
    </nc>
  </rcc>
  <rcc rId="6986" sId="20">
    <oc r="V54">
      <f>V55+V56+V58</f>
    </oc>
    <nc r="V54">
      <f>V55+V56+V58</f>
    </nc>
  </rcc>
  <rcc rId="6987" sId="20">
    <oc r="W54">
      <f>W55+W56+W58</f>
    </oc>
    <nc r="W54">
      <f>W55+W56+W58</f>
    </nc>
  </rcc>
  <rcc rId="6988" sId="20">
    <oc r="X54">
      <f>X55+X56+X58</f>
    </oc>
    <nc r="X54">
      <f>X55+X56+X58</f>
    </nc>
  </rcc>
  <rcc rId="6989" sId="20">
    <oc r="Y54">
      <f>Y55+Y56+Y58</f>
    </oc>
    <nc r="Y54">
      <f>Y55+Y56+Y58</f>
    </nc>
  </rcc>
  <rcc rId="6990" sId="20">
    <oc r="Z54">
      <f>Z55+Z56+Z58</f>
    </oc>
    <nc r="Z54">
      <f>Z55+Z56+Z58</f>
    </nc>
  </rcc>
  <rcc rId="6991" sId="20">
    <oc r="AA54">
      <f>AA55+AA56+AA58</f>
    </oc>
    <nc r="AA54">
      <f>AA55+AA56+AA58</f>
    </nc>
  </rcc>
  <rcc rId="6992" sId="20">
    <oc r="AB54">
      <f>AB55+AB56+AB58</f>
    </oc>
    <nc r="AB54">
      <f>AB55+AB56+AB58</f>
    </nc>
  </rcc>
  <rcc rId="6993" sId="20">
    <oc r="AC54">
      <f>AC55+AC56+AC58</f>
    </oc>
    <nc r="AC54">
      <f>AC55+AC56+AC58</f>
    </nc>
  </rcc>
  <rcc rId="6994" sId="20">
    <oc r="AD54">
      <f>AD55+AD56+AD58</f>
    </oc>
    <nc r="AD54">
      <f>AD55+AD56+AD58</f>
    </nc>
  </rcc>
  <rcc rId="6995" sId="20">
    <oc r="AE54">
      <f>AE55+AE56+AE58</f>
    </oc>
    <nc r="AE54">
      <f>AE55+AE56+AE58</f>
    </nc>
  </rcc>
  <rcc rId="6996" sId="20">
    <oc r="B55">
      <f>H55+J55+L55+N55+P55+R55+T55+V55+X55+Z55+AB55+AD55</f>
    </oc>
    <nc r="B55">
      <f>H55+J55+L55+N55+P55+R55+T55+V55+X55+Z55+AB55+AD55</f>
    </nc>
  </rcc>
  <rcc rId="6997" sId="20">
    <oc r="C55">
      <f>H55+J55</f>
    </oc>
    <nc r="C55">
      <f>H55+J55</f>
    </nc>
  </rcc>
  <rcc rId="6998" sId="20">
    <oc r="E55">
      <f>I55+K55+M55+O55+Q55+S55+U55+W55+Y55+AA55+AC55+AE55</f>
    </oc>
    <nc r="E55">
      <f>I55+K55+M55+O55+Q55+S55+U55+W55+Y55+AA55+AC55+AE55</f>
    </nc>
  </rcc>
  <rcc rId="6999" sId="20">
    <oc r="F55">
      <f>IFERROR(E55/B55*100,0)</f>
    </oc>
    <nc r="F55">
      <f>IFERROR(E55/B55*100,0)</f>
    </nc>
  </rcc>
  <rcc rId="7000" sId="20">
    <oc r="G55">
      <f>IFERROR(E55/C55*100,0)</f>
    </oc>
    <nc r="G55">
      <f>IFERROR(E55/C55*100,0)</f>
    </nc>
  </rcc>
  <rcc rId="7001" sId="20">
    <oc r="T55">
      <f>7657676.34/1000</f>
    </oc>
    <nc r="T55">
      <f>7657676.34/1000</f>
    </nc>
  </rcc>
  <rcc rId="7002" sId="20">
    <oc r="AB55">
      <f>72733623.66/1000</f>
    </oc>
    <nc r="AB55">
      <f>72733623.66/1000</f>
    </nc>
  </rcc>
  <rcc rId="7003" sId="20">
    <oc r="B56">
      <f>H56+J56+L56+N56+P56+R56+T56+V56+X56+Z56+AB56+AD56</f>
    </oc>
    <nc r="B56">
      <f>H56+J56+L56+N56+P56+R56+T56+V56+X56+Z56+AB56+AD56</f>
    </nc>
  </rcc>
  <rcc rId="7004" sId="20">
    <oc r="C56">
      <f>H56+J56</f>
    </oc>
    <nc r="C56">
      <f>H56+J56</f>
    </nc>
  </rcc>
  <rcc rId="7005" sId="20">
    <oc r="E56">
      <f>I56+K56+M56+O56+Q56+S56+U56+W56+Y56+AA56+AC56+AE56</f>
    </oc>
    <nc r="E56">
      <f>I56+K56+M56+O56+Q56+S56+U56+W56+Y56+AA56+AC56+AE56</f>
    </nc>
  </rcc>
  <rcc rId="7006" sId="20">
    <oc r="F56">
      <f>IFERROR(E56/B56*100,0)</f>
    </oc>
    <nc r="F56">
      <f>IFERROR(E56/B56*100,0)</f>
    </nc>
  </rcc>
  <rcc rId="7007" sId="20">
    <oc r="G56">
      <f>IFERROR(E56/C56*100,0)</f>
    </oc>
    <nc r="G56">
      <f>IFERROR(E56/C56*100,0)</f>
    </nc>
  </rcc>
  <rcc rId="7008" sId="20">
    <oc r="T56">
      <f>403035.6/1000</f>
    </oc>
    <nc r="T56">
      <f>403035.6/1000</f>
    </nc>
  </rcc>
  <rcc rId="7009" sId="20">
    <oc r="AB56">
      <f>3828064.4/1000</f>
    </oc>
    <nc r="AB56">
      <f>3828064.4/1000</f>
    </nc>
  </rcc>
  <rcc rId="7010" sId="20" odxf="1" dxf="1">
    <oc r="AD56">
      <f>100/1000</f>
    </oc>
    <nc r="AD56">
      <f>100/1000</f>
    </nc>
    <odxf>
      <alignment horizontal="center" vertical="center" readingOrder="0"/>
    </odxf>
    <ndxf>
      <alignment horizontal="general" vertical="top" readingOrder="0"/>
    </ndxf>
  </rcc>
  <rcc rId="7011" sId="20">
    <oc r="B57">
      <f>B56</f>
    </oc>
    <nc r="B57">
      <f>B56</f>
    </nc>
  </rcc>
  <rcc rId="7012" sId="20">
    <oc r="C57">
      <f>H57+J57</f>
    </oc>
    <nc r="C57">
      <f>H57+J57</f>
    </nc>
  </rcc>
  <rcc rId="7013" sId="20">
    <oc r="E57">
      <f>I57+K57+M57+O57+Q57+S57+U57+W57+Y57+AA57+AC57+AE57</f>
    </oc>
    <nc r="E57">
      <f>I57+K57+M57+O57+Q57+S57+U57+W57+Y57+AA57+AC57+AE57</f>
    </nc>
  </rcc>
  <rcc rId="7014" sId="20">
    <oc r="F57">
      <f>IFERROR(E57/B57*100,0)</f>
    </oc>
    <nc r="F57">
      <f>IFERROR(E57/B57*100,0)</f>
    </nc>
  </rcc>
  <rcc rId="7015" sId="20">
    <oc r="G57">
      <f>IFERROR(E57/C57*100,0)</f>
    </oc>
    <nc r="G57">
      <f>IFERROR(E57/C57*100,0)</f>
    </nc>
  </rcc>
  <rcc rId="7016" sId="20">
    <oc r="T57">
      <f>T56</f>
    </oc>
    <nc r="T57">
      <f>T56</f>
    </nc>
  </rcc>
  <rcc rId="7017" sId="20">
    <oc r="AB57">
      <f>AB56</f>
    </oc>
    <nc r="AB57">
      <f>AB56</f>
    </nc>
  </rcc>
  <rcc rId="7018" sId="20" odxf="1" dxf="1">
    <oc r="AD57">
      <f>AD56</f>
    </oc>
    <nc r="AD57">
      <f>AD56</f>
    </nc>
    <odxf>
      <alignment horizontal="center" vertical="center" readingOrder="0"/>
    </odxf>
    <ndxf>
      <alignment horizontal="general" vertical="top" readingOrder="0"/>
    </ndxf>
  </rcc>
  <rcc rId="7019" sId="20">
    <oc r="B42">
      <f>B43+B44+B46</f>
    </oc>
    <nc r="B42">
      <f>B43+B44+B46</f>
    </nc>
  </rcc>
  <rcc rId="7020" sId="20">
    <oc r="C42">
      <f>C43+C44+C46</f>
    </oc>
    <nc r="C42">
      <f>C43+C44+C46</f>
    </nc>
  </rcc>
  <rcc rId="7021" sId="20">
    <oc r="D42">
      <f>D43+D44+D46</f>
    </oc>
    <nc r="D42">
      <f>D43+D44+D46</f>
    </nc>
  </rcc>
  <rcc rId="7022" sId="20">
    <oc r="E42">
      <f>E43+E44+E46</f>
    </oc>
    <nc r="E42">
      <f>E43+E44+E46</f>
    </nc>
  </rcc>
  <rcc rId="7023" sId="20">
    <oc r="F42">
      <f>IFERROR(E42/B42*100,0)</f>
    </oc>
    <nc r="F42">
      <f>IFERROR(E42/B42*100,0)</f>
    </nc>
  </rcc>
  <rcc rId="7024" sId="20">
    <oc r="G42">
      <f>IFERROR(E42/C42*100,0)</f>
    </oc>
    <nc r="G42">
      <f>IFERROR(E42/C42*100,0)</f>
    </nc>
  </rcc>
  <rcc rId="7025" sId="20">
    <oc r="H42">
      <f>H43+H44+H46</f>
    </oc>
    <nc r="H42">
      <f>H43+H44+H46</f>
    </nc>
  </rcc>
  <rcc rId="7026" sId="20">
    <oc r="I42">
      <f>I43+I44+I46</f>
    </oc>
    <nc r="I42">
      <f>I43+I44+I46</f>
    </nc>
  </rcc>
  <rcc rId="7027" sId="20">
    <oc r="J42">
      <f>J43+J44+J46</f>
    </oc>
    <nc r="J42">
      <f>J43+J44+J46</f>
    </nc>
  </rcc>
  <rcc rId="7028" sId="20">
    <oc r="K42">
      <f>K43+K44+K46</f>
    </oc>
    <nc r="K42">
      <f>K43+K44+K46</f>
    </nc>
  </rcc>
  <rcc rId="7029" sId="20">
    <oc r="L42">
      <f>L43+L44+L46</f>
    </oc>
    <nc r="L42">
      <f>L43+L44+L46</f>
    </nc>
  </rcc>
  <rcc rId="7030" sId="20">
    <oc r="M42">
      <f>M43+M44+M46</f>
    </oc>
    <nc r="M42">
      <f>M43+M44+M46</f>
    </nc>
  </rcc>
  <rcc rId="7031" sId="20">
    <oc r="N42">
      <f>N43+N44+N46</f>
    </oc>
    <nc r="N42">
      <f>N43+N44+N46</f>
    </nc>
  </rcc>
  <rcc rId="7032" sId="20">
    <oc r="O42">
      <f>O43+O44+O46</f>
    </oc>
    <nc r="O42">
      <f>O43+O44+O46</f>
    </nc>
  </rcc>
  <rcc rId="7033" sId="20">
    <oc r="P42">
      <f>P43+P44+P46</f>
    </oc>
    <nc r="P42">
      <f>P43+P44+P46</f>
    </nc>
  </rcc>
  <rcc rId="7034" sId="20">
    <oc r="Q42">
      <f>Q43+Q44+Q46</f>
    </oc>
    <nc r="Q42">
      <f>Q43+Q44+Q46</f>
    </nc>
  </rcc>
  <rcc rId="7035" sId="20">
    <oc r="R42">
      <f>R43+R44+R46</f>
    </oc>
    <nc r="R42">
      <f>R43+R44+R46</f>
    </nc>
  </rcc>
  <rcc rId="7036" sId="20">
    <oc r="S42">
      <f>S43+S44+S46</f>
    </oc>
    <nc r="S42">
      <f>S43+S44+S46</f>
    </nc>
  </rcc>
  <rcc rId="7037" sId="20">
    <oc r="T42">
      <f>T43+T44+T46</f>
    </oc>
    <nc r="T42">
      <f>T43+T44+T46</f>
    </nc>
  </rcc>
  <rcc rId="7038" sId="20">
    <oc r="U42">
      <f>U43+U44+U46</f>
    </oc>
    <nc r="U42">
      <f>U43+U44+U46</f>
    </nc>
  </rcc>
  <rcc rId="7039" sId="20">
    <oc r="V42">
      <f>V43+V44+V46</f>
    </oc>
    <nc r="V42">
      <f>V43+V44+V46</f>
    </nc>
  </rcc>
  <rcc rId="7040" sId="20">
    <oc r="W42">
      <f>W43+W44+W46</f>
    </oc>
    <nc r="W42">
      <f>W43+W44+W46</f>
    </nc>
  </rcc>
  <rcc rId="7041" sId="20">
    <oc r="X42">
      <f>X43+X44+X46</f>
    </oc>
    <nc r="X42">
      <f>X43+X44+X46</f>
    </nc>
  </rcc>
  <rcc rId="7042" sId="20">
    <oc r="Y42">
      <f>Y43+Y44+Y46</f>
    </oc>
    <nc r="Y42">
      <f>Y43+Y44+Y46</f>
    </nc>
  </rcc>
  <rcc rId="7043" sId="20">
    <oc r="Z42">
      <f>Z43+Z44+Z46</f>
    </oc>
    <nc r="Z42">
      <f>Z43+Z44+Z46</f>
    </nc>
  </rcc>
  <rcc rId="7044" sId="20">
    <oc r="AA42">
      <f>AA43+AA44+AA46</f>
    </oc>
    <nc r="AA42">
      <f>AA43+AA44+AA46</f>
    </nc>
  </rcc>
  <rcc rId="7045" sId="20">
    <oc r="AB42">
      <f>AB43+AB44+AB46</f>
    </oc>
    <nc r="AB42">
      <f>AB43+AB44+AB46</f>
    </nc>
  </rcc>
  <rcc rId="7046" sId="20">
    <oc r="AC42">
      <f>AC43+AC44+AC46</f>
    </oc>
    <nc r="AC42">
      <f>AC43+AC44+AC46</f>
    </nc>
  </rcc>
  <rcc rId="7047" sId="20">
    <oc r="AD42">
      <f>AD43+AD44+AD46</f>
    </oc>
    <nc r="AD42">
      <f>AD43+AD44+AD46</f>
    </nc>
  </rcc>
  <rcc rId="7048" sId="20">
    <oc r="AE42">
      <f>AE43+AE44+AE46</f>
    </oc>
    <nc r="AE42">
      <f>AE43+AE44+AE46</f>
    </nc>
  </rcc>
  <rcc rId="7049" sId="20">
    <oc r="B43">
      <f>H43+J43+L43+N43+P43+R43+T43+V43+X43+Z43+AB43+AD43</f>
    </oc>
    <nc r="B43">
      <f>H43+J43+L43+N43+P43+R43+T43+V43+X43+Z43+AB43+AD43</f>
    </nc>
  </rcc>
  <rcc rId="7050" sId="20">
    <oc r="C43">
      <f>H43+J43+L43+N43</f>
    </oc>
    <nc r="C43">
      <f>H43+J43+L43+N43+P43</f>
    </nc>
  </rcc>
  <rcc rId="7051" sId="20">
    <oc r="D43">
      <f>I43+K43+M43+O43</f>
    </oc>
    <nc r="D43">
      <f>D49</f>
    </nc>
  </rcc>
  <rcc rId="7052" sId="20">
    <oc r="E43">
      <f>I43+K43+M43+O43+Q43+S43+U43+W43+Y43+AA43+AC43+AE43</f>
    </oc>
    <nc r="E43">
      <f>E49</f>
    </nc>
  </rcc>
  <rcc rId="7053" sId="20">
    <oc r="F43">
      <f>IFERROR(E43/B43*100,0)</f>
    </oc>
    <nc r="F43">
      <f>IFERROR(E43/B43*100,0)</f>
    </nc>
  </rcc>
  <rcc rId="7054" sId="20">
    <oc r="G43">
      <f>IFERROR(E43/C43*100,0)</f>
    </oc>
    <nc r="G43">
      <f>IFERROR(E43/C43*100,0)</f>
    </nc>
  </rcc>
  <rcc rId="7055" sId="20">
    <oc r="H43">
      <f>H49</f>
    </oc>
    <nc r="H43">
      <f>H49</f>
    </nc>
  </rcc>
  <rcc rId="7056" sId="20">
    <oc r="I43">
      <f>I49</f>
    </oc>
    <nc r="I43">
      <f>I49</f>
    </nc>
  </rcc>
  <rcc rId="7057" sId="20">
    <oc r="J43">
      <f>J49</f>
    </oc>
    <nc r="J43">
      <f>J49</f>
    </nc>
  </rcc>
  <rcc rId="7058" sId="20">
    <oc r="K43">
      <f>K49</f>
    </oc>
    <nc r="K43">
      <f>K49</f>
    </nc>
  </rcc>
  <rcc rId="7059" sId="20">
    <oc r="L43">
      <f>L49</f>
    </oc>
    <nc r="L43">
      <f>L49</f>
    </nc>
  </rcc>
  <rcc rId="7060" sId="20">
    <oc r="M43">
      <f>M49</f>
    </oc>
    <nc r="M43">
      <f>M49</f>
    </nc>
  </rcc>
  <rcc rId="7061" sId="20">
    <oc r="N43">
      <f>N49</f>
    </oc>
    <nc r="N43">
      <f>N49</f>
    </nc>
  </rcc>
  <rcc rId="7062" sId="20">
    <oc r="O43">
      <f>O49</f>
    </oc>
    <nc r="O43">
      <f>O49</f>
    </nc>
  </rcc>
  <rcc rId="7063" sId="20">
    <oc r="P43">
      <f>P49</f>
    </oc>
    <nc r="P43">
      <f>P49</f>
    </nc>
  </rcc>
  <rcc rId="7064" sId="20">
    <oc r="Q43">
      <f>Q49</f>
    </oc>
    <nc r="Q43">
      <f>Q49</f>
    </nc>
  </rcc>
  <rcc rId="7065" sId="20">
    <oc r="R43">
      <f>R49</f>
    </oc>
    <nc r="R43">
      <f>R49+R53+R61</f>
    </nc>
  </rcc>
  <rcc rId="7066" sId="20">
    <oc r="S43">
      <f>S49</f>
    </oc>
    <nc r="S43">
      <f>S49+S53+S61</f>
    </nc>
  </rcc>
  <rcc rId="7067" sId="20">
    <oc r="T43">
      <f>T49</f>
    </oc>
    <nc r="T43">
      <f>T49+T55+T61</f>
    </nc>
  </rcc>
  <rcc rId="7068" sId="20">
    <oc r="U43">
      <f>U49</f>
    </oc>
    <nc r="U43">
      <f>U49+U55+U61</f>
    </nc>
  </rcc>
  <rcc rId="7069" sId="20">
    <oc r="V43">
      <f>V49</f>
    </oc>
    <nc r="V43">
      <f>V49+V55+V61</f>
    </nc>
  </rcc>
  <rcc rId="7070" sId="20">
    <oc r="W43">
      <f>W49</f>
    </oc>
    <nc r="W43">
      <f>W49+W55+W61</f>
    </nc>
  </rcc>
  <rcc rId="7071" sId="20">
    <oc r="X43">
      <f>X49</f>
    </oc>
    <nc r="X43">
      <f>X49+X55+X61</f>
    </nc>
  </rcc>
  <rcc rId="7072" sId="20">
    <oc r="Y43">
      <f>Y49</f>
    </oc>
    <nc r="Y43">
      <f>Y49+Y55+Y61</f>
    </nc>
  </rcc>
  <rcc rId="7073" sId="20">
    <oc r="Z43">
      <f>Z49</f>
    </oc>
    <nc r="Z43">
      <f>Z49+Z55+Z61</f>
    </nc>
  </rcc>
  <rcc rId="7074" sId="20">
    <oc r="AA43">
      <f>AA49</f>
    </oc>
    <nc r="AA43">
      <f>AA49+AA55+AA61</f>
    </nc>
  </rcc>
  <rcc rId="7075" sId="20">
    <oc r="AB43">
      <f>AB49</f>
    </oc>
    <nc r="AB43">
      <f>AB49+AB55+AB61</f>
    </nc>
  </rcc>
  <rcc rId="7076" sId="20">
    <oc r="AC43">
      <f>AC49</f>
    </oc>
    <nc r="AC43">
      <f>AC49+AC55+AC61</f>
    </nc>
  </rcc>
  <rcc rId="7077" sId="20">
    <oc r="AD43">
      <f>AD49</f>
    </oc>
    <nc r="AD43">
      <f>AD49+AD55+AD61</f>
    </nc>
  </rcc>
  <rcc rId="7078" sId="20">
    <oc r="AE43">
      <f>AE49</f>
    </oc>
    <nc r="AE43">
      <f>AE49</f>
    </nc>
  </rcc>
  <rcc rId="7079" sId="20">
    <oc r="B44">
      <f>H44+J44+L44+N44+P44+R44+T44+V44+X44+Z44+AB44+AD44</f>
    </oc>
    <nc r="B44">
      <f>H44+J44+L44+N44+P44+R44+T44+V44+X44+Z44+AB44+AD44</f>
    </nc>
  </rcc>
  <rcc rId="7080" sId="20">
    <oc r="C44">
      <f>H44+J44+L44+N44</f>
    </oc>
    <nc r="C44">
      <f>H44+J44+L44+N44+P44</f>
    </nc>
  </rcc>
  <rcc rId="7081" sId="20" numFmtId="4">
    <oc r="D44">
      <f>I44+K44+M44+O44</f>
    </oc>
    <nc r="D44">
      <v>0</v>
    </nc>
  </rcc>
  <rcc rId="7082" sId="20">
    <oc r="E44">
      <f>I44+K44+M44+O44+Q44+S44+U44+W44+Y44+AA44+AC44+AE44</f>
    </oc>
    <nc r="E44">
      <f>E50</f>
    </nc>
  </rcc>
  <rcc rId="7083" sId="20">
    <oc r="F44">
      <f>IFERROR(E44/B44*100,0)</f>
    </oc>
    <nc r="F44">
      <f>IFERROR(E44/B44*100,0)</f>
    </nc>
  </rcc>
  <rcc rId="7084" sId="20">
    <oc r="G44">
      <f>IFERROR(E44/C44*100,0)</f>
    </oc>
    <nc r="G44">
      <f>IFERROR(E44/C44*100,0)</f>
    </nc>
  </rcc>
  <rcc rId="7085" sId="20">
    <oc r="H44">
      <f>H50</f>
    </oc>
    <nc r="H44">
      <f>H50</f>
    </nc>
  </rcc>
  <rcc rId="7086" sId="20">
    <oc r="I44">
      <f>I50</f>
    </oc>
    <nc r="I44">
      <f>I50</f>
    </nc>
  </rcc>
  <rcc rId="7087" sId="20">
    <oc r="J44">
      <f>J50</f>
    </oc>
    <nc r="J44">
      <f>J50</f>
    </nc>
  </rcc>
  <rcc rId="7088" sId="20">
    <oc r="K44">
      <f>K50</f>
    </oc>
    <nc r="K44">
      <f>K50</f>
    </nc>
  </rcc>
  <rcc rId="7089" sId="20">
    <oc r="L44">
      <f>L50</f>
    </oc>
    <nc r="L44">
      <f>L50</f>
    </nc>
  </rcc>
  <rcc rId="7090" sId="20">
    <oc r="M44">
      <f>M50</f>
    </oc>
    <nc r="M44">
      <f>M50</f>
    </nc>
  </rcc>
  <rcc rId="7091" sId="20">
    <oc r="N44">
      <f>N50</f>
    </oc>
    <nc r="N44">
      <f>N50</f>
    </nc>
  </rcc>
  <rcc rId="7092" sId="20">
    <oc r="O44">
      <f>O50</f>
    </oc>
    <nc r="O44">
      <f>O50</f>
    </nc>
  </rcc>
  <rcc rId="7093" sId="20">
    <oc r="P44">
      <f>P50</f>
    </oc>
    <nc r="P44">
      <f>P50</f>
    </nc>
  </rcc>
  <rcc rId="7094" sId="20">
    <oc r="Q44">
      <f>Q50</f>
    </oc>
    <nc r="Q44">
      <f>Q50</f>
    </nc>
  </rcc>
  <rcc rId="7095" sId="20">
    <oc r="R44">
      <f>R50</f>
    </oc>
    <nc r="R44">
      <f>R50+R56+R62</f>
    </nc>
  </rcc>
  <rcc rId="7096" sId="20">
    <oc r="S44">
      <f>S50</f>
    </oc>
    <nc r="S44">
      <f>S50+S56+S62</f>
    </nc>
  </rcc>
  <rcc rId="7097" sId="20">
    <oc r="T44">
      <f>T50</f>
    </oc>
    <nc r="T44">
      <f>T50+T56+T62</f>
    </nc>
  </rcc>
  <rcc rId="7098" sId="20">
    <oc r="U44">
      <f>U50</f>
    </oc>
    <nc r="U44">
      <f>U50+U56+U62</f>
    </nc>
  </rcc>
  <rcc rId="7099" sId="20">
    <oc r="V44">
      <f>V50</f>
    </oc>
    <nc r="V44">
      <f>V50+V56+V62</f>
    </nc>
  </rcc>
  <rcc rId="7100" sId="20">
    <oc r="W44">
      <f>W50</f>
    </oc>
    <nc r="W44">
      <f>W50+W56+W62</f>
    </nc>
  </rcc>
  <rcc rId="7101" sId="20">
    <oc r="X44">
      <f>X50</f>
    </oc>
    <nc r="X44">
      <f>X50+X56+X62</f>
    </nc>
  </rcc>
  <rcc rId="7102" sId="20">
    <oc r="Y44">
      <f>Y50</f>
    </oc>
    <nc r="Y44">
      <f>Y50+Y56+Y62</f>
    </nc>
  </rcc>
  <rcc rId="7103" sId="20">
    <oc r="Z44">
      <f>Z50</f>
    </oc>
    <nc r="Z44">
      <f>Z50+Z56+Z62</f>
    </nc>
  </rcc>
  <rcc rId="7104" sId="20">
    <oc r="AA44">
      <f>AA50</f>
    </oc>
    <nc r="AA44">
      <f>AA50+AA56+AA62</f>
    </nc>
  </rcc>
  <rcc rId="7105" sId="20">
    <oc r="AB44">
      <f>AB50</f>
    </oc>
    <nc r="AB44">
      <f>AB50+AB56+AB62</f>
    </nc>
  </rcc>
  <rcc rId="7106" sId="20">
    <oc r="AC44">
      <f>AC50</f>
    </oc>
    <nc r="AC44">
      <f>AC50+AC56+AC62</f>
    </nc>
  </rcc>
  <rcc rId="7107" sId="20">
    <oc r="AD44">
      <f>AD50</f>
    </oc>
    <nc r="AD44">
      <f>AD50+AD56+AD62</f>
    </nc>
  </rcc>
  <rcc rId="7108" sId="20">
    <oc r="AE44">
      <f>AE50</f>
    </oc>
    <nc r="AE44">
      <f>AE50</f>
    </nc>
  </rcc>
  <rcc rId="7109" sId="20">
    <oc r="B45">
      <f>H45+J45+L45+N45+P45+R45+T45+V45+X45+Z45+AB45+AD45</f>
    </oc>
    <nc r="B45">
      <f>H45+J45+L45+N45+P45+R45+T45+V45+X45+Z45+AB45+AD45</f>
    </nc>
  </rcc>
  <rcc rId="7110" sId="20">
    <oc r="C45">
      <f>H45+J45+L45+N45</f>
    </oc>
    <nc r="C45">
      <f>H45+J45+L45+N45+P45</f>
    </nc>
  </rcc>
  <rcc rId="7111" sId="20">
    <oc r="D45">
      <f>I45+K45+M45+O45</f>
    </oc>
    <nc r="D45">
      <f>D51</f>
    </nc>
  </rcc>
  <rcc rId="7112" sId="20">
    <oc r="E45">
      <f>I45+K45+M45+O45+Q45+S45+U45+W45+Y45+AA45+AC45+AE45</f>
    </oc>
    <nc r="E45">
      <f>E51</f>
    </nc>
  </rcc>
  <rcc rId="7113" sId="20">
    <oc r="F45">
      <f>IFERROR(E45/B45*100,0)</f>
    </oc>
    <nc r="F45">
      <f>IFERROR(E45/B45*100,0)</f>
    </nc>
  </rcc>
  <rcc rId="7114" sId="20">
    <oc r="G45">
      <f>IFERROR(E45/C45*100,0)</f>
    </oc>
    <nc r="G45">
      <f>IFERROR(E45/C45*100,0)</f>
    </nc>
  </rcc>
  <rcc rId="7115" sId="20">
    <oc r="H45">
      <f>H51</f>
    </oc>
    <nc r="H45">
      <f>H51</f>
    </nc>
  </rcc>
  <rcc rId="7116" sId="20">
    <oc r="I45">
      <f>I51</f>
    </oc>
    <nc r="I45">
      <f>I51</f>
    </nc>
  </rcc>
  <rcc rId="7117" sId="20">
    <oc r="J45">
      <f>J51</f>
    </oc>
    <nc r="J45">
      <f>J51</f>
    </nc>
  </rcc>
  <rcc rId="7118" sId="20">
    <oc r="K45">
      <f>K51</f>
    </oc>
    <nc r="K45">
      <f>K51</f>
    </nc>
  </rcc>
  <rcc rId="7119" sId="20">
    <oc r="L45">
      <f>L51</f>
    </oc>
    <nc r="L45">
      <f>L51</f>
    </nc>
  </rcc>
  <rcc rId="7120" sId="20">
    <oc r="M45">
      <f>M51</f>
    </oc>
    <nc r="M45">
      <f>M51</f>
    </nc>
  </rcc>
  <rcc rId="7121" sId="20">
    <oc r="N45">
      <f>N51</f>
    </oc>
    <nc r="N45">
      <f>N51</f>
    </nc>
  </rcc>
  <rcc rId="7122" sId="20">
    <oc r="O45">
      <f>O51</f>
    </oc>
    <nc r="O45">
      <f>O51</f>
    </nc>
  </rcc>
  <rcc rId="7123" sId="20">
    <oc r="P45">
      <f>P51</f>
    </oc>
    <nc r="P45">
      <f>P51</f>
    </nc>
  </rcc>
  <rcc rId="7124" sId="20">
    <oc r="Q45">
      <f>Q51</f>
    </oc>
    <nc r="Q45">
      <f>Q51</f>
    </nc>
  </rcc>
  <rcc rId="7125" sId="20">
    <oc r="R45">
      <f>R51</f>
    </oc>
    <nc r="R45">
      <f>R51+R57+R63</f>
    </nc>
  </rcc>
  <rcc rId="7126" sId="20">
    <oc r="S45">
      <f>S51</f>
    </oc>
    <nc r="S45">
      <f>S51+S57+S63</f>
    </nc>
  </rcc>
  <rcc rId="7127" sId="20">
    <oc r="T45">
      <f>T51</f>
    </oc>
    <nc r="T45">
      <f>T51+T57+T63</f>
    </nc>
  </rcc>
  <rcc rId="7128" sId="20">
    <oc r="U45">
      <f>U51</f>
    </oc>
    <nc r="U45">
      <f>U51+U57+U63</f>
    </nc>
  </rcc>
  <rcc rId="7129" sId="20">
    <oc r="V45">
      <f>V51</f>
    </oc>
    <nc r="V45">
      <f>V51+V57+V63</f>
    </nc>
  </rcc>
  <rcc rId="7130" sId="20">
    <oc r="W45">
      <f>W51</f>
    </oc>
    <nc r="W45">
      <f>W51+W57+W63</f>
    </nc>
  </rcc>
  <rcc rId="7131" sId="20">
    <oc r="X45">
      <f>X51</f>
    </oc>
    <nc r="X45">
      <f>X51+X57+X63</f>
    </nc>
  </rcc>
  <rcc rId="7132" sId="20">
    <oc r="Y45">
      <f>Y51</f>
    </oc>
    <nc r="Y45">
      <f>Y51+Y57+Y63</f>
    </nc>
  </rcc>
  <rcc rId="7133" sId="20">
    <oc r="Z45">
      <f>Z51</f>
    </oc>
    <nc r="Z45">
      <f>Z51+Z57+Z63</f>
    </nc>
  </rcc>
  <rcc rId="7134" sId="20">
    <oc r="AA45">
      <f>AA51</f>
    </oc>
    <nc r="AA45">
      <f>AA51+AA57+AA63</f>
    </nc>
  </rcc>
  <rcc rId="7135" sId="20">
    <oc r="AB45">
      <f>AB51</f>
    </oc>
    <nc r="AB45">
      <f>AB51+AB57+AB63</f>
    </nc>
  </rcc>
  <rcc rId="7136" sId="20">
    <oc r="AC45">
      <f>AC51</f>
    </oc>
    <nc r="AC45">
      <f>AC51+AC57+AC63</f>
    </nc>
  </rcc>
  <rcc rId="7137" sId="20">
    <oc r="AD45">
      <f>AD51</f>
    </oc>
    <nc r="AD45">
      <f>AD51+AD57+AD63</f>
    </nc>
  </rcc>
  <rcc rId="7138" sId="20">
    <oc r="AE45">
      <f>AE51</f>
    </oc>
    <nc r="AE45">
      <f>AE51</f>
    </nc>
  </rcc>
  <rcc rId="7139" sId="20">
    <oc r="B46">
      <f>H46+J46+L46+N46+P46+R46+T46+V46+X46+Z46+AB46+AD46</f>
    </oc>
    <nc r="B46">
      <f>H46+J46+L46+N46+P46+R46+T46+V46+X46+Z46+AB46+AD46</f>
    </nc>
  </rcc>
  <rcc rId="7140" sId="20">
    <oc r="C46">
      <f>H46+J46+L46+N46</f>
    </oc>
    <nc r="C46">
      <f>H46+J46+L46+N46+P46</f>
    </nc>
  </rcc>
  <rcc rId="7141" sId="20">
    <oc r="D46">
      <f>I46+K46+M46+O46</f>
    </oc>
    <nc r="D46">
      <f>D52</f>
    </nc>
  </rcc>
  <rcc rId="7142" sId="20">
    <oc r="E46">
      <f>I46+K46+M46+O46+Q46+S46+U46+W46+Y46+AA46+AC46+AE46</f>
    </oc>
    <nc r="E46">
      <f>E52</f>
    </nc>
  </rcc>
  <rcc rId="7143" sId="20">
    <oc r="F46">
      <f>IFERROR(E46/B46*100,0)</f>
    </oc>
    <nc r="F46">
      <f>IFERROR(E46/B46*100,0)</f>
    </nc>
  </rcc>
  <rcc rId="7144" sId="20">
    <oc r="G46">
      <f>IFERROR(E46/C46*100,0)</f>
    </oc>
    <nc r="G46">
      <f>IFERROR(E46/C46*100,0)</f>
    </nc>
  </rcc>
  <rcc rId="7145" sId="20">
    <oc r="H46">
      <f>H52</f>
    </oc>
    <nc r="H46">
      <f>H52</f>
    </nc>
  </rcc>
  <rcc rId="7146" sId="20">
    <oc r="I46">
      <f>I52</f>
    </oc>
    <nc r="I46">
      <f>I52</f>
    </nc>
  </rcc>
  <rcc rId="7147" sId="20">
    <oc r="J46">
      <f>J52</f>
    </oc>
    <nc r="J46">
      <f>J52</f>
    </nc>
  </rcc>
  <rcc rId="7148" sId="20">
    <oc r="K46">
      <f>K52</f>
    </oc>
    <nc r="K46">
      <f>K52</f>
    </nc>
  </rcc>
  <rcc rId="7149" sId="20">
    <oc r="L46">
      <f>L52</f>
    </oc>
    <nc r="L46">
      <f>L52</f>
    </nc>
  </rcc>
  <rcc rId="7150" sId="20">
    <oc r="M46">
      <f>M52</f>
    </oc>
    <nc r="M46">
      <f>M52</f>
    </nc>
  </rcc>
  <rcc rId="7151" sId="20">
    <oc r="N46">
      <f>N52</f>
    </oc>
    <nc r="N46">
      <f>N52</f>
    </nc>
  </rcc>
  <rcc rId="7152" sId="20">
    <oc r="O46">
      <f>O52</f>
    </oc>
    <nc r="O46">
      <f>O52</f>
    </nc>
  </rcc>
  <rcc rId="7153" sId="20">
    <oc r="P46">
      <f>P52</f>
    </oc>
    <nc r="P46">
      <f>P52</f>
    </nc>
  </rcc>
  <rcc rId="7154" sId="20">
    <oc r="Q46">
      <f>Q52</f>
    </oc>
    <nc r="Q46">
      <f>Q52</f>
    </nc>
  </rcc>
  <rcc rId="7155" sId="20">
    <oc r="R46">
      <f>R52</f>
    </oc>
    <nc r="R46">
      <f>R52+R58+R64</f>
    </nc>
  </rcc>
  <rcc rId="7156" sId="20">
    <oc r="S46">
      <f>S52</f>
    </oc>
    <nc r="S46">
      <f>S52+S58+S64</f>
    </nc>
  </rcc>
  <rcc rId="7157" sId="20">
    <oc r="T46">
      <f>T52</f>
    </oc>
    <nc r="T46">
      <f>T52+T58+T64</f>
    </nc>
  </rcc>
  <rcc rId="7158" sId="20">
    <oc r="U46">
      <f>U52</f>
    </oc>
    <nc r="U46">
      <f>U52+U58+U64</f>
    </nc>
  </rcc>
  <rcc rId="7159" sId="20">
    <oc r="V46">
      <f>V52</f>
    </oc>
    <nc r="V46">
      <f>V52+V58+V64</f>
    </nc>
  </rcc>
  <rcc rId="7160" sId="20">
    <oc r="W46">
      <f>W52</f>
    </oc>
    <nc r="W46">
      <f>W52+W58+W64</f>
    </nc>
  </rcc>
  <rcc rId="7161" sId="20">
    <oc r="X46">
      <f>X52</f>
    </oc>
    <nc r="X46">
      <f>X52+X58+X64</f>
    </nc>
  </rcc>
  <rcc rId="7162" sId="20">
    <oc r="Y46">
      <f>Y52</f>
    </oc>
    <nc r="Y46">
      <f>Y52+Y58+Y64</f>
    </nc>
  </rcc>
  <rcc rId="7163" sId="20">
    <oc r="Z46">
      <f>Z52</f>
    </oc>
    <nc r="Z46">
      <f>Z52+Z58+Z64</f>
    </nc>
  </rcc>
  <rcc rId="7164" sId="20">
    <oc r="AA46">
      <f>AA52</f>
    </oc>
    <nc r="AA46">
      <f>AA52+AA58+AA64</f>
    </nc>
  </rcc>
  <rcc rId="7165" sId="20">
    <oc r="AB46">
      <f>AB52</f>
    </oc>
    <nc r="AB46">
      <f>AB52+AB58+AB64</f>
    </nc>
  </rcc>
  <rcc rId="7166" sId="20">
    <oc r="AC46">
      <f>AC52</f>
    </oc>
    <nc r="AC46">
      <f>AC52+AC58+AC64</f>
    </nc>
  </rcc>
  <rcc rId="7167" sId="20">
    <oc r="AD46">
      <f>AD52</f>
    </oc>
    <nc r="AD46">
      <f>AD52+AD58+AD64</f>
    </nc>
  </rcc>
  <rcc rId="7168" sId="20">
    <oc r="AE46">
      <f>AE52</f>
    </oc>
    <nc r="AE46">
      <f>AE52</f>
    </nc>
  </rcc>
  <rcc rId="7169" sId="20">
    <oc r="B66">
      <f>B67+B68+B70</f>
    </oc>
    <nc r="B66">
      <f>B67+B68+B70</f>
    </nc>
  </rcc>
  <rcc rId="7170" sId="20">
    <oc r="C66">
      <f>C67+C68+C70</f>
    </oc>
    <nc r="C66">
      <f>C67+C68+C70</f>
    </nc>
  </rcc>
  <rcc rId="7171" sId="20">
    <oc r="D66">
      <f>D67+D68+D70</f>
    </oc>
    <nc r="D66">
      <f>D67+D68+D70</f>
    </nc>
  </rcc>
  <rcc rId="7172" sId="20">
    <oc r="E66">
      <f>E67+E68+E70</f>
    </oc>
    <nc r="E66">
      <f>E67+E68+E70</f>
    </nc>
  </rcc>
  <rcc rId="7173" sId="20">
    <oc r="F66">
      <f>IFERROR(E66/B66*100,0)</f>
    </oc>
    <nc r="F66">
      <f>IFERROR(E66/B66*100,0)</f>
    </nc>
  </rcc>
  <rcc rId="7174" sId="20">
    <oc r="G66">
      <f>IFERROR(E66/C66*100,0)</f>
    </oc>
    <nc r="G66">
      <f>IFERROR(E66/C66*100,0)</f>
    </nc>
  </rcc>
  <rcc rId="7175" sId="20">
    <oc r="H66">
      <f>H67+H68+H70</f>
    </oc>
    <nc r="H66">
      <f>H67+H68+H70</f>
    </nc>
  </rcc>
  <rcc rId="7176" sId="20">
    <oc r="I66">
      <f>I67+I68+I70</f>
    </oc>
    <nc r="I66">
      <f>I67+I68+I70</f>
    </nc>
  </rcc>
  <rcc rId="7177" sId="20">
    <oc r="J66">
      <f>J67+J68+J70</f>
    </oc>
    <nc r="J66">
      <f>J67+J68+J70</f>
    </nc>
  </rcc>
  <rcc rId="7178" sId="20">
    <oc r="K66">
      <f>K67+K68+K70</f>
    </oc>
    <nc r="K66">
      <f>K67+K68+K70</f>
    </nc>
  </rcc>
  <rcc rId="7179" sId="20">
    <oc r="L66">
      <f>L67+L68+L70</f>
    </oc>
    <nc r="L66">
      <f>L67+L68+L70</f>
    </nc>
  </rcc>
  <rcc rId="7180" sId="20">
    <oc r="M66">
      <f>M67+M68+M70</f>
    </oc>
    <nc r="M66">
      <f>M67+M68+M70</f>
    </nc>
  </rcc>
  <rcc rId="7181" sId="20">
    <oc r="N66">
      <f>N67+N68+N70</f>
    </oc>
    <nc r="N66">
      <f>N67+N68+N70</f>
    </nc>
  </rcc>
  <rcc rId="7182" sId="20">
    <oc r="O66">
      <f>O67+O68+O70</f>
    </oc>
    <nc r="O66">
      <f>O67+O68+O70</f>
    </nc>
  </rcc>
  <rcc rId="7183" sId="20">
    <oc r="P66">
      <f>P67+P68+P70</f>
    </oc>
    <nc r="P66">
      <f>P67+P68+P70</f>
    </nc>
  </rcc>
  <rcc rId="7184" sId="20">
    <oc r="Q66">
      <f>Q67+Q68+Q70</f>
    </oc>
    <nc r="Q66">
      <f>Q67+Q68+Q70</f>
    </nc>
  </rcc>
  <rcc rId="7185" sId="20">
    <oc r="R66">
      <f>R67+R68+R70</f>
    </oc>
    <nc r="R66">
      <f>R67+R68+R70</f>
    </nc>
  </rcc>
  <rcc rId="7186" sId="20">
    <oc r="S66">
      <f>S67+S68+S70</f>
    </oc>
    <nc r="S66">
      <f>S67+S68+S70</f>
    </nc>
  </rcc>
  <rcc rId="7187" sId="20">
    <oc r="T66">
      <f>T67+T68+T70</f>
    </oc>
    <nc r="T66">
      <f>T67+T68+T70</f>
    </nc>
  </rcc>
  <rcc rId="7188" sId="20">
    <oc r="U66">
      <f>U67+U68+U70</f>
    </oc>
    <nc r="U66">
      <f>U67+U68+U70</f>
    </nc>
  </rcc>
  <rcc rId="7189" sId="20">
    <oc r="V66">
      <f>V67+V68+V70</f>
    </oc>
    <nc r="V66">
      <f>V67+V68+V70</f>
    </nc>
  </rcc>
  <rcc rId="7190" sId="20">
    <oc r="W66">
      <f>W67+W68+W70</f>
    </oc>
    <nc r="W66">
      <f>W67+W68+W70</f>
    </nc>
  </rcc>
  <rcc rId="7191" sId="20">
    <oc r="X66">
      <f>X67+X68+X70</f>
    </oc>
    <nc r="X66">
      <f>X67+X68+X70</f>
    </nc>
  </rcc>
  <rcc rId="7192" sId="20">
    <oc r="Y66">
      <f>Y67+Y68+Y70</f>
    </oc>
    <nc r="Y66">
      <f>Y67+Y68+Y70</f>
    </nc>
  </rcc>
  <rcc rId="7193" sId="20">
    <oc r="Z66">
      <f>Z67+Z68+Z70</f>
    </oc>
    <nc r="Z66">
      <f>Z67+Z68+Z70</f>
    </nc>
  </rcc>
  <rcc rId="7194" sId="20">
    <oc r="AA66">
      <f>AA67+AA68+AA70</f>
    </oc>
    <nc r="AA66">
      <f>AA67+AA68+AA70</f>
    </nc>
  </rcc>
  <rcc rId="7195" sId="20">
    <oc r="AB66">
      <f>AB67+AB68+AB70</f>
    </oc>
    <nc r="AB66">
      <f>AB67+AB68+AB70</f>
    </nc>
  </rcc>
  <rcc rId="7196" sId="20">
    <oc r="AC66">
      <f>AC67+AC68+AC70</f>
    </oc>
    <nc r="AC66">
      <f>AC67+AC68+AC70</f>
    </nc>
  </rcc>
  <rcc rId="7197" sId="20">
    <oc r="AD66">
      <f>AD67+AD68+AD70</f>
    </oc>
    <nc r="AD66">
      <f>AD67+AD68+AD70</f>
    </nc>
  </rcc>
  <rcc rId="7198" sId="20">
    <oc r="AE66">
      <f>AE67+AE68+AE70</f>
    </oc>
    <nc r="AE66">
      <f>AE67+AE68+AE70</f>
    </nc>
  </rcc>
  <rcc rId="7199" sId="20">
    <oc r="B67">
      <f>B43+B55</f>
    </oc>
    <nc r="B67">
      <f>B43</f>
    </nc>
  </rcc>
  <rcc rId="7200" sId="20">
    <oc r="C67">
      <f>C43+C55</f>
    </oc>
    <nc r="C67">
      <f>C43+C55</f>
    </nc>
  </rcc>
  <rcc rId="7201" sId="20">
    <oc r="D67">
      <f>D43+D55</f>
    </oc>
    <nc r="D67">
      <f>D43+D55</f>
    </nc>
  </rcc>
  <rcc rId="7202" sId="20">
    <oc r="E67">
      <f>E43+E55</f>
    </oc>
    <nc r="E67">
      <f>E43+E55</f>
    </nc>
  </rcc>
  <rcc rId="7203" sId="20">
    <oc r="F67">
      <f>F43+F55</f>
    </oc>
    <nc r="F67">
      <f>F43+F55</f>
    </nc>
  </rcc>
  <rcc rId="7204" sId="20">
    <oc r="G67">
      <f>G43+G55</f>
    </oc>
    <nc r="G67">
      <f>G43+G55</f>
    </nc>
  </rcc>
  <rcc rId="7205" sId="20">
    <oc r="H67">
      <f>H43+H55</f>
    </oc>
    <nc r="H67">
      <f>H43+H55</f>
    </nc>
  </rcc>
  <rcc rId="7206" sId="20">
    <oc r="I67">
      <f>I43+I55</f>
    </oc>
    <nc r="I67">
      <f>I43+I55</f>
    </nc>
  </rcc>
  <rcc rId="7207" sId="20">
    <oc r="J67">
      <f>J43+J55</f>
    </oc>
    <nc r="J67">
      <f>J43+J55</f>
    </nc>
  </rcc>
  <rcc rId="7208" sId="20">
    <oc r="K67">
      <f>K43+K55</f>
    </oc>
    <nc r="K67">
      <f>K43+K55</f>
    </nc>
  </rcc>
  <rcc rId="7209" sId="20">
    <oc r="L67">
      <f>L43+L55</f>
    </oc>
    <nc r="L67">
      <f>L43+L55</f>
    </nc>
  </rcc>
  <rcc rId="7210" sId="20">
    <oc r="M67">
      <f>M43+M55</f>
    </oc>
    <nc r="M67">
      <f>M43+M55</f>
    </nc>
  </rcc>
  <rcc rId="7211" sId="20">
    <oc r="N67">
      <f>N43+N55</f>
    </oc>
    <nc r="N67">
      <f>N43+N55</f>
    </nc>
  </rcc>
  <rcc rId="7212" sId="20">
    <oc r="O67">
      <f>O43+O55</f>
    </oc>
    <nc r="O67">
      <f>O43+O55</f>
    </nc>
  </rcc>
  <rcc rId="7213" sId="20">
    <oc r="P67">
      <f>P43+P55</f>
    </oc>
    <nc r="P67">
      <f>P43+P55</f>
    </nc>
  </rcc>
  <rcc rId="7214" sId="20">
    <oc r="Q67">
      <f>Q43+Q55</f>
    </oc>
    <nc r="Q67">
      <f>Q43+Q55</f>
    </nc>
  </rcc>
  <rcc rId="7215" sId="20">
    <oc r="R67">
      <f>R43+R55</f>
    </oc>
    <nc r="R67">
      <f>R43+R55</f>
    </nc>
  </rcc>
  <rcc rId="7216" sId="20">
    <oc r="S67">
      <f>S43+S55</f>
    </oc>
    <nc r="S67">
      <f>S43+S55</f>
    </nc>
  </rcc>
  <rcc rId="7217" sId="20">
    <oc r="T67">
      <f>T43+T55</f>
    </oc>
    <nc r="T67">
      <f>T43</f>
    </nc>
  </rcc>
  <rcc rId="7218" sId="20">
    <oc r="U67">
      <f>U43+U55</f>
    </oc>
    <nc r="U67">
      <f>U43+U55</f>
    </nc>
  </rcc>
  <rcc rId="7219" sId="20">
    <oc r="V67">
      <f>V43+V55</f>
    </oc>
    <nc r="V67">
      <f>V43+V55</f>
    </nc>
  </rcc>
  <rcc rId="7220" sId="20">
    <oc r="W67">
      <f>W43+W55</f>
    </oc>
    <nc r="W67">
      <f>W43+W55</f>
    </nc>
  </rcc>
  <rcc rId="7221" sId="20">
    <oc r="X67">
      <f>X43+X55</f>
    </oc>
    <nc r="X67">
      <f>X43+X55</f>
    </nc>
  </rcc>
  <rcc rId="7222" sId="20">
    <oc r="Y67">
      <f>Y43+Y55</f>
    </oc>
    <nc r="Y67">
      <f>Y43+Y55</f>
    </nc>
  </rcc>
  <rcc rId="7223" sId="20">
    <oc r="Z67">
      <f>Z43+Z55</f>
    </oc>
    <nc r="Z67">
      <f>Z43+Z55</f>
    </nc>
  </rcc>
  <rcc rId="7224" sId="20">
    <oc r="AA67">
      <f>AA43+AA55</f>
    </oc>
    <nc r="AA67">
      <f>AA43+AA55</f>
    </nc>
  </rcc>
  <rcc rId="7225" sId="20">
    <oc r="AB67">
      <f>AB43+AB55</f>
    </oc>
    <nc r="AB67">
      <f>AB43</f>
    </nc>
  </rcc>
  <rcc rId="7226" sId="20">
    <oc r="AC67">
      <f>AC43+AC55</f>
    </oc>
    <nc r="AC67">
      <f>AC43+AC55</f>
    </nc>
  </rcc>
  <rcc rId="7227" sId="20">
    <oc r="AD67">
      <f>AD43+AD55</f>
    </oc>
    <nc r="AD67">
      <f>AD43+AD55</f>
    </nc>
  </rcc>
  <rcc rId="7228" sId="20">
    <oc r="AE67">
      <f>AE43</f>
    </oc>
    <nc r="AE67">
      <f>AE43</f>
    </nc>
  </rcc>
  <rcc rId="7229" sId="20">
    <oc r="B68">
      <f>B44+B56</f>
    </oc>
    <nc r="B68">
      <f>B44</f>
    </nc>
  </rcc>
  <rcc rId="7230" sId="20">
    <oc r="C68">
      <f>C44+C56</f>
    </oc>
    <nc r="C68">
      <f>C44+C56</f>
    </nc>
  </rcc>
  <rcc rId="7231" sId="20">
    <oc r="D68">
      <f>D44+D56</f>
    </oc>
    <nc r="D68">
      <f>D44+D56</f>
    </nc>
  </rcc>
  <rcc rId="7232" sId="20">
    <oc r="E68">
      <f>E44+E56</f>
    </oc>
    <nc r="E68">
      <f>E44+E56</f>
    </nc>
  </rcc>
  <rcc rId="7233" sId="20">
    <oc r="F68">
      <f>F44+F56</f>
    </oc>
    <nc r="F68">
      <f>F44+F56</f>
    </nc>
  </rcc>
  <rcc rId="7234" sId="20">
    <oc r="G68">
      <f>G44+G56</f>
    </oc>
    <nc r="G68">
      <f>G44+G56</f>
    </nc>
  </rcc>
  <rcc rId="7235" sId="20">
    <oc r="H68">
      <f>H44+H56</f>
    </oc>
    <nc r="H68">
      <f>H44+H56</f>
    </nc>
  </rcc>
  <rcc rId="7236" sId="20">
    <oc r="I68">
      <f>I44+I56</f>
    </oc>
    <nc r="I68">
      <f>I44+I56</f>
    </nc>
  </rcc>
  <rcc rId="7237" sId="20">
    <oc r="J68">
      <f>J44+J56</f>
    </oc>
    <nc r="J68">
      <f>J44+J56</f>
    </nc>
  </rcc>
  <rcc rId="7238" sId="20">
    <oc r="K68">
      <f>K44+K56</f>
    </oc>
    <nc r="K68">
      <f>K44+K56</f>
    </nc>
  </rcc>
  <rcc rId="7239" sId="20">
    <oc r="L68">
      <f>L44+L56</f>
    </oc>
    <nc r="L68">
      <f>L44+L56</f>
    </nc>
  </rcc>
  <rcc rId="7240" sId="20">
    <oc r="M68">
      <f>M44+M56</f>
    </oc>
    <nc r="M68">
      <f>M44+M56</f>
    </nc>
  </rcc>
  <rcc rId="7241" sId="20">
    <oc r="N68">
      <f>N44+N56</f>
    </oc>
    <nc r="N68">
      <f>N44+N56</f>
    </nc>
  </rcc>
  <rcc rId="7242" sId="20">
    <oc r="O68">
      <f>O44+O56</f>
    </oc>
    <nc r="O68">
      <f>O44+O56</f>
    </nc>
  </rcc>
  <rcc rId="7243" sId="20">
    <oc r="P68">
      <f>P44+P56</f>
    </oc>
    <nc r="P68">
      <f>P44+P56</f>
    </nc>
  </rcc>
  <rcc rId="7244" sId="20">
    <oc r="Q68">
      <f>Q44+Q56</f>
    </oc>
    <nc r="Q68">
      <f>Q44+Q56</f>
    </nc>
  </rcc>
  <rcc rId="7245" sId="20">
    <oc r="R68">
      <f>R44+R56</f>
    </oc>
    <nc r="R68">
      <f>R44+R56</f>
    </nc>
  </rcc>
  <rcc rId="7246" sId="20">
    <oc r="S68">
      <f>S44+S56</f>
    </oc>
    <nc r="S68">
      <f>S44+S56</f>
    </nc>
  </rcc>
  <rcc rId="7247" sId="20">
    <oc r="T68">
      <f>T44+T56</f>
    </oc>
    <nc r="T68">
      <f>T44</f>
    </nc>
  </rcc>
  <rcc rId="7248" sId="20">
    <oc r="U68">
      <f>U44+U56</f>
    </oc>
    <nc r="U68">
      <f>U44+U56</f>
    </nc>
  </rcc>
  <rcc rId="7249" sId="20">
    <oc r="V68">
      <f>V44+V56</f>
    </oc>
    <nc r="V68">
      <f>V44+V56</f>
    </nc>
  </rcc>
  <rcc rId="7250" sId="20">
    <oc r="W68">
      <f>W44+W56</f>
    </oc>
    <nc r="W68">
      <f>W44+W56</f>
    </nc>
  </rcc>
  <rcc rId="7251" sId="20">
    <oc r="X68">
      <f>X44+X56</f>
    </oc>
    <nc r="X68">
      <f>X44+X56</f>
    </nc>
  </rcc>
  <rcc rId="7252" sId="20">
    <oc r="Y68">
      <f>Y44+Y56</f>
    </oc>
    <nc r="Y68">
      <f>Y44+Y56</f>
    </nc>
  </rcc>
  <rcc rId="7253" sId="20">
    <oc r="Z68">
      <f>Z44+Z56</f>
    </oc>
    <nc r="Z68">
      <f>Z44+Z56</f>
    </nc>
  </rcc>
  <rcc rId="7254" sId="20">
    <oc r="AA68">
      <f>AA44+AA56</f>
    </oc>
    <nc r="AA68">
      <f>AA44+AA56</f>
    </nc>
  </rcc>
  <rcc rId="7255" sId="20">
    <oc r="AB68">
      <f>AB44+AB56</f>
    </oc>
    <nc r="AB68">
      <f>AB44</f>
    </nc>
  </rcc>
  <rcc rId="7256" sId="20">
    <oc r="AC68">
      <f>AC44+AC56</f>
    </oc>
    <nc r="AC68">
      <f>AC44+AC56</f>
    </nc>
  </rcc>
  <rcc rId="7257" sId="20">
    <oc r="AD68">
      <f>AD44+AD56</f>
    </oc>
    <nc r="AD68">
      <f>AD44+AD56</f>
    </nc>
  </rcc>
  <rcc rId="7258" sId="20">
    <oc r="AE68">
      <f>AE44</f>
    </oc>
    <nc r="AE68">
      <f>AE44</f>
    </nc>
  </rcc>
  <rcc rId="7259" sId="20">
    <oc r="B69">
      <f>B45+B57</f>
    </oc>
    <nc r="B69">
      <f>B45</f>
    </nc>
  </rcc>
  <rcc rId="7260" sId="20">
    <oc r="C69">
      <f>C45+C57</f>
    </oc>
    <nc r="C69">
      <f>C45+C57</f>
    </nc>
  </rcc>
  <rcc rId="7261" sId="20">
    <oc r="D69">
      <f>D45+D57</f>
    </oc>
    <nc r="D69">
      <f>D45+D57</f>
    </nc>
  </rcc>
  <rcc rId="7262" sId="20">
    <oc r="E69">
      <f>E45+E57</f>
    </oc>
    <nc r="E69">
      <f>E45+E57</f>
    </nc>
  </rcc>
  <rcc rId="7263" sId="20">
    <oc r="F69">
      <f>F45+F57</f>
    </oc>
    <nc r="F69">
      <f>F45+F57</f>
    </nc>
  </rcc>
  <rcc rId="7264" sId="20">
    <oc r="G69">
      <f>G45+G57</f>
    </oc>
    <nc r="G69">
      <f>G45+G57</f>
    </nc>
  </rcc>
  <rcc rId="7265" sId="20">
    <oc r="H69">
      <f>H45+H57</f>
    </oc>
    <nc r="H69">
      <f>H45+H57</f>
    </nc>
  </rcc>
  <rcc rId="7266" sId="20">
    <oc r="I69">
      <f>I45+I57</f>
    </oc>
    <nc r="I69">
      <f>I45+I57</f>
    </nc>
  </rcc>
  <rcc rId="7267" sId="20">
    <oc r="J69">
      <f>J45+J57</f>
    </oc>
    <nc r="J69">
      <f>J45+J57</f>
    </nc>
  </rcc>
  <rcc rId="7268" sId="20">
    <oc r="K69">
      <f>K45+K57</f>
    </oc>
    <nc r="K69">
      <f>K45+K57</f>
    </nc>
  </rcc>
  <rcc rId="7269" sId="20">
    <oc r="L69">
      <f>L45+L57</f>
    </oc>
    <nc r="L69">
      <f>L45+L57</f>
    </nc>
  </rcc>
  <rcc rId="7270" sId="20">
    <oc r="M69">
      <f>M45+M57</f>
    </oc>
    <nc r="M69">
      <f>M45+M57</f>
    </nc>
  </rcc>
  <rcc rId="7271" sId="20">
    <oc r="N69">
      <f>N45+N57</f>
    </oc>
    <nc r="N69">
      <f>N45+N57</f>
    </nc>
  </rcc>
  <rcc rId="7272" sId="20">
    <oc r="O69">
      <f>O45+O57</f>
    </oc>
    <nc r="O69">
      <f>O45+O57</f>
    </nc>
  </rcc>
  <rcc rId="7273" sId="20">
    <oc r="P69">
      <f>P45+P57</f>
    </oc>
    <nc r="P69">
      <f>P45+P57</f>
    </nc>
  </rcc>
  <rcc rId="7274" sId="20">
    <oc r="Q69">
      <f>Q45+Q57</f>
    </oc>
    <nc r="Q69">
      <f>Q45+Q57</f>
    </nc>
  </rcc>
  <rcc rId="7275" sId="20">
    <oc r="R69">
      <f>R45+R57</f>
    </oc>
    <nc r="R69">
      <f>R45+R57</f>
    </nc>
  </rcc>
  <rcc rId="7276" sId="20">
    <oc r="S69">
      <f>S45+S57</f>
    </oc>
    <nc r="S69">
      <f>S45+S57</f>
    </nc>
  </rcc>
  <rcc rId="7277" sId="20">
    <oc r="T69">
      <f>T45+T57</f>
    </oc>
    <nc r="T69">
      <f>T45+T57</f>
    </nc>
  </rcc>
  <rcc rId="7278" sId="20">
    <oc r="U69">
      <f>U45+U57</f>
    </oc>
    <nc r="U69">
      <f>U45+U57</f>
    </nc>
  </rcc>
  <rcc rId="7279" sId="20">
    <oc r="V69">
      <f>V45+V57</f>
    </oc>
    <nc r="V69">
      <f>V45+V57</f>
    </nc>
  </rcc>
  <rcc rId="7280" sId="20">
    <oc r="W69">
      <f>W45+W57</f>
    </oc>
    <nc r="W69">
      <f>W45+W57</f>
    </nc>
  </rcc>
  <rcc rId="7281" sId="20">
    <oc r="X69">
      <f>X45+X57</f>
    </oc>
    <nc r="X69">
      <f>X45+X57</f>
    </nc>
  </rcc>
  <rcc rId="7282" sId="20">
    <oc r="Y69">
      <f>Y45+Y57</f>
    </oc>
    <nc r="Y69">
      <f>Y45+Y57</f>
    </nc>
  </rcc>
  <rcc rId="7283" sId="20">
    <oc r="Z69">
      <f>Z45+Z57</f>
    </oc>
    <nc r="Z69">
      <f>Z45+Z57</f>
    </nc>
  </rcc>
  <rcc rId="7284" sId="20">
    <oc r="AA69">
      <f>AA45+AA57</f>
    </oc>
    <nc r="AA69">
      <f>AA45+AA57</f>
    </nc>
  </rcc>
  <rcc rId="7285" sId="20">
    <oc r="AB69">
      <f>AB45+AB57</f>
    </oc>
    <nc r="AB69">
      <f>AB45+AB57</f>
    </nc>
  </rcc>
  <rcc rId="7286" sId="20">
    <oc r="AC69">
      <f>AC45+AC57</f>
    </oc>
    <nc r="AC69">
      <f>AC45+AC57</f>
    </nc>
  </rcc>
  <rcc rId="7287" sId="20">
    <oc r="AD69">
      <f>AD45+AD57</f>
    </oc>
    <nc r="AD69">
      <f>AD45+AD57</f>
    </nc>
  </rcc>
  <rcc rId="7288" sId="20">
    <oc r="AE69">
      <f>AE45</f>
    </oc>
    <nc r="AE69">
      <f>AE45</f>
    </nc>
  </rcc>
  <rcc rId="7289" sId="20">
    <oc r="B70">
      <f>B46+B58</f>
    </oc>
    <nc r="B70">
      <f>B46</f>
    </nc>
  </rcc>
  <rcc rId="7290" sId="20">
    <oc r="C70">
      <f>C46+C58</f>
    </oc>
    <nc r="C70">
      <f>C46+C58</f>
    </nc>
  </rcc>
  <rcc rId="7291" sId="20">
    <oc r="D70">
      <f>D46+D58</f>
    </oc>
    <nc r="D70">
      <f>D46+D58</f>
    </nc>
  </rcc>
  <rcc rId="7292" sId="20">
    <oc r="E70">
      <f>E46+E58</f>
    </oc>
    <nc r="E70">
      <f>E46+E58</f>
    </nc>
  </rcc>
  <rcc rId="7293" sId="20">
    <oc r="F70">
      <f>F46+F58</f>
    </oc>
    <nc r="F70">
      <f>F46+F58</f>
    </nc>
  </rcc>
  <rcc rId="7294" sId="20">
    <oc r="G70">
      <f>G46+G58</f>
    </oc>
    <nc r="G70">
      <f>G46+G58</f>
    </nc>
  </rcc>
  <rcc rId="7295" sId="20">
    <oc r="H70">
      <f>H46+H58</f>
    </oc>
    <nc r="H70">
      <f>H46+H58</f>
    </nc>
  </rcc>
  <rcc rId="7296" sId="20">
    <oc r="I70">
      <f>I46+I58</f>
    </oc>
    <nc r="I70">
      <f>I46+I58</f>
    </nc>
  </rcc>
  <rcc rId="7297" sId="20">
    <oc r="J70">
      <f>J46+J58</f>
    </oc>
    <nc r="J70">
      <f>J46+J58</f>
    </nc>
  </rcc>
  <rcc rId="7298" sId="20">
    <oc r="K70">
      <f>K46+K58</f>
    </oc>
    <nc r="K70">
      <f>K46+K58</f>
    </nc>
  </rcc>
  <rcc rId="7299" sId="20">
    <oc r="L70">
      <f>L46+L58</f>
    </oc>
    <nc r="L70">
      <f>L46+L58</f>
    </nc>
  </rcc>
  <rcc rId="7300" sId="20">
    <oc r="M70">
      <f>M46+M58</f>
    </oc>
    <nc r="M70">
      <f>M46+M58</f>
    </nc>
  </rcc>
  <rcc rId="7301" sId="20">
    <oc r="N70">
      <f>N46+N58</f>
    </oc>
    <nc r="N70">
      <f>N46+N58</f>
    </nc>
  </rcc>
  <rcc rId="7302" sId="20">
    <oc r="O70">
      <f>O46+O58</f>
    </oc>
    <nc r="O70">
      <f>O46+O58</f>
    </nc>
  </rcc>
  <rcc rId="7303" sId="20">
    <oc r="P70">
      <f>P46+P58</f>
    </oc>
    <nc r="P70">
      <f>P46+P58</f>
    </nc>
  </rcc>
  <rcc rId="7304" sId="20">
    <oc r="Q70">
      <f>Q46+Q58</f>
    </oc>
    <nc r="Q70">
      <f>Q46+Q58</f>
    </nc>
  </rcc>
  <rcc rId="7305" sId="20">
    <oc r="R70">
      <f>R46+R58</f>
    </oc>
    <nc r="R70">
      <f>R46+R58</f>
    </nc>
  </rcc>
  <rcc rId="7306" sId="20">
    <oc r="S70">
      <f>S46+S58</f>
    </oc>
    <nc r="S70">
      <f>S46+S58</f>
    </nc>
  </rcc>
  <rcc rId="7307" sId="20">
    <oc r="T70">
      <f>T46+T58</f>
    </oc>
    <nc r="T70">
      <f>T46+T58</f>
    </nc>
  </rcc>
  <rcc rId="7308" sId="20">
    <oc r="U70">
      <f>U46+U58</f>
    </oc>
    <nc r="U70">
      <f>U46+U58</f>
    </nc>
  </rcc>
  <rcc rId="7309" sId="20">
    <oc r="V70">
      <f>V46+V58</f>
    </oc>
    <nc r="V70">
      <f>V46+V58</f>
    </nc>
  </rcc>
  <rcc rId="7310" sId="20">
    <oc r="W70">
      <f>W46+W58</f>
    </oc>
    <nc r="W70">
      <f>W46+W58</f>
    </nc>
  </rcc>
  <rcc rId="7311" sId="20">
    <oc r="X70">
      <f>X46+X58</f>
    </oc>
    <nc r="X70">
      <f>X46+X58</f>
    </nc>
  </rcc>
  <rcc rId="7312" sId="20">
    <oc r="Y70">
      <f>Y46+Y58</f>
    </oc>
    <nc r="Y70">
      <f>Y46+Y58</f>
    </nc>
  </rcc>
  <rcc rId="7313" sId="20">
    <oc r="Z70">
      <f>Z46+Z58</f>
    </oc>
    <nc r="Z70">
      <f>Z46+Z58</f>
    </nc>
  </rcc>
  <rcc rId="7314" sId="20">
    <oc r="AA70">
      <f>AA46+AA58</f>
    </oc>
    <nc r="AA70">
      <f>AA46+AA58</f>
    </nc>
  </rcc>
  <rcc rId="7315" sId="20">
    <oc r="AB70">
      <f>AB46+AB58</f>
    </oc>
    <nc r="AB70">
      <f>AB46+AB58</f>
    </nc>
  </rcc>
  <rcc rId="7316" sId="20">
    <oc r="AC70">
      <f>AC46+AC58</f>
    </oc>
    <nc r="AC70">
      <f>AC46+AC58</f>
    </nc>
  </rcc>
  <rcc rId="7317" sId="20">
    <oc r="AD70">
      <f>AD46+AD58</f>
    </oc>
    <nc r="AD70">
      <f>AD46+AD58</f>
    </nc>
  </rcc>
  <rcc rId="7318" sId="20">
    <oc r="AE70">
      <f>AE46</f>
    </oc>
    <nc r="AE70">
      <f>AE46</f>
    </nc>
  </rcc>
  <rcc rId="7319" sId="20">
    <oc r="B71">
      <f>B72+B73+B75</f>
    </oc>
    <nc r="B71">
      <f>B72+B73+B75</f>
    </nc>
  </rcc>
  <rcc rId="7320" sId="20">
    <oc r="C71">
      <f>C72+C73+C75</f>
    </oc>
    <nc r="C71">
      <f>C72+C73+C75</f>
    </nc>
  </rcc>
  <rcc rId="7321" sId="20">
    <oc r="D71">
      <f>D72+D73+D75</f>
    </oc>
    <nc r="D71">
      <f>D72+D73+D75</f>
    </nc>
  </rcc>
  <rcc rId="7322" sId="20">
    <oc r="E71">
      <f>E72+E73+E75</f>
    </oc>
    <nc r="E71">
      <f>E72+E73+E75</f>
    </nc>
  </rcc>
  <rcc rId="7323" sId="20">
    <oc r="F71">
      <f>IFERROR(E71/B71*100,0)</f>
    </oc>
    <nc r="F71">
      <f>IFERROR(E71/B71*100,0)</f>
    </nc>
  </rcc>
  <rcc rId="7324" sId="20">
    <oc r="G71">
      <f>IFERROR(E71/C71*100,0)</f>
    </oc>
    <nc r="G71">
      <f>IFERROR(E71/C71*100,0)</f>
    </nc>
  </rcc>
  <rcc rId="7325" sId="20">
    <oc r="H71">
      <f>H72+H73+H75</f>
    </oc>
    <nc r="H71">
      <f>H72+H73+H75</f>
    </nc>
  </rcc>
  <rcc rId="7326" sId="20">
    <oc r="I71">
      <f>I72+I73+I75</f>
    </oc>
    <nc r="I71">
      <f>I72+I73+I75</f>
    </nc>
  </rcc>
  <rcc rId="7327" sId="20">
    <oc r="J71">
      <f>J72+J73+J75</f>
    </oc>
    <nc r="J71">
      <f>J72+J73+J75</f>
    </nc>
  </rcc>
  <rcc rId="7328" sId="20">
    <oc r="K71">
      <f>K72+K73+K75</f>
    </oc>
    <nc r="K71">
      <f>K72+K73+K75</f>
    </nc>
  </rcc>
  <rcc rId="7329" sId="20">
    <oc r="L71">
      <f>L72+L73+L75</f>
    </oc>
    <nc r="L71">
      <f>L72+L73+L75</f>
    </nc>
  </rcc>
  <rcc rId="7330" sId="20">
    <oc r="M71">
      <f>M72+M73+M75</f>
    </oc>
    <nc r="M71">
      <f>M72+M73+M75</f>
    </nc>
  </rcc>
  <rcc rId="7331" sId="20">
    <oc r="N71">
      <f>N72+N73+N75</f>
    </oc>
    <nc r="N71">
      <f>N72+N73+N75</f>
    </nc>
  </rcc>
  <rcc rId="7332" sId="20">
    <oc r="O71">
      <f>O72+O73+O75</f>
    </oc>
    <nc r="O71">
      <f>O72+O73+O75</f>
    </nc>
  </rcc>
  <rcc rId="7333" sId="20">
    <oc r="P71">
      <f>P72+P73+P75</f>
    </oc>
    <nc r="P71">
      <f>P72+P73+P75</f>
    </nc>
  </rcc>
  <rcc rId="7334" sId="20">
    <oc r="Q71">
      <f>Q72+Q73+Q75</f>
    </oc>
    <nc r="Q71">
      <f>Q72+Q73+Q75</f>
    </nc>
  </rcc>
  <rcc rId="7335" sId="20">
    <oc r="R71">
      <f>R72+R73+R75</f>
    </oc>
    <nc r="R71">
      <f>R72+R73+R75</f>
    </nc>
  </rcc>
  <rcc rId="7336" sId="20">
    <oc r="S71">
      <f>S72+S73+S75</f>
    </oc>
    <nc r="S71">
      <f>S72+S73+S75</f>
    </nc>
  </rcc>
  <rcc rId="7337" sId="20">
    <oc r="T71">
      <f>T72+T73+T75</f>
    </oc>
    <nc r="T71">
      <f>T72+T73+T75</f>
    </nc>
  </rcc>
  <rcc rId="7338" sId="20">
    <oc r="U71">
      <f>U72+U73+U75</f>
    </oc>
    <nc r="U71">
      <f>U72+U73+U75</f>
    </nc>
  </rcc>
  <rcc rId="7339" sId="20">
    <oc r="V71">
      <f>V72+V73+V75</f>
    </oc>
    <nc r="V71">
      <f>V72+V73+V75</f>
    </nc>
  </rcc>
  <rcc rId="7340" sId="20">
    <oc r="W71">
      <f>W72+W73+W75</f>
    </oc>
    <nc r="W71">
      <f>W72+W73+W75</f>
    </nc>
  </rcc>
  <rcc rId="7341" sId="20">
    <oc r="X71">
      <f>X72+X73+X75</f>
    </oc>
    <nc r="X71">
      <f>X72+X73+X75</f>
    </nc>
  </rcc>
  <rcc rId="7342" sId="20">
    <oc r="Y71">
      <f>Y72+Y73+Y75</f>
    </oc>
    <nc r="Y71">
      <f>Y72+Y73+Y75</f>
    </nc>
  </rcc>
  <rcc rId="7343" sId="20">
    <oc r="Z71">
      <f>Z72+Z73+Z75</f>
    </oc>
    <nc r="Z71">
      <f>Z72+Z73+Z75</f>
    </nc>
  </rcc>
  <rcc rId="7344" sId="20">
    <oc r="AA71">
      <f>AA72+AA73+AA75</f>
    </oc>
    <nc r="AA71">
      <f>AA72+AA73+AA75</f>
    </nc>
  </rcc>
  <rcc rId="7345" sId="20">
    <oc r="AB71">
      <f>AB72+AB73+AB75</f>
    </oc>
    <nc r="AB71">
      <f>AB72+AB73+AB75</f>
    </nc>
  </rcc>
  <rcc rId="7346" sId="20">
    <oc r="AC71">
      <f>AC72+AC73+AC75</f>
    </oc>
    <nc r="AC71">
      <f>AC72+AC73+AC75</f>
    </nc>
  </rcc>
  <rcc rId="7347" sId="20">
    <oc r="AD71">
      <f>AD72+AD73+AD75</f>
    </oc>
    <nc r="AD71">
      <f>AD72+AD73+AD75</f>
    </nc>
  </rcc>
  <rcc rId="7348" sId="20">
    <oc r="AE71">
      <f>AE72+AE73+AE75</f>
    </oc>
    <nc r="AE71">
      <f>AE72+AE73+AE75</f>
    </nc>
  </rcc>
  <rcc rId="7349" sId="20">
    <oc r="B72">
      <f>B67+B35</f>
    </oc>
    <nc r="B72">
      <f>B67+B35</f>
    </nc>
  </rcc>
  <rcc rId="7350" sId="20">
    <oc r="C72">
      <f>C67+C35</f>
    </oc>
    <nc r="C72">
      <f>C67+C35</f>
    </nc>
  </rcc>
  <rcc rId="7351" sId="20">
    <oc r="D72">
      <f>D67+D35</f>
    </oc>
    <nc r="D72">
      <f>D67+D35</f>
    </nc>
  </rcc>
  <rcc rId="7352" sId="20">
    <oc r="E72">
      <f>E67+E35</f>
    </oc>
    <nc r="E72">
      <f>E67+E35</f>
    </nc>
  </rcc>
  <rcc rId="7353" sId="20">
    <oc r="F72">
      <f>IFERROR(E72/B72*100,0)</f>
    </oc>
    <nc r="F72">
      <f>IFERROR(E72/B72*100,0)</f>
    </nc>
  </rcc>
  <rcc rId="7354" sId="20">
    <oc r="G72">
      <f>IFERROR(E72/C72*100,0)</f>
    </oc>
    <nc r="G72">
      <f>IFERROR(E72/C72*100,0)</f>
    </nc>
  </rcc>
  <rcc rId="7355" sId="20">
    <oc r="H72">
      <f>H67+H35</f>
    </oc>
    <nc r="H72">
      <f>H67+H35</f>
    </nc>
  </rcc>
  <rcc rId="7356" sId="20">
    <oc r="I72">
      <f>I67+I35</f>
    </oc>
    <nc r="I72">
      <f>I67+I35</f>
    </nc>
  </rcc>
  <rcc rId="7357" sId="20">
    <oc r="J72">
      <f>J67+J35</f>
    </oc>
    <nc r="J72">
      <f>J67+J35</f>
    </nc>
  </rcc>
  <rcc rId="7358" sId="20">
    <oc r="K72">
      <f>K67+K35</f>
    </oc>
    <nc r="K72">
      <f>K67+K35</f>
    </nc>
  </rcc>
  <rcc rId="7359" sId="20">
    <oc r="L72">
      <f>L67+L35</f>
    </oc>
    <nc r="L72">
      <f>L67+L35</f>
    </nc>
  </rcc>
  <rcc rId="7360" sId="20">
    <oc r="M72">
      <f>M67+M35</f>
    </oc>
    <nc r="M72">
      <f>M67+M35</f>
    </nc>
  </rcc>
  <rcc rId="7361" sId="20">
    <oc r="N72">
      <f>N67+N35</f>
    </oc>
    <nc r="N72">
      <f>N67+N35</f>
    </nc>
  </rcc>
  <rcc rId="7362" sId="20">
    <oc r="O72">
      <f>O67+O35</f>
    </oc>
    <nc r="O72">
      <f>O67+O35</f>
    </nc>
  </rcc>
  <rcc rId="7363" sId="20">
    <oc r="P72">
      <f>P67+P35</f>
    </oc>
    <nc r="P72">
      <f>P67+P35</f>
    </nc>
  </rcc>
  <rcc rId="7364" sId="20">
    <oc r="Q72">
      <f>Q67+Q35</f>
    </oc>
    <nc r="Q72">
      <f>Q67+Q35</f>
    </nc>
  </rcc>
  <rcc rId="7365" sId="20">
    <oc r="R72">
      <f>R67+R35</f>
    </oc>
    <nc r="R72">
      <f>R67+R35</f>
    </nc>
  </rcc>
  <rcc rId="7366" sId="20">
    <oc r="S72">
      <f>S67+S35</f>
    </oc>
    <nc r="S72">
      <f>S67+S35</f>
    </nc>
  </rcc>
  <rcc rId="7367" sId="20">
    <oc r="T72">
      <f>T67+T35</f>
    </oc>
    <nc r="T72">
      <f>T67+T35</f>
    </nc>
  </rcc>
  <rcc rId="7368" sId="20">
    <oc r="U72">
      <f>U67+U35</f>
    </oc>
    <nc r="U72">
      <f>U67+U35</f>
    </nc>
  </rcc>
  <rcc rId="7369" sId="20">
    <oc r="V72">
      <f>V67+V35</f>
    </oc>
    <nc r="V72">
      <f>V67+V35</f>
    </nc>
  </rcc>
  <rcc rId="7370" sId="20">
    <oc r="W72">
      <f>W67+W35</f>
    </oc>
    <nc r="W72">
      <f>W67+W35</f>
    </nc>
  </rcc>
  <rcc rId="7371" sId="20">
    <oc r="X72">
      <f>X67+X35</f>
    </oc>
    <nc r="X72">
      <f>X67+X35</f>
    </nc>
  </rcc>
  <rcc rId="7372" sId="20">
    <oc r="Y72">
      <f>Y67+Y35</f>
    </oc>
    <nc r="Y72">
      <f>Y67+Y35</f>
    </nc>
  </rcc>
  <rcc rId="7373" sId="20">
    <oc r="Z72">
      <f>Z67+Z35</f>
    </oc>
    <nc r="Z72">
      <f>Z67+Z35</f>
    </nc>
  </rcc>
  <rcc rId="7374" sId="20">
    <oc r="AA72">
      <f>AA67+AA35</f>
    </oc>
    <nc r="AA72">
      <f>AA67+AA35</f>
    </nc>
  </rcc>
  <rcc rId="7375" sId="20">
    <oc r="AB72">
      <f>AB67+AB35</f>
    </oc>
    <nc r="AB72">
      <f>AB67+AB35</f>
    </nc>
  </rcc>
  <rcc rId="7376" sId="20">
    <oc r="AC72">
      <f>AC67+AC35</f>
    </oc>
    <nc r="AC72">
      <f>AC67+AC35</f>
    </nc>
  </rcc>
  <rcc rId="7377" sId="20">
    <oc r="AD72">
      <f>AD67+AD35</f>
    </oc>
    <nc r="AD72">
      <f>AD67+AD35</f>
    </nc>
  </rcc>
  <rcc rId="7378" sId="20">
    <oc r="AE72">
      <f>AE67+AE35</f>
    </oc>
    <nc r="AE72">
      <f>AE67+AE35</f>
    </nc>
  </rcc>
  <rcc rId="7379" sId="20">
    <oc r="B73">
      <f>B68+B36+B18</f>
    </oc>
    <nc r="B73">
      <f>B68+B36+B18</f>
    </nc>
  </rcc>
  <rcc rId="7380" sId="20">
    <oc r="C73">
      <f>C68+C36+C18</f>
    </oc>
    <nc r="C73">
      <f>C68+C36+C18</f>
    </nc>
  </rcc>
  <rcc rId="7381" sId="20">
    <oc r="D73">
      <f>D68+D36+D18</f>
    </oc>
    <nc r="D73">
      <f>D68+D36+D18</f>
    </nc>
  </rcc>
  <rcc rId="7382" sId="20">
    <oc r="E73">
      <f>E68+E36+E18</f>
    </oc>
    <nc r="E73">
      <f>E68+E36+E18</f>
    </nc>
  </rcc>
  <rcc rId="7383" sId="20">
    <oc r="F73">
      <f>F68+F36+F18</f>
    </oc>
    <nc r="F73">
      <f>F68+F36+F18</f>
    </nc>
  </rcc>
  <rcc rId="7384" sId="20">
    <oc r="G73">
      <f>G68+G36+G18</f>
    </oc>
    <nc r="G73">
      <f>G68+G36+G18</f>
    </nc>
  </rcc>
  <rcc rId="7385" sId="20">
    <oc r="H73">
      <f>H68+H36+H18</f>
    </oc>
    <nc r="H73">
      <f>H68+H36+H18</f>
    </nc>
  </rcc>
  <rcc rId="7386" sId="20">
    <oc r="I73">
      <f>I68+I36+I18</f>
    </oc>
    <nc r="I73">
      <f>I68+I36+I18</f>
    </nc>
  </rcc>
  <rcc rId="7387" sId="20">
    <oc r="J73">
      <f>J68+J36+J18</f>
    </oc>
    <nc r="J73">
      <f>J68+J36+J18</f>
    </nc>
  </rcc>
  <rcc rId="7388" sId="20">
    <oc r="K73">
      <f>K68+K36+K18</f>
    </oc>
    <nc r="K73">
      <f>K68+K36+K18</f>
    </nc>
  </rcc>
  <rcc rId="7389" sId="20">
    <oc r="L73">
      <f>L68+L36+L18</f>
    </oc>
    <nc r="L73">
      <f>L68+L36+L18</f>
    </nc>
  </rcc>
  <rcc rId="7390" sId="20">
    <oc r="M73">
      <f>M68+M36+M18</f>
    </oc>
    <nc r="M73">
      <f>M68+M36+M18</f>
    </nc>
  </rcc>
  <rcc rId="7391" sId="20">
    <oc r="N73">
      <f>N68+N36+N18</f>
    </oc>
    <nc r="N73">
      <f>N68+N36+N18</f>
    </nc>
  </rcc>
  <rcc rId="7392" sId="20">
    <oc r="O73">
      <f>O68+O36+O18</f>
    </oc>
    <nc r="O73">
      <f>O68+O36+O18</f>
    </nc>
  </rcc>
  <rcc rId="7393" sId="20">
    <oc r="P73">
      <f>P68+P36+P18</f>
    </oc>
    <nc r="P73">
      <f>P68+P36+P18</f>
    </nc>
  </rcc>
  <rcc rId="7394" sId="20">
    <oc r="Q73">
      <f>Q68+Q36+Q18</f>
    </oc>
    <nc r="Q73">
      <f>Q68+Q36+Q18</f>
    </nc>
  </rcc>
  <rcc rId="7395" sId="20">
    <oc r="R73">
      <f>R68+R36+R18</f>
    </oc>
    <nc r="R73">
      <f>R68+R36+R18</f>
    </nc>
  </rcc>
  <rcc rId="7396" sId="20">
    <oc r="S73">
      <f>S68+S36+S18</f>
    </oc>
    <nc r="S73">
      <f>S68+S36+S18</f>
    </nc>
  </rcc>
  <rcc rId="7397" sId="20">
    <oc r="T73">
      <f>T68+T36+T18</f>
    </oc>
    <nc r="T73">
      <f>T68+T36+T18</f>
    </nc>
  </rcc>
  <rcc rId="7398" sId="20">
    <oc r="U73">
      <f>U68+U36+U18</f>
    </oc>
    <nc r="U73">
      <f>U68+U36+U18</f>
    </nc>
  </rcc>
  <rcc rId="7399" sId="20">
    <oc r="V73">
      <f>V68+V36+V18</f>
    </oc>
    <nc r="V73">
      <f>V68+V36+V18</f>
    </nc>
  </rcc>
  <rcc rId="7400" sId="20">
    <oc r="W73">
      <f>W68+W36+W18</f>
    </oc>
    <nc r="W73">
      <f>W68+W36+W18</f>
    </nc>
  </rcc>
  <rcc rId="7401" sId="20">
    <oc r="X73">
      <f>X68+X36+X18</f>
    </oc>
    <nc r="X73">
      <f>X68+X36+X18</f>
    </nc>
  </rcc>
  <rcc rId="7402" sId="20">
    <oc r="Y73">
      <f>Y68+Y36+Y18</f>
    </oc>
    <nc r="Y73">
      <f>Y68+Y36+Y18</f>
    </nc>
  </rcc>
  <rcc rId="7403" sId="20">
    <oc r="Z73">
      <f>Z68+Z36+Z18</f>
    </oc>
    <nc r="Z73">
      <f>Z68+Z36+Z18</f>
    </nc>
  </rcc>
  <rcc rId="7404" sId="20">
    <oc r="AA73">
      <f>AA68+AA36+AA18</f>
    </oc>
    <nc r="AA73">
      <f>AA68+AA36+AA18</f>
    </nc>
  </rcc>
  <rcc rId="7405" sId="20">
    <oc r="AB73">
      <f>AB68+AB36+AB18</f>
    </oc>
    <nc r="AB73">
      <f>AB68+AB36+AB18</f>
    </nc>
  </rcc>
  <rcc rId="7406" sId="20">
    <oc r="AC73">
      <f>AC68+AC36+AC18</f>
    </oc>
    <nc r="AC73">
      <f>AC68+AC36+AC18</f>
    </nc>
  </rcc>
  <rcc rId="7407" sId="20">
    <oc r="AD73">
      <f>AD68+AD36+AD18</f>
    </oc>
    <nc r="AD73">
      <f>AD68+AD36+AD18</f>
    </nc>
  </rcc>
  <rcc rId="7408" sId="20">
    <oc r="AE73">
      <f>AE68+AE36+AE18</f>
    </oc>
    <nc r="AE73">
      <f>AE68+AE36+AE18</f>
    </nc>
  </rcc>
  <rcc rId="7409" sId="20">
    <oc r="B74">
      <f>B69+B37+B18</f>
    </oc>
    <nc r="B74">
      <f>B69+B37+B18</f>
    </nc>
  </rcc>
  <rcc rId="7410" sId="20">
    <oc r="C74">
      <f>C69+C37+C18</f>
    </oc>
    <nc r="C74">
      <f>C69+C37+C18</f>
    </nc>
  </rcc>
  <rcc rId="7411" sId="20">
    <oc r="D74">
      <f>D69+D37+D18</f>
    </oc>
    <nc r="D74">
      <f>D69+D37+D18</f>
    </nc>
  </rcc>
  <rcc rId="7412" sId="20">
    <oc r="E74">
      <f>E69+E37+E18</f>
    </oc>
    <nc r="E74">
      <f>E69+E37+E18</f>
    </nc>
  </rcc>
  <rcc rId="7413" sId="20">
    <oc r="F74">
      <f>F69+F37+F18</f>
    </oc>
    <nc r="F74">
      <f>F69+F37+F18</f>
    </nc>
  </rcc>
  <rcc rId="7414" sId="20">
    <oc r="G74">
      <f>G69+G37+G18</f>
    </oc>
    <nc r="G74">
      <f>G69+G37+G18</f>
    </nc>
  </rcc>
  <rcc rId="7415" sId="20">
    <oc r="H74">
      <f>H69+H37+H18</f>
    </oc>
    <nc r="H74">
      <f>H69+H37+H18</f>
    </nc>
  </rcc>
  <rcc rId="7416" sId="20">
    <oc r="I74">
      <f>I69+I37+I18</f>
    </oc>
    <nc r="I74">
      <f>I69+I37+I18</f>
    </nc>
  </rcc>
  <rcc rId="7417" sId="20">
    <oc r="J74">
      <f>J69+J37+J18</f>
    </oc>
    <nc r="J74">
      <f>J69+J37+J18</f>
    </nc>
  </rcc>
  <rcc rId="7418" sId="20">
    <oc r="K74">
      <f>K69+K37+K18</f>
    </oc>
    <nc r="K74">
      <f>K69+K37+K18</f>
    </nc>
  </rcc>
  <rcc rId="7419" sId="20">
    <oc r="L74">
      <f>L69+L37+L18</f>
    </oc>
    <nc r="L74">
      <f>L69+L37+L18</f>
    </nc>
  </rcc>
  <rcc rId="7420" sId="20">
    <oc r="M74">
      <f>M69+M37+M18</f>
    </oc>
    <nc r="M74">
      <f>M69+M37+M18</f>
    </nc>
  </rcc>
  <rcc rId="7421" sId="20">
    <oc r="N74">
      <f>N69+N37+N18</f>
    </oc>
    <nc r="N74">
      <f>N69+N37+N18</f>
    </nc>
  </rcc>
  <rcc rId="7422" sId="20">
    <oc r="O74">
      <f>O69+O37+O18</f>
    </oc>
    <nc r="O74">
      <f>O69+O37+O18</f>
    </nc>
  </rcc>
  <rcc rId="7423" sId="20">
    <oc r="P74">
      <f>P69+P37+P18</f>
    </oc>
    <nc r="P74">
      <f>P69+P37+P18</f>
    </nc>
  </rcc>
  <rcc rId="7424" sId="20">
    <oc r="Q74">
      <f>Q69+Q37+Q18</f>
    </oc>
    <nc r="Q74">
      <f>Q69+Q37+Q18</f>
    </nc>
  </rcc>
  <rcc rId="7425" sId="20">
    <oc r="R74">
      <f>R69+R37+R18</f>
    </oc>
    <nc r="R74">
      <f>R69+R37+R18</f>
    </nc>
  </rcc>
  <rcc rId="7426" sId="20">
    <oc r="S74">
      <f>S69+S37+S18</f>
    </oc>
    <nc r="S74">
      <f>S69+S37+S18</f>
    </nc>
  </rcc>
  <rcc rId="7427" sId="20">
    <oc r="T74">
      <f>T69+T37+T18</f>
    </oc>
    <nc r="T74">
      <f>T69+T37+T18</f>
    </nc>
  </rcc>
  <rcc rId="7428" sId="20">
    <oc r="U74">
      <f>U69+U37+U18</f>
    </oc>
    <nc r="U74">
      <f>U69+U37+U18</f>
    </nc>
  </rcc>
  <rcc rId="7429" sId="20">
    <oc r="V74">
      <f>V69+V37+V18</f>
    </oc>
    <nc r="V74">
      <f>V69+V37+V18</f>
    </nc>
  </rcc>
  <rcc rId="7430" sId="20">
    <oc r="W74">
      <f>W69+W37+W18</f>
    </oc>
    <nc r="W74">
      <f>W69+W37+W18</f>
    </nc>
  </rcc>
  <rcc rId="7431" sId="20">
    <oc r="X74">
      <f>X69+X37+X18</f>
    </oc>
    <nc r="X74">
      <f>X69+X37+X18</f>
    </nc>
  </rcc>
  <rcc rId="7432" sId="20">
    <oc r="Y74">
      <f>Y69+Y37+Y18</f>
    </oc>
    <nc r="Y74">
      <f>Y69+Y37+Y18</f>
    </nc>
  </rcc>
  <rcc rId="7433" sId="20">
    <oc r="Z74">
      <f>Z69+Z37+Z18</f>
    </oc>
    <nc r="Z74">
      <f>Z69+Z37+Z18</f>
    </nc>
  </rcc>
  <rcc rId="7434" sId="20">
    <oc r="AA74">
      <f>AA69+AA37+AA18</f>
    </oc>
    <nc r="AA74">
      <f>AA69+AA37+AA18</f>
    </nc>
  </rcc>
  <rcc rId="7435" sId="20">
    <oc r="AB74">
      <f>AB69+AB37+AB18</f>
    </oc>
    <nc r="AB74">
      <f>AB69+AB37+AB18</f>
    </nc>
  </rcc>
  <rcc rId="7436" sId="20">
    <oc r="AC74">
      <f>AC69+AC37+AC18</f>
    </oc>
    <nc r="AC74">
      <f>AC69+AC37+AC18</f>
    </nc>
  </rcc>
  <rcc rId="7437" sId="20">
    <oc r="AD74">
      <f>AD69+AD37+AD18</f>
    </oc>
    <nc r="AD74">
      <f>AD69+AD37+AD18</f>
    </nc>
  </rcc>
  <rcc rId="7438" sId="20">
    <oc r="AE74">
      <f>AE69+AE37</f>
    </oc>
    <nc r="AE74">
      <f>AE69+AE37</f>
    </nc>
  </rcc>
  <rcc rId="7439" sId="20">
    <oc r="B75">
      <f>B70+B38</f>
    </oc>
    <nc r="B75">
      <f>B70+B38</f>
    </nc>
  </rcc>
  <rcc rId="7440" sId="20">
    <oc r="C75">
      <f>C70+C38</f>
    </oc>
    <nc r="C75">
      <f>C70+C38</f>
    </nc>
  </rcc>
  <rcc rId="7441" sId="20">
    <oc r="D75">
      <f>D70+D38</f>
    </oc>
    <nc r="D75">
      <f>D70+D38</f>
    </nc>
  </rcc>
  <rcc rId="7442" sId="20">
    <oc r="E75">
      <f>E70+E38</f>
    </oc>
    <nc r="E75">
      <f>E70+E38</f>
    </nc>
  </rcc>
  <rcc rId="7443" sId="20">
    <oc r="F75">
      <f>IFERROR(E75/B75*100,0)</f>
    </oc>
    <nc r="F75">
      <f>IFERROR(E75/B75*100,0)</f>
    </nc>
  </rcc>
  <rcc rId="7444" sId="20">
    <oc r="G75">
      <f>IFERROR(E75/C75*100,0)</f>
    </oc>
    <nc r="G75">
      <f>IFERROR(E75/C75*100,0)</f>
    </nc>
  </rcc>
  <rcc rId="7445" sId="20">
    <oc r="H75">
      <f>H70+H38</f>
    </oc>
    <nc r="H75">
      <f>H70+H38</f>
    </nc>
  </rcc>
  <rcc rId="7446" sId="20">
    <oc r="I75">
      <f>I70+I38</f>
    </oc>
    <nc r="I75">
      <f>I70+I38</f>
    </nc>
  </rcc>
  <rcc rId="7447" sId="20">
    <oc r="J75">
      <f>J70+J38</f>
    </oc>
    <nc r="J75">
      <f>J70+J38</f>
    </nc>
  </rcc>
  <rcc rId="7448" sId="20">
    <oc r="K75">
      <f>K70+K38</f>
    </oc>
    <nc r="K75">
      <f>K70+K38</f>
    </nc>
  </rcc>
  <rcc rId="7449" sId="20">
    <oc r="L75">
      <f>L70+L38</f>
    </oc>
    <nc r="L75">
      <f>L70+L38</f>
    </nc>
  </rcc>
  <rcc rId="7450" sId="20">
    <oc r="M75">
      <f>M70+M38</f>
    </oc>
    <nc r="M75">
      <f>M70+M38</f>
    </nc>
  </rcc>
  <rcc rId="7451" sId="20">
    <oc r="N75">
      <f>N70+N38</f>
    </oc>
    <nc r="N75">
      <f>N70+N38</f>
    </nc>
  </rcc>
  <rcc rId="7452" sId="20">
    <oc r="O75">
      <f>O70+O38</f>
    </oc>
    <nc r="O75">
      <f>O70+O38</f>
    </nc>
  </rcc>
  <rcc rId="7453" sId="20">
    <oc r="P75">
      <f>P70+P38</f>
    </oc>
    <nc r="P75">
      <f>P70+P38</f>
    </nc>
  </rcc>
  <rcc rId="7454" sId="20">
    <oc r="Q75">
      <f>Q70+Q38</f>
    </oc>
    <nc r="Q75">
      <f>Q70+Q38</f>
    </nc>
  </rcc>
  <rcc rId="7455" sId="20">
    <oc r="R75">
      <f>R70+R38</f>
    </oc>
    <nc r="R75">
      <f>R70+R38</f>
    </nc>
  </rcc>
  <rcc rId="7456" sId="20">
    <oc r="S75">
      <f>S70+S38</f>
    </oc>
    <nc r="S75">
      <f>S70+S38</f>
    </nc>
  </rcc>
  <rcc rId="7457" sId="20">
    <oc r="T75">
      <f>T70+T38</f>
    </oc>
    <nc r="T75">
      <f>T70+T38</f>
    </nc>
  </rcc>
  <rcc rId="7458" sId="20">
    <oc r="U75">
      <f>U70+U38</f>
    </oc>
    <nc r="U75">
      <f>U70+U38</f>
    </nc>
  </rcc>
  <rcc rId="7459" sId="20">
    <oc r="V75">
      <f>V70+V38</f>
    </oc>
    <nc r="V75">
      <f>V70+V38</f>
    </nc>
  </rcc>
  <rcc rId="7460" sId="20">
    <oc r="W75">
      <f>W70+W38</f>
    </oc>
    <nc r="W75">
      <f>W70+W38</f>
    </nc>
  </rcc>
  <rcc rId="7461" sId="20">
    <oc r="X75">
      <f>X70+X38</f>
    </oc>
    <nc r="X75">
      <f>X70+X38</f>
    </nc>
  </rcc>
  <rcc rId="7462" sId="20">
    <oc r="Y75">
      <f>Y70+Y38</f>
    </oc>
    <nc r="Y75">
      <f>Y70+Y38</f>
    </nc>
  </rcc>
  <rcc rId="7463" sId="20">
    <oc r="Z75">
      <f>Z70+Z38</f>
    </oc>
    <nc r="Z75">
      <f>Z70+Z38</f>
    </nc>
  </rcc>
  <rcc rId="7464" sId="20">
    <oc r="AA75">
      <f>AA70+AA38</f>
    </oc>
    <nc r="AA75">
      <f>AA70+AA38</f>
    </nc>
  </rcc>
  <rcc rId="7465" sId="20">
    <oc r="AB75">
      <f>AB70+AB38</f>
    </oc>
    <nc r="AB75">
      <f>AB70+AB38</f>
    </nc>
  </rcc>
  <rcc rId="7466" sId="20">
    <oc r="AC75">
      <f>AC70+AC38</f>
    </oc>
    <nc r="AC75">
      <f>AC70+AC38</f>
    </nc>
  </rcc>
  <rcc rId="7467" sId="20">
    <oc r="AD75">
      <f>AD70+AD38</f>
    </oc>
    <nc r="AD75">
      <f>AD70+AD38</f>
    </nc>
  </rcc>
  <rcc rId="7468" sId="20">
    <oc r="AE75">
      <f>AE70+AE38</f>
    </oc>
    <nc r="AE75">
      <f>AE70+AE38</f>
    </nc>
  </rcc>
  <rcv guid="{DAA8A688-7558-4B5B-8DBD-E2629BD9E9A8}" action="delete"/>
  <rdn rId="0" localSheetId="2" customView="1" name="Z_DAA8A688_7558_4B5B_8DBD_E2629BD9E9A8_.wvu.Rows" hidden="1" oldHidden="1">
    <formula>'1.СЗН'!$69:$73</formula>
    <oldFormula>'1.СЗН'!$69:$73</oldFormula>
  </rdn>
  <rdn rId="0" localSheetId="2" customView="1" name="Z_DAA8A688_7558_4B5B_8DBD_E2629BD9E9A8_.wvu.FilterData" hidden="1" oldHidden="1">
    <formula>'1.СЗН'!$A$1:$AF$63</formula>
    <oldFormula>'1.СЗН'!$A$1:$AF$63</oldFormula>
  </rdn>
  <rdn rId="0" localSheetId="3" customView="1" name="Z_DAA8A688_7558_4B5B_8DBD_E2629BD9E9A8_.wvu.FilterData" hidden="1" oldHidden="1">
    <formula>'2.АПК'!$A$1:$AF$36</formula>
    <oldFormula>'2.АПК'!$A$1:$AF$36</oldFormula>
  </rdn>
  <rdn rId="0" localSheetId="4" customView="1" name="Z_DAA8A688_7558_4B5B_8DBD_E2629BD9E9A8_.wvu.FilterData" hidden="1" oldHidden="1">
    <formula>'3.БЖД'!$A$1:$AF$17</formula>
    <oldFormula>'3.БЖД'!$A$1:$AF$17</oldFormula>
  </rdn>
  <rdn rId="0" localSheetId="5" customView="1" name="Z_DAA8A688_7558_4B5B_8DBD_E2629BD9E9A8_.wvu.FilterData" hidden="1" oldHidden="1">
    <formula>'4.УМИ'!$A$1:$AF$11</formula>
    <oldFormula>'4.УМИ'!$A$1:$AF$11</oldFormula>
  </rdn>
  <rdn rId="0" localSheetId="6" customView="1" name="Z_DAA8A688_7558_4B5B_8DBD_E2629BD9E9A8_.wvu.FilterData" hidden="1" oldHidden="1">
    <formula>'5.Проф. прав.'!$A$1:$AF$12</formula>
    <oldFormula>'5.Проф. прав.'!$A$1:$AF$12</oldFormula>
  </rdn>
  <rdn rId="0" localSheetId="7" customView="1" name="Z_DAA8A688_7558_4B5B_8DBD_E2629BD9E9A8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DAA8A688_7558_4B5B_8DBD_E2629BD9E9A8_.wvu.FilterData" hidden="1" oldHidden="1">
    <formula>'6.Экстримизм'!$A$1:$AF$11</formula>
    <oldFormula>'6.Экстримизм'!$A$1:$AF$11</oldFormula>
  </rdn>
  <rdn rId="0" localSheetId="14" customView="1" name="Z_DAA8A688_7558_4B5B_8DBD_E2629BD9E9A8_.wvu.FilterData" hidden="1" oldHidden="1">
    <formula>'11.МП РО'!$A$4:$A$380</formula>
    <oldFormula>'11.МП РО'!$A$4:$A$380</oldFormula>
  </rdn>
  <rdn rId="0" localSheetId="17" customView="1" name="Z_DAA8A688_7558_4B5B_8DBD_E2629BD9E9A8_.wvu.Rows" hidden="1" oldHidden="1">
    <formula>'13.МП РЖС'!$122:$127</formula>
    <oldFormula>'13.МП РЖС'!$122:$127</oldFormula>
  </rdn>
  <rdn rId="0" localSheetId="17" customView="1" name="Z_DAA8A688_7558_4B5B_8DBD_E2629BD9E9A8_.wvu.Cols" hidden="1" oldHidden="1">
    <formula>'13.МП РЖС'!$AG:$AG</formula>
    <oldFormula>'13.МП РЖС'!$AG:$AG</oldFormula>
  </rdn>
  <rcv guid="{DAA8A688-7558-4B5B-8DBD-E2629BD9E9A8}" action="add"/>
</revisions>
</file>

<file path=xl/revisions/revisionLog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480" sId="20">
    <oc r="AD73">
      <f>AD68+AD36+AD18</f>
    </oc>
    <nc r="AD73">
      <f>AD68+AD36+AD18</f>
    </nc>
  </rcc>
  <rcc rId="7481" sId="20">
    <oc r="AD68">
      <f>AD44+AD56</f>
    </oc>
    <nc r="AD68">
      <f>AD44</f>
    </nc>
  </rcc>
</revisions>
</file>

<file path=xl/revisions/revisionLog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482" sId="15" odxf="1" s="1" dxf="1">
    <oc r="B22">
      <f>B23+B24+B25+B26</f>
    </oc>
    <nc r="B22">
      <f>B23+B24+B25+B26</f>
    </nc>
    <ndxf>
      <numFmt numFmtId="4" formatCode="#,##0.00"/>
      <alignment horizontal="center" vertical="center" readingOrder="0"/>
    </ndxf>
  </rcc>
  <rcc rId="7483" sId="15" odxf="1" s="1" dxf="1">
    <oc r="C22">
      <f>C23+C24+C25+C26</f>
    </oc>
    <nc r="C22">
      <f>C23+C24+C25+C26</f>
    </nc>
    <odxf>
      <font>
        <b/>
        <i val="0"/>
        <strike val="0"/>
        <condense val="0"/>
        <extend val="0"/>
        <outline val="0"/>
        <shadow val="0"/>
        <u val="none"/>
        <vertAlign val="baseline"/>
        <sz val="14"/>
        <color auto="1"/>
        <name val="Times New Roman"/>
        <scheme val="none"/>
      </font>
      <numFmt numFmtId="167" formatCode="#,##0.000\ _₽"/>
      <fill>
        <patternFill patternType="solid">
          <fgColor indexed="64"/>
          <bgColor theme="5" tint="0.59999389629810485"/>
        </patternFill>
      </fill>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alignment horizontal="center" vertical="center" readingOrder="0"/>
    </ndxf>
  </rcc>
  <rcc rId="7484" sId="15" odxf="1" s="1" dxf="1">
    <oc r="D22">
      <f>D23+D24+D25+D26</f>
    </oc>
    <nc r="D22">
      <f>D23+D24+D25+D26</f>
    </nc>
    <odxf>
      <font>
        <b/>
        <i val="0"/>
        <strike val="0"/>
        <condense val="0"/>
        <extend val="0"/>
        <outline val="0"/>
        <shadow val="0"/>
        <u val="none"/>
        <vertAlign val="baseline"/>
        <sz val="14"/>
        <color auto="1"/>
        <name val="Times New Roman"/>
        <scheme val="none"/>
      </font>
      <numFmt numFmtId="167" formatCode="#,##0.000\ _₽"/>
      <fill>
        <patternFill patternType="solid">
          <fgColor indexed="64"/>
          <bgColor theme="5" tint="0.59999389629810485"/>
        </patternFill>
      </fill>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alignment horizontal="center" vertical="center" readingOrder="0"/>
    </ndxf>
  </rcc>
  <rcc rId="7485" sId="15" odxf="1" s="1" dxf="1">
    <oc r="E22">
      <f>E23+E24+E25+E26</f>
    </oc>
    <nc r="E22">
      <f>E23+E24+E25+E26</f>
    </nc>
    <odxf>
      <font>
        <b/>
        <i val="0"/>
        <strike val="0"/>
        <condense val="0"/>
        <extend val="0"/>
        <outline val="0"/>
        <shadow val="0"/>
        <u val="none"/>
        <vertAlign val="baseline"/>
        <sz val="14"/>
        <color auto="1"/>
        <name val="Times New Roman"/>
        <scheme val="none"/>
      </font>
      <numFmt numFmtId="167" formatCode="#,##0.000\ _₽"/>
      <fill>
        <patternFill patternType="solid">
          <fgColor indexed="64"/>
          <bgColor theme="5" tint="0.59999389629810485"/>
        </patternFill>
      </fill>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alignment horizontal="center" vertical="center" readingOrder="0"/>
    </ndxf>
  </rcc>
  <rcmt sheetId="15" cell="AF14" guid="{00000000-0000-0000-0000-000000000000}" action="delete" author="Степаненко Наталья Алексеевна"/>
  <rcv guid="{6A602CB8-B24C-4ED4-B378-B27354BE0A1A}" action="delete"/>
  <rdn rId="0" localSheetId="2" customView="1" name="Z_6A602CB8_B24C_4ED4_B378_B27354BE0A1A_.wvu.Rows" hidden="1" oldHidden="1">
    <formula>'1.СЗН'!$69:$73</formula>
    <oldFormula>'1.СЗН'!$69:$73</oldFormula>
  </rdn>
  <rdn rId="0" localSheetId="2" customView="1" name="Z_6A602CB8_B24C_4ED4_B378_B27354BE0A1A_.wvu.FilterData" hidden="1" oldHidden="1">
    <formula>'1.СЗН'!$A$1:$AF$63</formula>
    <oldFormula>'1.СЗН'!$A$1:$AF$63</oldFormula>
  </rdn>
  <rdn rId="0" localSheetId="3" customView="1" name="Z_6A602CB8_B24C_4ED4_B378_B27354BE0A1A_.wvu.FilterData" hidden="1" oldHidden="1">
    <formula>'2.АПК'!$A$1:$AF$36</formula>
    <oldFormula>'2.АПК'!$A$1:$AF$36</oldFormula>
  </rdn>
  <rdn rId="0" localSheetId="4" customView="1" name="Z_6A602CB8_B24C_4ED4_B378_B27354BE0A1A_.wvu.FilterData" hidden="1" oldHidden="1">
    <formula>'3.БЖД'!$A$1:$AF$17</formula>
    <oldFormula>'3.БЖД'!$A$1:$AF$17</oldFormula>
  </rdn>
  <rdn rId="0" localSheetId="5" customView="1" name="Z_6A602CB8_B24C_4ED4_B378_B27354BE0A1A_.wvu.FilterData" hidden="1" oldHidden="1">
    <formula>'4.УМИ'!$A$1:$AF$11</formula>
    <oldFormula>'4.УМИ'!$A$1:$AF$11</oldFormula>
  </rdn>
  <rdn rId="0" localSheetId="6" customView="1" name="Z_6A602CB8_B24C_4ED4_B378_B27354BE0A1A_.wvu.FilterData" hidden="1" oldHidden="1">
    <formula>'5.Проф. прав.'!$A$1:$AF$12</formula>
    <oldFormula>'5.Проф. прав.'!$A$1:$AF$12</oldFormula>
  </rdn>
  <rdn rId="0" localSheetId="7" customView="1" name="Z_6A602CB8_B24C_4ED4_B378_B27354BE0A1A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6A602CB8_B24C_4ED4_B378_B27354BE0A1A_.wvu.FilterData" hidden="1" oldHidden="1">
    <formula>'6.Экстримизм'!$A$1:$AF$11</formula>
    <oldFormula>'6.Экстримизм'!$A$1:$AF$11</oldFormula>
  </rdn>
  <rdn rId="0" localSheetId="14" customView="1" name="Z_6A602CB8_B24C_4ED4_B378_B27354BE0A1A_.wvu.FilterData" hidden="1" oldHidden="1">
    <formula>'11.МП РО'!$A$4:$A$380</formula>
    <oldFormula>'11.МП РО'!$A$4:$A$380</oldFormula>
  </rdn>
  <rdn rId="0" localSheetId="17" customView="1" name="Z_6A602CB8_B24C_4ED4_B378_B27354BE0A1A_.wvu.Rows" hidden="1" oldHidden="1">
    <formula>'13.МП РЖС'!$122:$127</formula>
    <oldFormula>'13.МП РЖС'!$122:$127</oldFormula>
  </rdn>
  <rdn rId="0" localSheetId="17" customView="1" name="Z_6A602CB8_B24C_4ED4_B378_B27354BE0A1A_.wvu.Cols" hidden="1" oldHidden="1">
    <formula>'13.МП РЖС'!$AG:$AG</formula>
    <oldFormula>'13.МП РЖС'!$AG:$AG</oldFormula>
  </rdn>
  <rcv guid="{6A602CB8-B24C-4ED4-B378-B27354BE0A1A}" action="add"/>
</revisions>
</file>

<file path=xl/revisions/revisionLog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5" sqref="H11" start="0" length="0">
    <dxf>
      <font>
        <sz val="12"/>
        <name val="Times New Roman"/>
        <scheme val="none"/>
      </font>
    </dxf>
  </rfmt>
  <rfmt sheetId="5" sqref="I11" start="0" length="0">
    <dxf>
      <font>
        <sz val="12"/>
        <name val="Times New Roman"/>
        <scheme val="none"/>
      </font>
    </dxf>
  </rfmt>
  <rfmt sheetId="5" s="1" sqref="J11" start="0" length="0">
    <dxf>
      <font>
        <sz val="11"/>
        <color theme="1"/>
        <name val="Times New Roman"/>
        <scheme val="none"/>
      </font>
    </dxf>
  </rfmt>
  <rfmt sheetId="5" sqref="K11" start="0" length="0">
    <dxf>
      <font>
        <sz val="12"/>
        <name val="Times New Roman"/>
        <scheme val="none"/>
      </font>
      <alignment horizontal="center" vertical="center" wrapText="1" readingOrder="0"/>
      <border outline="0">
        <left style="thin">
          <color indexed="64"/>
        </left>
        <right style="thin">
          <color indexed="64"/>
        </right>
        <top style="thin">
          <color indexed="64"/>
        </top>
        <bottom style="thin">
          <color indexed="64"/>
        </bottom>
      </border>
    </dxf>
  </rfmt>
  <rfmt sheetId="5" sqref="L11" start="0" length="0">
    <dxf>
      <font>
        <sz val="12"/>
        <name val="Times New Roman"/>
        <scheme val="none"/>
      </font>
    </dxf>
  </rfmt>
  <rfmt sheetId="5" sqref="M11" start="0" length="0">
    <dxf>
      <font>
        <sz val="12"/>
        <name val="Times New Roman"/>
        <scheme val="none"/>
      </font>
    </dxf>
  </rfmt>
  <rfmt sheetId="5" sqref="N11" start="0" length="0">
    <dxf>
      <font>
        <sz val="12"/>
        <name val="Times New Roman"/>
        <scheme val="none"/>
      </font>
    </dxf>
  </rfmt>
  <rfmt sheetId="5" sqref="O11" start="0" length="0">
    <dxf>
      <font>
        <sz val="12"/>
        <name val="Times New Roman"/>
        <scheme val="none"/>
      </font>
    </dxf>
  </rfmt>
  <rfmt sheetId="5" sqref="P11" start="0" length="0">
    <dxf>
      <font>
        <sz val="12"/>
        <name val="Times New Roman"/>
        <scheme val="none"/>
      </font>
    </dxf>
  </rfmt>
  <rfmt sheetId="5" sqref="Q11" start="0" length="0">
    <dxf>
      <font>
        <sz val="12"/>
        <name val="Times New Roman"/>
        <scheme val="none"/>
      </font>
    </dxf>
  </rfmt>
  <rcc rId="7497" sId="5" odxf="1" dxf="1" numFmtId="4">
    <oc r="R11">
      <v>2578.1799999999998</v>
    </oc>
    <nc r="R11">
      <v>2742.58</v>
    </nc>
    <odxf>
      <font>
        <sz val="12"/>
        <name val="Times New Roman"/>
        <scheme val="none"/>
      </font>
    </odxf>
    <ndxf>
      <font>
        <sz val="12"/>
        <name val="Times New Roman"/>
        <scheme val="none"/>
      </font>
    </ndxf>
  </rcc>
  <rcc rId="7498" sId="5" odxf="1" dxf="1" numFmtId="4">
    <oc r="S11">
      <v>0</v>
    </oc>
    <nc r="S11">
      <v>2766.3440000000001</v>
    </nc>
    <odxf>
      <font>
        <sz val="12"/>
        <name val="Times New Roman"/>
        <scheme val="none"/>
      </font>
    </odxf>
    <ndxf>
      <font>
        <sz val="12"/>
        <name val="Times New Roman"/>
        <scheme val="none"/>
      </font>
    </ndxf>
  </rcc>
  <rcc rId="7499" sId="5" odxf="1" dxf="1" numFmtId="4">
    <oc r="T11">
      <v>2869.7550000000001</v>
    </oc>
    <nc r="T11">
      <v>2850.2550000000001</v>
    </nc>
    <odxf>
      <font>
        <sz val="12"/>
        <name val="Times New Roman"/>
        <scheme val="none"/>
      </font>
    </odxf>
    <ndxf>
      <font>
        <sz val="12"/>
        <name val="Times New Roman"/>
        <scheme val="none"/>
      </font>
    </ndxf>
  </rcc>
  <rfmt sheetId="5" sqref="U11" start="0" length="0">
    <dxf>
      <font>
        <sz val="12"/>
        <name val="Times New Roman"/>
        <scheme val="none"/>
      </font>
    </dxf>
  </rfmt>
  <rcc rId="7500" sId="5" odxf="1" dxf="1" numFmtId="4">
    <oc r="V11">
      <v>2363.33</v>
    </oc>
    <nc r="V11">
      <v>2309.23</v>
    </nc>
    <odxf>
      <font>
        <sz val="12"/>
        <name val="Times New Roman"/>
        <scheme val="none"/>
      </font>
    </odxf>
    <ndxf>
      <font>
        <sz val="12"/>
        <name val="Times New Roman"/>
        <scheme val="none"/>
      </font>
    </ndxf>
  </rcc>
  <rfmt sheetId="5" sqref="W11" start="0" length="0">
    <dxf>
      <font>
        <sz val="12"/>
        <name val="Times New Roman"/>
        <scheme val="none"/>
      </font>
    </dxf>
  </rfmt>
  <rcc rId="7501" sId="5" odxf="1" dxf="1" numFmtId="4">
    <oc r="X11">
      <v>2320.018</v>
    </oc>
    <nc r="X11">
      <v>2292.2179999999998</v>
    </nc>
    <odxf>
      <font>
        <sz val="12"/>
        <name val="Times New Roman"/>
        <scheme val="none"/>
      </font>
    </odxf>
    <ndxf>
      <font>
        <sz val="12"/>
        <name val="Times New Roman"/>
        <scheme val="none"/>
      </font>
    </ndxf>
  </rcc>
  <rfmt sheetId="5" sqref="Y11" start="0" length="0">
    <dxf>
      <font>
        <sz val="12"/>
        <name val="Times New Roman"/>
        <scheme val="none"/>
      </font>
    </dxf>
  </rfmt>
  <rcc rId="7502" sId="5" odxf="1" dxf="1" numFmtId="4">
    <oc r="Z11">
      <v>3541.2260000000001</v>
    </oc>
    <nc r="Z11">
      <v>3478.2260000000001</v>
    </nc>
    <odxf>
      <font>
        <sz val="12"/>
        <name val="Times New Roman"/>
        <scheme val="none"/>
      </font>
    </odxf>
    <ndxf>
      <font>
        <sz val="12"/>
        <name val="Times New Roman"/>
        <scheme val="none"/>
      </font>
    </ndxf>
  </rcc>
  <rfmt sheetId="5" sqref="AA11" start="0" length="0">
    <dxf>
      <font>
        <sz val="12"/>
        <name val="Times New Roman"/>
        <scheme val="none"/>
      </font>
    </dxf>
  </rfmt>
  <rfmt sheetId="5" sqref="AB11" start="0" length="0">
    <dxf>
      <font>
        <sz val="12"/>
        <name val="Times New Roman"/>
        <scheme val="none"/>
      </font>
    </dxf>
  </rfmt>
  <rfmt sheetId="5" sqref="AC11" start="0" length="0">
    <dxf>
      <font>
        <sz val="12"/>
        <name val="Times New Roman"/>
        <scheme val="none"/>
      </font>
    </dxf>
  </rfmt>
  <rfmt sheetId="5" sqref="AD11" start="0" length="0">
    <dxf>
      <font>
        <sz val="12"/>
        <name val="Times New Roman"/>
        <scheme val="none"/>
      </font>
    </dxf>
  </rfmt>
  <rfmt sheetId="5" sqref="AE11" start="0" length="0">
    <dxf>
      <font>
        <sz val="12"/>
        <name val="Times New Roman"/>
        <scheme val="none"/>
      </font>
    </dxf>
  </rfmt>
  <rfmt sheetId="5" sqref="H11:AE11" start="0" length="2147483647">
    <dxf>
      <font>
        <sz val="12"/>
      </font>
    </dxf>
  </rfmt>
  <rcc rId="7503" sId="5">
    <oc r="C11">
      <f>H11+J11+L11+N11+P11</f>
    </oc>
    <nc r="C11">
      <f>H11+J11+L11+N11+P11+R11</f>
    </nc>
  </rcc>
  <rcc rId="7504" sId="5">
    <oc r="D11">
      <f>H11+J11+L11+N11+P11</f>
    </oc>
    <nc r="D11">
      <f>H11+J11+L11+N11+P11+R11</f>
    </nc>
  </rcc>
  <rcc rId="7505" sId="5">
    <oc r="E11">
      <f>I11+K11+M11+O11+Q11</f>
    </oc>
    <nc r="E11">
      <f>I11+K11+M11+O11+Q11+S11</f>
    </nc>
  </rcc>
  <rfmt sheetId="5" sqref="H25" start="0" length="0">
    <dxf>
      <font>
        <sz val="12"/>
        <name val="Times New Roman"/>
        <scheme val="none"/>
      </font>
    </dxf>
  </rfmt>
  <rfmt sheetId="5" sqref="I25" start="0" length="0">
    <dxf>
      <font>
        <sz val="12"/>
        <name val="Times New Roman"/>
        <scheme val="none"/>
      </font>
    </dxf>
  </rfmt>
  <rfmt sheetId="5" sqref="J25" start="0" length="0">
    <dxf>
      <font>
        <sz val="12"/>
        <name val="Times New Roman"/>
        <scheme val="none"/>
      </font>
    </dxf>
  </rfmt>
  <rfmt sheetId="5" sqref="K25" start="0" length="0">
    <dxf>
      <font>
        <sz val="12"/>
        <name val="Times New Roman"/>
        <scheme val="none"/>
      </font>
    </dxf>
  </rfmt>
  <rfmt sheetId="5" sqref="L25" start="0" length="0">
    <dxf>
      <font>
        <sz val="12"/>
        <name val="Times New Roman"/>
        <scheme val="none"/>
      </font>
    </dxf>
  </rfmt>
  <rfmt sheetId="5" sqref="M25" start="0" length="0">
    <dxf>
      <font>
        <sz val="12"/>
        <name val="Times New Roman"/>
        <scheme val="none"/>
      </font>
    </dxf>
  </rfmt>
  <rfmt sheetId="5" sqref="N25" start="0" length="0">
    <dxf>
      <font>
        <sz val="12"/>
        <name val="Times New Roman"/>
        <scheme val="none"/>
      </font>
    </dxf>
  </rfmt>
  <rfmt sheetId="5" sqref="O25" start="0" length="0">
    <dxf>
      <font>
        <sz val="12"/>
        <name val="Times New Roman"/>
        <scheme val="none"/>
      </font>
    </dxf>
  </rfmt>
  <rfmt sheetId="5" sqref="P25" start="0" length="0">
    <dxf>
      <font>
        <sz val="12"/>
        <name val="Times New Roman"/>
        <scheme val="none"/>
      </font>
    </dxf>
  </rfmt>
  <rfmt sheetId="5" sqref="Q25" start="0" length="0">
    <dxf>
      <font>
        <sz val="12"/>
        <name val="Times New Roman"/>
        <scheme val="none"/>
      </font>
    </dxf>
  </rfmt>
  <rfmt sheetId="5" sqref="R25" start="0" length="0">
    <dxf>
      <font>
        <sz val="12"/>
        <name val="Times New Roman"/>
        <scheme val="none"/>
      </font>
    </dxf>
  </rfmt>
  <rcc rId="7506" sId="5" odxf="1" dxf="1" numFmtId="4">
    <oc r="S25">
      <v>0</v>
    </oc>
    <nc r="S25">
      <v>3561.4609999999998</v>
    </nc>
    <odxf>
      <font>
        <sz val="12"/>
        <name val="Times New Roman"/>
        <scheme val="none"/>
      </font>
    </odxf>
    <ndxf>
      <font>
        <sz val="12"/>
        <name val="Times New Roman"/>
        <scheme val="none"/>
      </font>
    </ndxf>
  </rcc>
  <rfmt sheetId="5" sqref="T25" start="0" length="0">
    <dxf>
      <font>
        <sz val="12"/>
        <name val="Times New Roman"/>
        <scheme val="none"/>
      </font>
    </dxf>
  </rfmt>
  <rfmt sheetId="5" sqref="U25" start="0" length="0">
    <dxf>
      <font>
        <sz val="12"/>
        <name val="Times New Roman"/>
        <scheme val="none"/>
      </font>
    </dxf>
  </rfmt>
  <rfmt sheetId="5" sqref="V25" start="0" length="0">
    <dxf>
      <font>
        <sz val="12"/>
        <name val="Times New Roman"/>
        <scheme val="none"/>
      </font>
    </dxf>
  </rfmt>
  <rfmt sheetId="5" sqref="W25" start="0" length="0">
    <dxf>
      <font>
        <sz val="12"/>
        <name val="Times New Roman"/>
        <scheme val="none"/>
      </font>
    </dxf>
  </rfmt>
  <rfmt sheetId="5" sqref="X25" start="0" length="0">
    <dxf>
      <font>
        <sz val="12"/>
        <name val="Times New Roman"/>
        <scheme val="none"/>
      </font>
    </dxf>
  </rfmt>
  <rfmt sheetId="5" sqref="Y25" start="0" length="0">
    <dxf>
      <font>
        <sz val="12"/>
        <name val="Times New Roman"/>
        <scheme val="none"/>
      </font>
    </dxf>
  </rfmt>
  <rfmt sheetId="5" sqref="Z25" start="0" length="0">
    <dxf>
      <font>
        <sz val="12"/>
        <name val="Times New Roman"/>
        <scheme val="none"/>
      </font>
    </dxf>
  </rfmt>
  <rfmt sheetId="5" sqref="AA25" start="0" length="0">
    <dxf>
      <font>
        <sz val="12"/>
        <name val="Times New Roman"/>
        <scheme val="none"/>
      </font>
    </dxf>
  </rfmt>
  <rfmt sheetId="5" sqref="AB25" start="0" length="0">
    <dxf>
      <font>
        <sz val="12"/>
        <name val="Times New Roman"/>
        <scheme val="none"/>
      </font>
    </dxf>
  </rfmt>
  <rfmt sheetId="5" sqref="AC25" start="0" length="0">
    <dxf>
      <font>
        <sz val="12"/>
        <name val="Times New Roman"/>
        <scheme val="none"/>
      </font>
    </dxf>
  </rfmt>
  <rfmt sheetId="5" sqref="AD25" start="0" length="0">
    <dxf>
      <font>
        <sz val="12"/>
        <name val="Times New Roman"/>
        <scheme val="none"/>
      </font>
    </dxf>
  </rfmt>
  <rfmt sheetId="5" sqref="AE25" start="0" length="0">
    <dxf>
      <font>
        <sz val="12"/>
        <name val="Times New Roman"/>
        <scheme val="none"/>
      </font>
    </dxf>
  </rfmt>
  <rfmt sheetId="5" sqref="H25:AE25" start="0" length="2147483647">
    <dxf>
      <font>
        <sz val="12"/>
      </font>
    </dxf>
  </rfmt>
  <rcc rId="7507" sId="5">
    <oc r="C25">
      <f>H25+J25+L25+N25+P25</f>
    </oc>
    <nc r="C25">
      <f>H25+J25+L25+N25+P25+R25</f>
    </nc>
  </rcc>
  <rcc rId="7508" sId="5">
    <oc r="D25">
      <f>H25+J25+L25+N25+P25</f>
    </oc>
    <nc r="D25">
      <f>H25+J25+L25+N25+P25+R25</f>
    </nc>
  </rcc>
  <rcc rId="7509" sId="5">
    <oc r="E25">
      <f>I25+K25+M25+O25+Q25</f>
    </oc>
    <nc r="E25">
      <f>I25+K25+M25+O25+Q25+S25</f>
    </nc>
  </rcc>
  <rfmt sheetId="5" s="1" sqref="H31" start="0" length="0">
    <dxf>
      <font>
        <sz val="11"/>
        <color theme="1"/>
        <name val="Times New Roman"/>
        <scheme val="none"/>
      </font>
    </dxf>
  </rfmt>
  <rfmt sheetId="5" sqref="I31" start="0" length="0">
    <dxf>
      <font>
        <sz val="12"/>
        <name val="Times New Roman"/>
        <scheme val="none"/>
      </font>
      <alignment horizontal="center" wrapText="1" readingOrder="0"/>
      <border outline="0">
        <left style="thin">
          <color indexed="64"/>
        </left>
        <right style="thin">
          <color indexed="64"/>
        </right>
        <top style="thin">
          <color indexed="64"/>
        </top>
        <bottom style="thin">
          <color indexed="64"/>
        </bottom>
      </border>
    </dxf>
  </rfmt>
  <rcc rId="7510" sId="5" odxf="1" dxf="1" numFmtId="4">
    <oc r="J31">
      <v>7735.1170000000002</v>
    </oc>
    <nc r="J31">
      <v>7648.817</v>
    </nc>
    <odxf>
      <font>
        <sz val="12"/>
        <name val="Times New Roman"/>
        <scheme val="none"/>
      </font>
      <alignment horizontal="general" wrapText="0" readingOrder="0"/>
      <border outline="0">
        <left/>
        <right/>
        <top/>
        <bottom/>
      </border>
    </odxf>
    <ndxf>
      <font>
        <sz val="12"/>
        <name val="Times New Roman"/>
        <scheme val="none"/>
      </font>
      <alignment horizontal="center" wrapText="1" readingOrder="0"/>
      <border outline="0">
        <left style="thin">
          <color indexed="64"/>
        </left>
        <right style="thin">
          <color indexed="64"/>
        </right>
        <top style="thin">
          <color indexed="64"/>
        </top>
        <bottom style="thin">
          <color indexed="64"/>
        </bottom>
      </border>
    </ndxf>
  </rcc>
  <rfmt sheetId="5" sqref="K31" start="0" length="0">
    <dxf>
      <font>
        <sz val="12"/>
        <name val="Times New Roman"/>
        <scheme val="none"/>
      </font>
      <alignment horizontal="center" wrapText="1" readingOrder="0"/>
      <border outline="0">
        <left style="thin">
          <color indexed="64"/>
        </left>
        <right style="thin">
          <color indexed="64"/>
        </right>
        <top style="thin">
          <color indexed="64"/>
        </top>
        <bottom style="thin">
          <color indexed="64"/>
        </bottom>
      </border>
    </dxf>
  </rfmt>
  <rfmt sheetId="5" s="1" sqref="L31" start="0" length="0">
    <dxf>
      <font>
        <sz val="11"/>
        <color theme="1"/>
        <name val="Times New Roman"/>
        <scheme val="none"/>
      </font>
    </dxf>
  </rfmt>
  <rfmt sheetId="5" sqref="M31" start="0" length="0">
    <dxf>
      <font>
        <sz val="12"/>
        <name val="Times New Roman"/>
        <scheme val="none"/>
      </font>
      <alignment horizontal="center" wrapText="1" readingOrder="0"/>
      <border outline="0">
        <left style="thin">
          <color indexed="64"/>
        </left>
        <right style="thin">
          <color indexed="64"/>
        </right>
        <top style="thin">
          <color indexed="64"/>
        </top>
        <bottom style="thin">
          <color indexed="64"/>
        </bottom>
      </border>
    </dxf>
  </rfmt>
  <rfmt sheetId="5" s="1" sqref="N31" start="0" length="0">
    <dxf>
      <font>
        <sz val="11"/>
        <color theme="1"/>
        <name val="Times New Roman"/>
        <scheme val="none"/>
      </font>
    </dxf>
  </rfmt>
  <rfmt sheetId="5" sqref="O31" start="0" length="0">
    <dxf>
      <font>
        <sz val="12"/>
        <name val="Times New Roman"/>
        <scheme val="none"/>
      </font>
      <alignment horizontal="center" wrapText="1" readingOrder="0"/>
      <border outline="0">
        <left style="thin">
          <color indexed="64"/>
        </left>
        <right style="thin">
          <color indexed="64"/>
        </right>
        <top style="thin">
          <color indexed="64"/>
        </top>
        <bottom style="thin">
          <color indexed="64"/>
        </bottom>
      </border>
    </dxf>
  </rfmt>
  <rfmt sheetId="5" s="1" sqref="P31" start="0" length="0">
    <dxf>
      <font>
        <sz val="11"/>
        <color theme="1"/>
        <name val="Times New Roman"/>
        <scheme val="none"/>
      </font>
    </dxf>
  </rfmt>
  <rfmt sheetId="5" s="1" sqref="Q31" start="0" length="0">
    <dxf>
      <font>
        <sz val="11"/>
        <color theme="1"/>
        <name val="Times New Roman"/>
        <scheme val="none"/>
      </font>
    </dxf>
  </rfmt>
  <rfmt sheetId="5" s="1" sqref="R31" start="0" length="0">
    <dxf>
      <font>
        <sz val="11"/>
        <color theme="1"/>
        <name val="Times New Roman"/>
        <scheme val="none"/>
      </font>
    </dxf>
  </rfmt>
  <rcc rId="7511" sId="5" odxf="1" dxf="1" numFmtId="4">
    <nc r="S31">
      <v>7532.3419999999996</v>
    </nc>
    <odxf>
      <font>
        <sz val="12"/>
        <name val="Times New Roman"/>
        <scheme val="none"/>
      </font>
      <alignment horizontal="general" wrapText="0" readingOrder="0"/>
      <border outline="0">
        <left/>
        <right/>
        <top/>
        <bottom/>
      </border>
    </odxf>
    <ndxf>
      <font>
        <sz val="12"/>
        <name val="Times New Roman"/>
        <scheme val="none"/>
      </font>
      <alignment horizontal="center" wrapText="1" readingOrder="0"/>
      <border outline="0">
        <left style="thin">
          <color indexed="64"/>
        </left>
        <right style="thin">
          <color indexed="64"/>
        </right>
        <top style="thin">
          <color indexed="64"/>
        </top>
        <bottom style="thin">
          <color indexed="64"/>
        </bottom>
      </border>
    </ndxf>
  </rcc>
  <rcc rId="7512" sId="5" odxf="1" s="1" dxf="1" numFmtId="4">
    <oc r="T31">
      <v>7385.26</v>
    </oc>
    <nc r="T31">
      <v>7421.77</v>
    </nc>
    <odxf>
      <font>
        <b val="0"/>
        <i val="0"/>
        <strike val="0"/>
        <condense val="0"/>
        <extend val="0"/>
        <outline val="0"/>
        <shadow val="0"/>
        <u val="none"/>
        <vertAlign val="baseline"/>
        <sz val="12"/>
        <color theme="1"/>
        <name val="Times New Roman"/>
        <scheme val="none"/>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1"/>
        <color theme="1"/>
        <name val="Times New Roman"/>
        <scheme val="none"/>
      </font>
    </ndxf>
  </rcc>
  <rfmt sheetId="5" sqref="U31" start="0" length="0">
    <dxf>
      <font>
        <sz val="12"/>
        <name val="Times New Roman"/>
        <scheme val="none"/>
      </font>
      <alignment horizontal="center" wrapText="1" readingOrder="0"/>
      <border outline="0">
        <left style="thin">
          <color indexed="64"/>
        </left>
        <right style="thin">
          <color indexed="64"/>
        </right>
        <top style="thin">
          <color indexed="64"/>
        </top>
        <bottom style="thin">
          <color indexed="64"/>
        </bottom>
      </border>
    </dxf>
  </rfmt>
  <rcc rId="7513" sId="5" odxf="1" s="1" dxf="1" numFmtId="4">
    <oc r="V31">
      <v>6534.68</v>
    </oc>
    <nc r="V31">
      <v>6571.1930000000002</v>
    </nc>
    <odxf>
      <font>
        <b val="0"/>
        <i val="0"/>
        <strike val="0"/>
        <condense val="0"/>
        <extend val="0"/>
        <outline val="0"/>
        <shadow val="0"/>
        <u val="none"/>
        <vertAlign val="baseline"/>
        <sz val="12"/>
        <color theme="1"/>
        <name val="Times New Roman"/>
        <scheme val="none"/>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1"/>
        <color theme="1"/>
        <name val="Times New Roman"/>
        <scheme val="none"/>
      </font>
    </ndxf>
  </rcc>
  <rfmt sheetId="5" sqref="W31" start="0" length="0">
    <dxf>
      <font>
        <sz val="12"/>
        <name val="Times New Roman"/>
        <scheme val="none"/>
      </font>
      <alignment horizontal="center" wrapText="1" readingOrder="0"/>
      <border outline="0">
        <left style="thin">
          <color indexed="64"/>
        </left>
        <right style="thin">
          <color indexed="64"/>
        </right>
        <top style="thin">
          <color indexed="64"/>
        </top>
        <bottom style="thin">
          <color indexed="64"/>
        </bottom>
      </border>
    </dxf>
  </rfmt>
  <rcc rId="7514" sId="5" odxf="1" s="1" dxf="1" numFmtId="4">
    <oc r="X31">
      <v>4323.83</v>
    </oc>
    <nc r="X31">
      <v>4360.335</v>
    </nc>
    <odxf>
      <font>
        <b val="0"/>
        <i val="0"/>
        <strike val="0"/>
        <condense val="0"/>
        <extend val="0"/>
        <outline val="0"/>
        <shadow val="0"/>
        <u val="none"/>
        <vertAlign val="baseline"/>
        <sz val="12"/>
        <color theme="1"/>
        <name val="Times New Roman"/>
        <scheme val="none"/>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1"/>
        <color theme="1"/>
        <name val="Times New Roman"/>
        <scheme val="none"/>
      </font>
    </ndxf>
  </rcc>
  <rfmt sheetId="5" sqref="Y31" start="0" length="0">
    <dxf>
      <font>
        <sz val="12"/>
        <name val="Times New Roman"/>
        <scheme val="none"/>
      </font>
      <alignment horizontal="center" wrapText="1" readingOrder="0"/>
      <border outline="0">
        <left style="thin">
          <color indexed="64"/>
        </left>
        <right style="thin">
          <color indexed="64"/>
        </right>
        <top style="thin">
          <color indexed="64"/>
        </top>
        <bottom style="thin">
          <color indexed="64"/>
        </bottom>
      </border>
    </dxf>
  </rfmt>
  <rcc rId="7515" sId="5" odxf="1" s="1" dxf="1" numFmtId="4">
    <oc r="Z31">
      <v>5569.06</v>
    </oc>
    <nc r="Z31">
      <v>5605.5739999999996</v>
    </nc>
    <odxf>
      <font>
        <b val="0"/>
        <i val="0"/>
        <strike val="0"/>
        <condense val="0"/>
        <extend val="0"/>
        <outline val="0"/>
        <shadow val="0"/>
        <u val="none"/>
        <vertAlign val="baseline"/>
        <sz val="12"/>
        <color theme="1"/>
        <name val="Times New Roman"/>
        <scheme val="none"/>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1"/>
        <color theme="1"/>
        <name val="Times New Roman"/>
        <scheme val="none"/>
      </font>
    </ndxf>
  </rcc>
  <rfmt sheetId="5" sqref="AA31" start="0" length="0">
    <dxf>
      <font>
        <sz val="12"/>
        <name val="Times New Roman"/>
        <scheme val="none"/>
      </font>
      <alignment horizontal="center" wrapText="1" readingOrder="0"/>
      <border outline="0">
        <left style="thin">
          <color indexed="64"/>
        </left>
        <right style="thin">
          <color indexed="64"/>
        </right>
        <top style="thin">
          <color indexed="64"/>
        </top>
        <bottom style="thin">
          <color indexed="64"/>
        </bottom>
      </border>
    </dxf>
  </rfmt>
  <rcc rId="7516" sId="5" odxf="1" s="1" dxf="1" numFmtId="4">
    <oc r="AB31">
      <v>5120.87</v>
    </oc>
    <nc r="AB31">
      <v>5157.3819999999996</v>
    </nc>
    <odxf>
      <font>
        <b val="0"/>
        <i val="0"/>
        <strike val="0"/>
        <condense val="0"/>
        <extend val="0"/>
        <outline val="0"/>
        <shadow val="0"/>
        <u val="none"/>
        <vertAlign val="baseline"/>
        <sz val="12"/>
        <color theme="1"/>
        <name val="Times New Roman"/>
        <scheme val="none"/>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1"/>
        <color theme="1"/>
        <name val="Times New Roman"/>
        <scheme val="none"/>
      </font>
    </ndxf>
  </rcc>
  <rfmt sheetId="5" sqref="AC31" start="0" length="0">
    <dxf>
      <font>
        <sz val="12"/>
        <name val="Times New Roman"/>
        <scheme val="none"/>
      </font>
      <alignment horizontal="center" wrapText="1" readingOrder="0"/>
      <border outline="0">
        <left style="thin">
          <color indexed="64"/>
        </left>
        <right style="thin">
          <color indexed="64"/>
        </right>
        <top style="thin">
          <color indexed="64"/>
        </top>
        <bottom style="thin">
          <color indexed="64"/>
        </bottom>
      </border>
    </dxf>
  </rfmt>
  <rcc rId="7517" sId="5" odxf="1" s="1" dxf="1" numFmtId="4">
    <oc r="AD31">
      <v>5059.82</v>
    </oc>
    <nc r="AD31">
      <v>5096.3289999999997</v>
    </nc>
    <odxf>
      <font>
        <b val="0"/>
        <i val="0"/>
        <strike val="0"/>
        <condense val="0"/>
        <extend val="0"/>
        <outline val="0"/>
        <shadow val="0"/>
        <u val="none"/>
        <vertAlign val="baseline"/>
        <sz val="12"/>
        <color theme="1"/>
        <name val="Times New Roman"/>
        <scheme val="none"/>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1"/>
        <color theme="1"/>
        <name val="Times New Roman"/>
        <scheme val="none"/>
      </font>
    </ndxf>
  </rcc>
  <rfmt sheetId="5" sqref="AE31" start="0" length="0">
    <dxf>
      <font>
        <sz val="12"/>
        <name val="Times New Roman"/>
        <scheme val="none"/>
      </font>
    </dxf>
  </rfmt>
  <rfmt sheetId="5" sqref="H31:AE31" start="0" length="2147483647">
    <dxf>
      <font>
        <sz val="12"/>
      </font>
    </dxf>
  </rfmt>
  <rcc rId="7518" sId="5">
    <oc r="C31">
      <f>H31+J31+L31+N31+P31</f>
    </oc>
    <nc r="C31">
      <f>H31+J31+L31+N31+P31+R31</f>
    </nc>
  </rcc>
  <rcc rId="7519" sId="5">
    <oc r="D31">
      <f>H31+J31+L31+N31+P31</f>
    </oc>
    <nc r="D31">
      <f>H31+J31+L31+N31+P31+R31</f>
    </nc>
  </rcc>
  <rcc rId="7520" sId="5">
    <oc r="E31">
      <f>I31+K31+M31+O31+Q31</f>
    </oc>
    <nc r="E31">
      <f>I31+K31+M31+O31+Q31+S31</f>
    </nc>
  </rcc>
  <rcc rId="7521" sId="5" numFmtId="4">
    <oc r="X34">
      <v>0</v>
    </oc>
    <nc r="X34">
      <v>1456</v>
    </nc>
  </rcc>
  <rfmt sheetId="5" s="1" sqref="H37" start="0" length="0">
    <dxf>
      <font>
        <sz val="11"/>
        <color theme="1"/>
        <name val="Times New Roman"/>
        <scheme val="none"/>
      </font>
      <alignment vertical="center" readingOrder="0"/>
    </dxf>
  </rfmt>
  <rfmt sheetId="5" sqref="I37" start="0" length="0">
    <dxf>
      <font>
        <sz val="12"/>
        <name val="Times New Roman"/>
        <scheme val="none"/>
      </font>
      <alignment vertical="center" readingOrder="0"/>
      <border outline="0">
        <left style="thin">
          <color indexed="64"/>
        </left>
        <right style="thin">
          <color indexed="64"/>
        </right>
        <top style="thin">
          <color indexed="64"/>
        </top>
        <bottom style="thin">
          <color indexed="64"/>
        </bottom>
      </border>
    </dxf>
  </rfmt>
  <rfmt sheetId="5" s="1" sqref="J37" start="0" length="0">
    <dxf>
      <font>
        <sz val="11"/>
        <color theme="1"/>
        <name val="Times New Roman"/>
        <scheme val="none"/>
      </font>
      <alignment vertical="center" readingOrder="0"/>
    </dxf>
  </rfmt>
  <rfmt sheetId="5" sqref="K37" start="0" length="0">
    <dxf>
      <font>
        <sz val="12"/>
        <name val="Times New Roman"/>
        <scheme val="none"/>
      </font>
      <alignment vertical="center" readingOrder="0"/>
      <border outline="0">
        <left style="thin">
          <color indexed="64"/>
        </left>
        <right style="thin">
          <color indexed="64"/>
        </right>
        <top style="thin">
          <color indexed="64"/>
        </top>
        <bottom style="thin">
          <color indexed="64"/>
        </bottom>
      </border>
    </dxf>
  </rfmt>
  <rfmt sheetId="5" s="1" sqref="L37" start="0" length="0">
    <dxf>
      <font>
        <sz val="11"/>
        <color theme="1"/>
        <name val="Times New Roman"/>
        <scheme val="none"/>
      </font>
      <alignment vertical="center" readingOrder="0"/>
    </dxf>
  </rfmt>
  <rfmt sheetId="5" sqref="M37" start="0" length="0">
    <dxf>
      <font>
        <sz val="12"/>
        <name val="Times New Roman"/>
        <scheme val="none"/>
      </font>
      <alignment vertical="center" readingOrder="0"/>
      <border outline="0">
        <left style="thin">
          <color indexed="64"/>
        </left>
        <right style="thin">
          <color indexed="64"/>
        </right>
        <top style="thin">
          <color indexed="64"/>
        </top>
        <bottom style="thin">
          <color indexed="64"/>
        </bottom>
      </border>
    </dxf>
  </rfmt>
  <rfmt sheetId="5" s="1" sqref="N37" start="0" length="0">
    <dxf>
      <font>
        <sz val="11"/>
        <color theme="1"/>
        <name val="Times New Roman"/>
        <scheme val="none"/>
      </font>
      <alignment vertical="center" readingOrder="0"/>
    </dxf>
  </rfmt>
  <rfmt sheetId="5" sqref="O37" start="0" length="0">
    <dxf>
      <font>
        <sz val="12"/>
        <name val="Times New Roman"/>
        <scheme val="none"/>
      </font>
      <alignment vertical="center" readingOrder="0"/>
      <border outline="0">
        <left style="thin">
          <color indexed="64"/>
        </left>
        <right style="thin">
          <color indexed="64"/>
        </right>
        <top style="thin">
          <color indexed="64"/>
        </top>
        <bottom style="thin">
          <color indexed="64"/>
        </bottom>
      </border>
    </dxf>
  </rfmt>
  <rfmt sheetId="5" s="1" sqref="P37" start="0" length="0">
    <dxf>
      <font>
        <sz val="11"/>
        <color theme="1"/>
        <name val="Times New Roman"/>
        <scheme val="none"/>
      </font>
      <alignment vertical="center" readingOrder="0"/>
    </dxf>
  </rfmt>
  <rfmt sheetId="5" s="1" sqref="Q37" start="0" length="0">
    <dxf>
      <font>
        <sz val="11"/>
        <color theme="1"/>
        <name val="Times New Roman"/>
        <scheme val="none"/>
      </font>
      <alignment vertical="center" readingOrder="0"/>
    </dxf>
  </rfmt>
  <rcc rId="7522" sId="5" odxf="1" s="1" dxf="1" numFmtId="4">
    <oc r="R37">
      <v>13552.92</v>
    </oc>
    <nc r="R37">
      <v>15010.114</v>
    </nc>
    <odxf>
      <font>
        <b val="0"/>
        <i val="0"/>
        <strike val="0"/>
        <condense val="0"/>
        <extend val="0"/>
        <outline val="0"/>
        <shadow val="0"/>
        <u val="none"/>
        <vertAlign val="baseline"/>
        <sz val="12"/>
        <color theme="1"/>
        <name val="Times New Roman"/>
        <scheme val="none"/>
      </font>
      <numFmt numFmtId="171" formatCode="#,##0.0"/>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1"/>
        <color theme="1"/>
        <name val="Times New Roman"/>
        <scheme val="none"/>
      </font>
      <alignment vertical="center" readingOrder="0"/>
    </ndxf>
  </rcc>
  <rcc rId="7523" sId="5" odxf="1" dxf="1" numFmtId="4">
    <oc r="S37">
      <v>0</v>
    </oc>
    <nc r="S37">
      <v>11750.573</v>
    </nc>
    <odxf>
      <font>
        <sz val="12"/>
        <name val="Times New Roman"/>
        <scheme val="none"/>
      </font>
      <alignment vertical="top" readingOrder="0"/>
      <border outline="0">
        <left/>
        <right/>
        <top/>
        <bottom/>
      </border>
    </odxf>
    <ndxf>
      <font>
        <sz val="12"/>
        <name val="Times New Roman"/>
        <scheme val="none"/>
      </font>
      <alignment vertical="center" readingOrder="0"/>
      <border outline="0">
        <left style="thin">
          <color indexed="64"/>
        </left>
        <right style="thin">
          <color indexed="64"/>
        </right>
        <top style="thin">
          <color indexed="64"/>
        </top>
        <bottom style="thin">
          <color indexed="64"/>
        </bottom>
      </border>
    </ndxf>
  </rcc>
  <rcc rId="7524" sId="5" odxf="1" s="1" dxf="1" numFmtId="4">
    <oc r="T37">
      <v>19357.685000000001</v>
    </oc>
    <nc r="T37">
      <v>18656.772000000001</v>
    </nc>
    <odxf>
      <font>
        <b val="0"/>
        <i val="0"/>
        <strike val="0"/>
        <condense val="0"/>
        <extend val="0"/>
        <outline val="0"/>
        <shadow val="0"/>
        <u val="none"/>
        <vertAlign val="baseline"/>
        <sz val="12"/>
        <color theme="1"/>
        <name val="Times New Roman"/>
        <scheme val="none"/>
      </font>
      <numFmt numFmtId="171" formatCode="#,##0.0"/>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1"/>
        <color theme="1"/>
        <name val="Times New Roman"/>
        <scheme val="none"/>
      </font>
      <alignment vertical="center" readingOrder="0"/>
    </ndxf>
  </rcc>
  <rfmt sheetId="5" sqref="U37" start="0" length="0">
    <dxf>
      <font>
        <sz val="12"/>
        <name val="Times New Roman"/>
        <scheme val="none"/>
      </font>
      <alignment vertical="center" readingOrder="0"/>
      <border outline="0">
        <left style="thin">
          <color indexed="64"/>
        </left>
        <right style="thin">
          <color indexed="64"/>
        </right>
        <top style="thin">
          <color indexed="64"/>
        </top>
        <bottom style="thin">
          <color indexed="64"/>
        </bottom>
      </border>
    </dxf>
  </rfmt>
  <rcc rId="7525" sId="5" odxf="1" dxf="1" numFmtId="4">
    <oc r="V37">
      <v>12579.42</v>
    </oc>
    <nc r="V37">
      <v>12519.42</v>
    </nc>
    <odxf>
      <font>
        <sz val="12"/>
        <name val="Times New Roman"/>
        <scheme val="none"/>
      </font>
      <alignment vertical="top" readingOrder="0"/>
      <border outline="0">
        <left/>
        <right/>
        <top/>
        <bottom/>
      </border>
    </odxf>
    <ndxf>
      <font>
        <sz val="12"/>
        <name val="Times New Roman"/>
        <scheme val="none"/>
      </font>
      <alignment vertical="center" readingOrder="0"/>
      <border outline="0">
        <left style="thin">
          <color indexed="64"/>
        </left>
        <right style="thin">
          <color indexed="64"/>
        </right>
        <top style="thin">
          <color indexed="64"/>
        </top>
        <bottom style="thin">
          <color indexed="64"/>
        </bottom>
      </border>
    </ndxf>
  </rcc>
  <rfmt sheetId="5" sqref="W37" start="0" length="0">
    <dxf>
      <font>
        <sz val="12"/>
        <name val="Times New Roman"/>
        <scheme val="none"/>
      </font>
      <alignment vertical="center" readingOrder="0"/>
      <border outline="0">
        <left style="thin">
          <color indexed="64"/>
        </left>
        <right style="thin">
          <color indexed="64"/>
        </right>
        <top style="thin">
          <color indexed="64"/>
        </top>
        <bottom style="thin">
          <color indexed="64"/>
        </bottom>
      </border>
    </dxf>
  </rfmt>
  <rcc rId="7526" sId="5" odxf="1" s="1" dxf="1" numFmtId="4">
    <oc r="X37">
      <v>9151.1129999999994</v>
    </oc>
    <nc r="X37">
      <v>9121.1129999999994</v>
    </nc>
    <odxf>
      <font>
        <b val="0"/>
        <i val="0"/>
        <strike val="0"/>
        <condense val="0"/>
        <extend val="0"/>
        <outline val="0"/>
        <shadow val="0"/>
        <u val="none"/>
        <vertAlign val="baseline"/>
        <sz val="12"/>
        <color theme="1"/>
        <name val="Times New Roman"/>
        <scheme val="none"/>
      </font>
      <numFmt numFmtId="171" formatCode="#,##0.0"/>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1"/>
        <color theme="1"/>
        <name val="Times New Roman"/>
        <scheme val="none"/>
      </font>
      <alignment vertical="center" readingOrder="0"/>
    </ndxf>
  </rcc>
  <rfmt sheetId="5" sqref="Y37" start="0" length="0">
    <dxf>
      <font>
        <sz val="12"/>
        <name val="Times New Roman"/>
        <scheme val="none"/>
      </font>
      <alignment vertical="center" readingOrder="0"/>
      <border outline="0">
        <left style="thin">
          <color indexed="64"/>
        </left>
        <right style="thin">
          <color indexed="64"/>
        </right>
        <top style="thin">
          <color indexed="64"/>
        </top>
        <bottom style="thin">
          <color indexed="64"/>
        </bottom>
      </border>
    </dxf>
  </rfmt>
  <rcc rId="7527" sId="5" odxf="1" s="1" dxf="1" numFmtId="4">
    <oc r="Z37">
      <v>13118.303</v>
    </oc>
    <nc r="Z37">
      <v>13074.12</v>
    </nc>
    <odxf>
      <font>
        <b val="0"/>
        <i val="0"/>
        <strike val="0"/>
        <condense val="0"/>
        <extend val="0"/>
        <outline val="0"/>
        <shadow val="0"/>
        <u val="none"/>
        <vertAlign val="baseline"/>
        <sz val="12"/>
        <color theme="1"/>
        <name val="Times New Roman"/>
        <scheme val="none"/>
      </font>
      <numFmt numFmtId="171" formatCode="#,##0.0"/>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1"/>
        <color theme="1"/>
        <name val="Times New Roman"/>
        <scheme val="none"/>
      </font>
      <alignment vertical="center" readingOrder="0"/>
    </ndxf>
  </rcc>
  <rfmt sheetId="5" sqref="AA37" start="0" length="0">
    <dxf>
      <font>
        <sz val="12"/>
        <name val="Times New Roman"/>
        <scheme val="none"/>
      </font>
      <alignment vertical="center" readingOrder="0"/>
      <border outline="0">
        <left style="thin">
          <color indexed="64"/>
        </left>
        <right style="thin">
          <color indexed="64"/>
        </right>
        <top style="thin">
          <color indexed="64"/>
        </top>
        <bottom style="thin">
          <color indexed="64"/>
        </bottom>
      </border>
    </dxf>
  </rfmt>
  <rcc rId="7528" sId="5" odxf="1" s="1" dxf="1" numFmtId="4">
    <oc r="AB37">
      <v>9115.8340000000007</v>
    </oc>
    <nc r="AB37">
      <v>11958.134</v>
    </nc>
    <odxf>
      <font>
        <b val="0"/>
        <i val="0"/>
        <strike val="0"/>
        <condense val="0"/>
        <extend val="0"/>
        <outline val="0"/>
        <shadow val="0"/>
        <u val="none"/>
        <vertAlign val="baseline"/>
        <sz val="12"/>
        <color theme="1"/>
        <name val="Times New Roman"/>
        <scheme val="none"/>
      </font>
      <numFmt numFmtId="171" formatCode="#,##0.0"/>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1"/>
        <color theme="1"/>
        <name val="Times New Roman"/>
        <scheme val="none"/>
      </font>
      <alignment vertical="center" readingOrder="0"/>
    </ndxf>
  </rcc>
  <rfmt sheetId="5" sqref="AC37" start="0" length="0">
    <dxf>
      <font>
        <sz val="12"/>
        <name val="Times New Roman"/>
        <scheme val="none"/>
      </font>
      <alignment vertical="center" readingOrder="0"/>
      <border outline="0">
        <left style="thin">
          <color indexed="64"/>
        </left>
        <right style="thin">
          <color indexed="64"/>
        </right>
        <top style="thin">
          <color indexed="64"/>
        </top>
        <bottom style="thin">
          <color indexed="64"/>
        </bottom>
      </border>
    </dxf>
  </rfmt>
  <rcc rId="7529" sId="5" odxf="1" s="1" dxf="1" numFmtId="4">
    <oc r="AD37">
      <v>14274.029</v>
    </oc>
    <nc r="AD37">
      <v>13651.93</v>
    </nc>
    <odxf>
      <font>
        <b val="0"/>
        <i val="0"/>
        <strike val="0"/>
        <condense val="0"/>
        <extend val="0"/>
        <outline val="0"/>
        <shadow val="0"/>
        <u val="none"/>
        <vertAlign val="baseline"/>
        <sz val="12"/>
        <color theme="1"/>
        <name val="Times New Roman"/>
        <scheme val="none"/>
      </font>
      <numFmt numFmtId="171" formatCode="#,##0.0"/>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1"/>
        <color theme="1"/>
        <name val="Times New Roman"/>
        <scheme val="none"/>
      </font>
      <alignment vertical="center" readingOrder="0"/>
    </ndxf>
  </rcc>
  <rfmt sheetId="5" sqref="AE37" start="0" length="0">
    <dxf>
      <font>
        <sz val="12"/>
        <name val="Times New Roman"/>
        <scheme val="none"/>
      </font>
      <alignment vertical="center" readingOrder="0"/>
      <border outline="0">
        <left style="thin">
          <color indexed="64"/>
        </left>
        <right style="thin">
          <color indexed="64"/>
        </right>
        <top style="thin">
          <color indexed="64"/>
        </top>
        <bottom style="thin">
          <color indexed="64"/>
        </bottom>
      </border>
    </dxf>
  </rfmt>
  <rfmt sheetId="5" sqref="H37:AE37" start="0" length="2147483647">
    <dxf>
      <font>
        <sz val="12"/>
      </font>
    </dxf>
  </rfmt>
  <rfmt sheetId="5" sqref="H37:AE37">
    <dxf>
      <alignment vertical="bottom" readingOrder="0"/>
    </dxf>
  </rfmt>
  <rfmt sheetId="5" s="1" sqref="H40" start="0" length="0">
    <dxf>
      <font>
        <sz val="11"/>
        <color theme="1"/>
        <name val="Times New Roman"/>
        <scheme val="none"/>
      </font>
      <alignment horizontal="center" readingOrder="0"/>
    </dxf>
  </rfmt>
  <rfmt sheetId="5" sqref="I40" start="0" length="0">
    <dxf>
      <font>
        <sz val="12"/>
        <name val="Times New Roman"/>
        <scheme val="none"/>
      </font>
      <alignment horizontal="center" readingOrder="0"/>
      <border outline="0">
        <left style="thin">
          <color indexed="64"/>
        </left>
        <right style="thin">
          <color indexed="64"/>
        </right>
        <top style="thin">
          <color indexed="64"/>
        </top>
        <bottom style="thin">
          <color indexed="64"/>
        </bottom>
      </border>
    </dxf>
  </rfmt>
  <rfmt sheetId="5" s="1" sqref="J40" start="0" length="0">
    <dxf>
      <font>
        <sz val="11"/>
        <color theme="1"/>
        <name val="Times New Roman"/>
        <scheme val="none"/>
      </font>
      <alignment horizontal="center" readingOrder="0"/>
    </dxf>
  </rfmt>
  <rfmt sheetId="5" sqref="K40" start="0" length="0">
    <dxf>
      <font>
        <sz val="12"/>
        <name val="Times New Roman"/>
        <scheme val="none"/>
      </font>
      <alignment horizontal="center" readingOrder="0"/>
      <border outline="0">
        <left style="thin">
          <color indexed="64"/>
        </left>
        <right style="thin">
          <color indexed="64"/>
        </right>
        <top style="thin">
          <color indexed="64"/>
        </top>
        <bottom style="thin">
          <color indexed="64"/>
        </bottom>
      </border>
    </dxf>
  </rfmt>
  <rfmt sheetId="5" s="1" sqref="L40" start="0" length="0">
    <dxf>
      <font>
        <sz val="11"/>
        <color theme="1"/>
        <name val="Times New Roman"/>
        <scheme val="none"/>
      </font>
      <alignment horizontal="center" readingOrder="0"/>
    </dxf>
  </rfmt>
  <rfmt sheetId="5" sqref="M40" start="0" length="0">
    <dxf>
      <font>
        <sz val="12"/>
        <name val="Times New Roman"/>
        <scheme val="none"/>
      </font>
      <alignment horizontal="center" readingOrder="0"/>
      <border outline="0">
        <left style="thin">
          <color indexed="64"/>
        </left>
        <right style="thin">
          <color indexed="64"/>
        </right>
        <top style="thin">
          <color indexed="64"/>
        </top>
        <bottom style="thin">
          <color indexed="64"/>
        </bottom>
      </border>
    </dxf>
  </rfmt>
  <rfmt sheetId="5" s="1" sqref="N40" start="0" length="0">
    <dxf>
      <font>
        <sz val="11"/>
        <color theme="1"/>
        <name val="Times New Roman"/>
        <scheme val="none"/>
      </font>
      <alignment horizontal="center" readingOrder="0"/>
    </dxf>
  </rfmt>
  <rfmt sheetId="5" sqref="O40" start="0" length="0">
    <dxf>
      <font>
        <sz val="12"/>
        <name val="Times New Roman"/>
        <scheme val="none"/>
      </font>
      <alignment horizontal="center" readingOrder="0"/>
      <border outline="0">
        <left style="thin">
          <color indexed="64"/>
        </left>
        <right style="thin">
          <color indexed="64"/>
        </right>
        <top style="thin">
          <color indexed="64"/>
        </top>
        <bottom style="thin">
          <color indexed="64"/>
        </bottom>
      </border>
    </dxf>
  </rfmt>
  <rfmt sheetId="5" s="1" sqref="P40" start="0" length="0">
    <dxf>
      <font>
        <sz val="11"/>
        <color theme="1"/>
        <name val="Times New Roman"/>
        <scheme val="none"/>
      </font>
      <alignment horizontal="center" readingOrder="0"/>
    </dxf>
  </rfmt>
  <rfmt sheetId="5" s="1" sqref="Q40" start="0" length="0">
    <dxf>
      <font>
        <sz val="11"/>
        <color theme="1"/>
        <name val="Times New Roman"/>
        <scheme val="none"/>
      </font>
      <alignment horizontal="center" readingOrder="0"/>
    </dxf>
  </rfmt>
  <rfmt sheetId="5" s="1" sqref="R40" start="0" length="0">
    <dxf>
      <font>
        <sz val="11"/>
        <color theme="1"/>
        <name val="Times New Roman"/>
        <scheme val="none"/>
      </font>
      <alignment horizontal="center" readingOrder="0"/>
    </dxf>
  </rfmt>
  <rcc rId="7530" sId="5" odxf="1" dxf="1" numFmtId="4">
    <oc r="S40">
      <v>0</v>
    </oc>
    <nc r="S40">
      <v>2604.7240000000002</v>
    </nc>
    <odxf>
      <font>
        <sz val="12"/>
        <name val="Times New Roman"/>
        <scheme val="none"/>
      </font>
      <alignment horizontal="right" readingOrder="0"/>
      <border outline="0">
        <left/>
        <right/>
        <top/>
        <bottom/>
      </border>
    </odxf>
    <ndxf>
      <font>
        <sz val="12"/>
        <name val="Times New Roman"/>
        <scheme val="none"/>
      </font>
      <alignment horizontal="center" readingOrder="0"/>
      <border outline="0">
        <left style="thin">
          <color indexed="64"/>
        </left>
        <right style="thin">
          <color indexed="64"/>
        </right>
        <top style="thin">
          <color indexed="64"/>
        </top>
        <bottom style="thin">
          <color indexed="64"/>
        </bottom>
      </border>
    </ndxf>
  </rcc>
  <rcc rId="7531" sId="5" odxf="1" s="1" dxf="1" numFmtId="4">
    <oc r="T40">
      <v>2291.114</v>
    </oc>
    <nc r="T40">
      <v>2333.4450000000002</v>
    </nc>
    <odxf>
      <font>
        <b val="0"/>
        <i val="0"/>
        <strike val="0"/>
        <condense val="0"/>
        <extend val="0"/>
        <outline val="0"/>
        <shadow val="0"/>
        <u val="none"/>
        <vertAlign val="baseline"/>
        <sz val="12"/>
        <color theme="1"/>
        <name val="Times New Roman"/>
        <scheme val="none"/>
      </font>
      <numFmt numFmtId="171" formatCode="#,##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1"/>
        <color theme="1"/>
        <name val="Times New Roman"/>
        <scheme val="none"/>
      </font>
      <alignment horizontal="center" readingOrder="0"/>
    </ndxf>
  </rcc>
  <rfmt sheetId="5" sqref="U40" start="0" length="0">
    <dxf>
      <font>
        <sz val="12"/>
        <name val="Times New Roman"/>
        <scheme val="none"/>
      </font>
      <alignment horizontal="center" readingOrder="0"/>
      <border outline="0">
        <left style="thin">
          <color indexed="64"/>
        </left>
        <right style="thin">
          <color indexed="64"/>
        </right>
        <top style="thin">
          <color indexed="64"/>
        </top>
        <bottom style="thin">
          <color indexed="64"/>
        </bottom>
      </border>
    </dxf>
  </rfmt>
  <rfmt sheetId="5" s="1" sqref="V40" start="0" length="0">
    <dxf>
      <font>
        <sz val="11"/>
        <color theme="1"/>
        <name val="Times New Roman"/>
        <scheme val="none"/>
      </font>
      <alignment horizontal="center" readingOrder="0"/>
    </dxf>
  </rfmt>
  <rfmt sheetId="5" sqref="W40" start="0" length="0">
    <dxf>
      <font>
        <sz val="12"/>
        <name val="Times New Roman"/>
        <scheme val="none"/>
      </font>
      <alignment horizontal="center" readingOrder="0"/>
      <border outline="0">
        <left style="thin">
          <color indexed="64"/>
        </left>
        <right style="thin">
          <color indexed="64"/>
        </right>
        <top style="thin">
          <color indexed="64"/>
        </top>
        <bottom style="thin">
          <color indexed="64"/>
        </bottom>
      </border>
    </dxf>
  </rfmt>
  <rcc rId="7532" sId="5" odxf="1" s="1" dxf="1" numFmtId="4">
    <oc r="X40">
      <v>2218.6</v>
    </oc>
    <nc r="X40">
      <v>2218.5990000000002</v>
    </nc>
    <odxf>
      <font>
        <b val="0"/>
        <i val="0"/>
        <strike val="0"/>
        <condense val="0"/>
        <extend val="0"/>
        <outline val="0"/>
        <shadow val="0"/>
        <u val="none"/>
        <vertAlign val="baseline"/>
        <sz val="12"/>
        <color theme="1"/>
        <name val="Times New Roman"/>
        <scheme val="none"/>
      </font>
      <numFmt numFmtId="171" formatCode="#,##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1"/>
        <color theme="1"/>
        <name val="Times New Roman"/>
        <scheme val="none"/>
      </font>
      <alignment horizontal="center" readingOrder="0"/>
    </ndxf>
  </rcc>
  <rfmt sheetId="5" sqref="Y40" start="0" length="0">
    <dxf>
      <font>
        <sz val="12"/>
        <name val="Times New Roman"/>
        <scheme val="none"/>
      </font>
      <alignment horizontal="center" readingOrder="0"/>
      <border outline="0">
        <left style="thin">
          <color indexed="64"/>
        </left>
        <right style="thin">
          <color indexed="64"/>
        </right>
        <top style="thin">
          <color indexed="64"/>
        </top>
        <bottom style="thin">
          <color indexed="64"/>
        </bottom>
      </border>
    </dxf>
  </rfmt>
  <rfmt sheetId="5" s="1" sqref="Z40" start="0" length="0">
    <dxf>
      <font>
        <sz val="11"/>
        <color theme="1"/>
        <name val="Times New Roman"/>
        <scheme val="none"/>
      </font>
      <alignment horizontal="center" readingOrder="0"/>
    </dxf>
  </rfmt>
  <rfmt sheetId="5" sqref="AA40" start="0" length="0">
    <dxf>
      <font>
        <sz val="12"/>
        <name val="Times New Roman"/>
        <scheme val="none"/>
      </font>
      <alignment horizontal="center" readingOrder="0"/>
      <border outline="0">
        <left style="thin">
          <color indexed="64"/>
        </left>
        <right style="thin">
          <color indexed="64"/>
        </right>
        <top style="thin">
          <color indexed="64"/>
        </top>
        <bottom style="thin">
          <color indexed="64"/>
        </bottom>
      </border>
    </dxf>
  </rfmt>
  <rfmt sheetId="5" s="1" sqref="AB40" start="0" length="0">
    <dxf>
      <font>
        <sz val="11"/>
        <color theme="1"/>
        <name val="Times New Roman"/>
        <scheme val="none"/>
      </font>
      <alignment horizontal="center" readingOrder="0"/>
    </dxf>
  </rfmt>
  <rfmt sheetId="5" sqref="AC40" start="0" length="0">
    <dxf>
      <font>
        <sz val="12"/>
        <name val="Times New Roman"/>
        <scheme val="none"/>
      </font>
      <alignment horizontal="center" readingOrder="0"/>
      <border outline="0">
        <left style="thin">
          <color indexed="64"/>
        </left>
        <right style="thin">
          <color indexed="64"/>
        </right>
        <top style="thin">
          <color indexed="64"/>
        </top>
        <bottom style="thin">
          <color indexed="64"/>
        </bottom>
      </border>
    </dxf>
  </rfmt>
  <rcc rId="7533" sId="5" odxf="1" s="1" dxf="1" numFmtId="4">
    <oc r="AD40">
      <v>2984.8739999999998</v>
    </oc>
    <nc r="AD40">
      <v>2942.5419999999999</v>
    </nc>
    <odxf>
      <font>
        <b val="0"/>
        <i val="0"/>
        <strike val="0"/>
        <condense val="0"/>
        <extend val="0"/>
        <outline val="0"/>
        <shadow val="0"/>
        <u val="none"/>
        <vertAlign val="baseline"/>
        <sz val="12"/>
        <color theme="1"/>
        <name val="Times New Roman"/>
        <scheme val="none"/>
      </font>
      <numFmt numFmtId="171" formatCode="#,##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1"/>
        <color theme="1"/>
        <name val="Times New Roman"/>
        <scheme val="none"/>
      </font>
      <alignment horizontal="center" readingOrder="0"/>
    </ndxf>
  </rcc>
  <rfmt sheetId="5" sqref="AE40" start="0" length="0">
    <dxf>
      <font>
        <sz val="12"/>
        <name val="Times New Roman"/>
        <scheme val="none"/>
      </font>
      <alignment horizontal="center" readingOrder="0"/>
      <border outline="0">
        <left style="thin">
          <color indexed="64"/>
        </left>
        <right style="thin">
          <color indexed="64"/>
        </right>
        <top style="thin">
          <color indexed="64"/>
        </top>
        <bottom style="thin">
          <color indexed="64"/>
        </bottom>
      </border>
    </dxf>
  </rfmt>
  <rfmt sheetId="5" sqref="H40:AE40" start="0" length="2147483647">
    <dxf>
      <font>
        <sz val="12"/>
      </font>
    </dxf>
  </rfmt>
  <rcc rId="7534" sId="5">
    <oc r="C40">
      <f>H40+J40+L40+N40+P40</f>
    </oc>
    <nc r="C40">
      <f>H40+J40+L40+N40+P40+R40</f>
    </nc>
  </rcc>
  <rcc rId="7535" sId="5">
    <oc r="E40">
      <f>I40+K40+M40+O40+Q40</f>
    </oc>
    <nc r="E40">
      <f>I40+K40+M40+O40+Q40+S40</f>
    </nc>
  </rcc>
  <rcc rId="7536" sId="5" numFmtId="4">
    <nc r="I51">
      <v>0</v>
    </nc>
  </rcc>
  <rcc rId="7537" sId="5" numFmtId="4">
    <oc r="J51">
      <v>5532.5064700000003</v>
    </oc>
    <nc r="J51">
      <v>5532.5</v>
    </nc>
  </rcc>
  <rcc rId="7538" sId="5" numFmtId="4">
    <oc r="K51">
      <v>5532.51</v>
    </oc>
    <nc r="K51">
      <v>5532.5</v>
    </nc>
  </rcc>
  <rcc rId="7539" sId="5" numFmtId="4">
    <oc r="L51">
      <v>125.99379</v>
    </oc>
    <nc r="L51">
      <v>125.99</v>
    </nc>
  </rcc>
  <rcc rId="7540" sId="5" numFmtId="4">
    <oc r="N51">
      <v>6.2100000000000002E-3</v>
    </oc>
    <nc r="N51">
      <v>0</v>
    </nc>
  </rcc>
  <rcc rId="7541" sId="5" numFmtId="4">
    <oc r="O51">
      <v>0.01</v>
    </oc>
    <nc r="O51">
      <v>0</v>
    </nc>
  </rcc>
  <rcc rId="7542" sId="5" numFmtId="4">
    <nc r="Q51">
      <v>0</v>
    </nc>
  </rcc>
  <rcc rId="7543" sId="5" numFmtId="4">
    <nc r="S51">
      <v>0</v>
    </nc>
  </rcc>
  <rcc rId="7544" sId="5" numFmtId="4">
    <oc r="T51">
      <v>0</v>
    </oc>
    <nc r="T51">
      <v>15000</v>
    </nc>
  </rcc>
  <rcc rId="7545" sId="5" numFmtId="4">
    <nc r="U51">
      <v>0</v>
    </nc>
  </rcc>
  <rcc rId="7546" sId="5" numFmtId="4">
    <nc r="W51">
      <v>0</v>
    </nc>
  </rcc>
  <rcc rId="7547" sId="5" numFmtId="4">
    <nc r="Y51">
      <v>0</v>
    </nc>
  </rcc>
  <rcc rId="7548" sId="5" numFmtId="4">
    <oc r="Z51">
      <v>10255.9</v>
    </oc>
    <nc r="Z51">
      <v>15293.1</v>
    </nc>
  </rcc>
  <rcc rId="7549" sId="5" numFmtId="4">
    <oc r="AB51">
      <v>0</v>
    </oc>
    <nc r="AB51">
      <v>6959.0209999999997</v>
    </nc>
  </rcc>
  <rcc rId="7550" sId="5" numFmtId="4">
    <oc r="AD51">
      <v>53850.2</v>
    </oc>
    <nc r="AD51">
      <v>37791.377999999997</v>
    </nc>
  </rcc>
  <rcc rId="7551" sId="5">
    <oc r="C51">
      <f>H51+J51+L51+N51</f>
    </oc>
    <nc r="C51">
      <f>H51+J51+L51+N51+P51+R51</f>
    </nc>
  </rcc>
  <rcc rId="7552" sId="5">
    <oc r="E51">
      <f>I51+K51+M51+O51</f>
    </oc>
    <nc r="E51">
      <f>I51+K51+M51+O51+Q51+S51</f>
    </nc>
  </rcc>
  <rcc rId="7553" sId="5" odxf="1" dxf="1">
    <oc r="AF51" t="inlineStr">
      <is>
        <t>"Муниципальный контракт №0187300013724000066 от 26.04.2024 на выполнение работ по замене оконных блоков в здании Администрации города Когалыма, расположенном по адресу: город Когалым, улица Дружбы Народов дом 7:
-цена контракта: 2 864,95 тыс.руб;
-срок завершения работ:19.08.2024
"Муниципальный контракт №0187300013724000031 от 29.03.2024 на выполнение работ по разработке проектно-сметной документации для выполнения капитального ремонта здания МАУ «Молодёжный комплексный центр «Феникс» в городе Когалыме», расположенного по улице Сибирская, 11:
- цена контракта 2 791,29 тыс.руб.;
- срок завершения работ 29.11.2024 г.;
"1.Контракт 4/Р от 28.04.2023 на выполнение ремонтных работ:
- цена контракта 99 266,00 тыс. руб.;
- перечислен аванс в сумме 29 779,80 тыс. руб. (30%);
- срок завершения выполнения работ 15.02.2024 г.
- работы выполнены и оплачены в полном объеме.
2. Контракт 14/Р от 05.10.2023 на выполнение  работ по капитальному ремонту комплекса зданий, находящихся в муниципальной собственности, расположенных по адресу: г. Когалым, улица Югорская, 3
-цена контракта 2 976,00 тыс.руб; (произведена оплата за фактически выполненные работы в 2023 году 2 137,97 тыс.руб)
-срок завершения выполненных работ:15.02.2024 г.
-работы выполнены и оплачены в полном объеме.
"1..Муниципальный контракт №16/2024 от 07.03.2024 на выполнение работ по разработке проектной документации на установку коммерческих узлов учёта тепловой энергии на объекте ""Комплекс зданий, находящихся в муниципальной собственности"" по адресу г. Когалым ул. Янтарная, 10:
- цена контракта 125,99 тыс.руб;
- работы выполнены и оплачены в полном объеме.
2. Муниципальный контракт № 0187300013724000055 от 19.04.2024 на выполнение работ по капитальному ремонту АИТП в комплексе зданий, находящихся в муниципальной собственности по адресу: город Когалым, улица Янтарная, 10;
-цена контракта 6 559,57 тыс.руб;
-начало работ: 17.06.2024
-срок окончания работ: 21.10.2024"</t>
      </is>
    </oc>
    <nc r="AF51" t="inlineStr">
      <is>
        <t>1.Муниципальный контракт №0187300013724000066 от 26.04.2024 на выполнение работ по замене оконных блоков в здании Администрации города Когалыма, расположенном по адресу: город Когалым, улица Дружбы Народов дом 7:
-цена контракта: 2 864,95 тыс.руб;
-срок завершения работ:19.08.2024
2. Муниципальный контракт № 41/2024 от 13.06.2024 на выполнение работ по замене оконных блоков в здании Администрации города Когалыма, расположенном по адресу: город Когалым, улица Дружбы Народов дом 7
-цена контракта: 591,21 тыс.руб;
-срок завершения работ: 12.08.2024.
3. Муниципальный контракт № 42/2024 от 13.06.2024 выполнение работ по замене декоративной панели на оконных блоках в здании Администрации города Когалыма, расположенном по адресу улица Дружбы Народов, 7
-цена контракта: 194,95 тыс.руб;
-срок завершения работ: 12.08.2024.
4. Размещен электронный аукцион на выполнение работ по частичному ремонту кровли здания Администрации города Когалыма, расположенного по адресу: город Когалым, улица Дружбы Народов, дом 7, дата торгов 09.07.2024.
1. Муниципальный контракт №0187300013724000031 от 29.03.2024 на выполнение работ по разработке проектно-сметной документации для выполнения капитального ремонта здания МАУ «Молодёжный комплексный центр «Феникс» в городе Когалыме», расположенного по улице Сибирская, 11:
- цена контракта 2 791,29 тыс.руб.;
- срок завершения работ 29.11.2024 г.;
2. На основании решения Думы города Когалыма от 19.06.2024 № 410-ГД перераспределение экономии
плановых ассигнований, сложившейся по результатам проведения электронного аукциона в размере 1058,9 тыс.руб. - бюджет города Когалыма.
1.Контракт 4/Р от 28.04.2023 на выполнение ремонтных работ:
- цена контракта 99 266,00 тыс. руб.;
- перечислен аванс в сумме 29 779,80 тыс. руб. (30%);
- срок завершения выполнения работ 15.02.2024 г.
- работы выполнены и оплачены в полном объеме.
2. Контракт 14/Р от 05.10.2023 на выполнение  работ по капитальному ремонту комплекса зданий, находящихся в муниципальной собственности, расположенных по адресу: г. Когалым, улица Югорская, 3
-цена контракта 2 976,00 тыс.руб; (произведена оплата за фактически выполненные работы в 2023 году 2 137,97 тыс.руб)
-срок завершения выполненных работ:15.02.2024 г.
-работы выполнены и оплачены в полном объеме.
3. Контракт № 4/Р от 18.06.2024 на выполнение работ по капитальному ремонту комплекса зданий, находящихся в муниципальной собственности, расположенных по адресу: г. Когалым, улица Югорская, 3
- цена контракта50 000,0 тыс. руб.;
- по условиям контракта аванс в сумме 15 000,0 тыс. руб. (30%) - планируемая дата оплаты первая половина июля.
- срок завершения выполнения работ 31.10.2024 г.
1..Муниципальный контракт №16/2024 от 07.03.2024 на выполнение работ по разработке проектной документации на установку коммерческих узлов учёта тепловой энергии на объекте "Комплекс зданий, находящихся в муниципальной собственности" по адресу г. Когалым ул. Янтарная, 10:
- цена контракта 125,99 тыс.руб;
- работы выполнены и оплачены в полном объеме.
2. Муниципальный контракт № 0187300013724000055 от 19.04.2024 на выполнение работ по капитальному ремонту АИТП в комплексе зданий, находящихся в муниципальной собственности по адресу: город Когалым, улица Янтарная, 10;
-цена контракта 6 559,57 тыс.руб;
-начало работ: 17.06.2024
-срок окончания работ: 21.10.2024.
3.  На основании решения Думы города Когалыма от 19.06.2024 № 410-ГД перераспределение экономии
плановых ассигнований, сложившейся по результатам проведения электронного аукциона в размере 13,7 тыс.руб. - бюджет города Когалыма.
1.Муниципальный контракт № 43/2024 от 25.06.2024 на выполнение работ по ремонту жилого помещения, расположенного по адресу: город Когалым, улица Дорожников, дом 2, квартира 22
- цена контракта 435,90 тыс.руб.;
- срок завершения работ 26.08.2024 г.;
2. Размещены электронные аукционны на:
- Выполнение работ по ремонту жилого помещения, находящегося в муниципальной собственности, расположенном по адресу: город Когалым, улица Таллинская, дом 17, квартира 46; дата торгов 05.07.2024.
-Выполнение работ по ремонту жилого помещения, находящегося в муниципальной собственности, расположенном по адресу: город Когалым, улица Привокзальная, дом 3, квартира 14 ; дата торгов 05.07.2024.
-Выполнение работ по ремонту квартир №2, №6, находящихся в муниципальной собственности, расположенных по адресу: город Когалым, улица Олимпийская, дом 3; дата торгов 05.07.2024.
-Выполнение работ по ремонту жилого помещения, находящегося в муниципальной собственности, расположенном по адресу: город Когалым, улица Нефтяников, дом 9, квартира 4; дата торгов: 05.07.2024.
-Выполнение работ по ремонту жилого помещения, находящегося в муниципальной собственности, расположенном по адресу: город Когалым, улица Мира, дом 14, квартира 46 ; дата торгов 05.07.2024.
- Выполнение работ по ремонту жилого помещения, находящегося в муниципальной собственности, расположенном по адресу: город Когалым, улица Ленинградская, дом 17, квартира 50; дата торгов 05.07.2024</t>
      </is>
    </nc>
    <odxf/>
    <ndxf/>
  </rcc>
  <rfmt sheetId="5" sqref="AF52" start="0" length="0">
    <dxf/>
  </rfmt>
  <rfmt sheetId="5" sqref="AF53" start="0" length="0">
    <dxf/>
  </rfmt>
  <rfmt sheetId="5" sqref="AF54" start="0" length="0">
    <dxf/>
  </rfmt>
  <rfmt sheetId="5" sqref="AF55" start="0" length="0">
    <dxf/>
  </rfmt>
  <rcc rId="7554" sId="5" odxf="1" dxf="1">
    <oc r="AF37" t="inlineStr">
      <is>
        <t>Остаток плана на 01.06.2024г. составляет 4049,54 тыс.руб., в том числе:
1) 677,81 тыс.руб. - оплата труда гражданского персонала и начисления на них (выплата премии по итогам работы за 2023 год за фактически отработанное время, наличие вакансий), оплата листа по временной
нетрудоспособности за счет работодателя за первые три дня по факту), проезд в отпуск и обратно;
2) 801,45 тыс.руб. - в связи с фактическими расходами на услуги связи;
3) 1097,93 тыс.руб. -  в связи с фактическими расходами на оплату коммунальных услуг согласно показаниям приборов учета;
4) 539,58 тыс.руб. - в связи с фактическими расходами (замена расходных материалов) на оплату услуг: сан-тех.обслуж-ию оборудования и инженерных сетей зданий; ТО и ТР систем вентиляции и
кондиционирования воздуха, лифтового оборудования, выполнение работ по ремонту и ТО электрооборудования внутренних инженерных сетей зданий; выполнение работ по ТО и ТР оборудования средств
пожарной безопасности зданий, водных диспенсеров;
5) 4,80 тыс.руб. - предоставление права использования системы "Контур-Экстерн", согласно коммерчеческих предложений заключено на меньшую сумму, чем было запланировано.
6) 489,07 руб. - по факту начисления налога на имущество;
7) 438,90 руб. - оплата бумаги по факту поставки товара</t>
      </is>
    </oc>
    <nc r="AF37" t="inlineStr">
      <is>
        <t xml:space="preserve">Остаток плана на 01.07.2024г. составляет 7309,08 тыс.руб., в том числе:                                                                                                                                                                                                                                                                                                                          1) 1506,69 тыс.руб. - оплата труда гражданского персонала и начисления на них (выплата премии по итогам работы за 2023 год за фактически отработанное время, наличие вакансий), оплата листа по временной нетрудоспособности за счет работодателя за первые три дня по факту), проезд в отпуск и обратно;
2) 703,78 тыс.руб. - в связи с фактическими расходами на услуги связи;
3) 1116,94 тыс.руб. -  в связи с фактическими расходами на оплату коммунальных услуг согласно показаниям приборов учета;
4) 721,95 тыс.руб. - в связи с фактическими расходами (замена расходных материалов) на оплату услуг: сан-тех.обслуж-ию оборудования и инженерных сетей зданий; ТО и ТР систем вентиляции и кондиционирования воздуха, лифтового оборудования, выполнение работ по ремонту и ТО электрооборудования внутренних инженерных сетей зданий; выполнение работ по ТО и ТР оборудования средств пожарной безопасности зданий, водных диспенсеров;
5) 8,61 тыс.руб. - предоставление права использования системы "Контур-Экстерн", тех.поддержка программного обеспечения "Кибер Бэкап", согласно коммерчеческих предложений заключено на меньшую сумму, чем было запланировано.
6) 489,07 руб. - по факту начисления налога на имущество;
7) 2762,04 руб. - оплата оргтехники по факту поставки товара. </t>
      </is>
    </nc>
    <odxf>
      <font>
        <sz val="14"/>
        <color auto="1"/>
        <name val="Times New Roman"/>
        <scheme val="none"/>
      </font>
    </odxf>
    <ndxf>
      <font>
        <sz val="14"/>
        <color auto="1"/>
        <name val="Times New Roman"/>
        <scheme val="none"/>
      </font>
    </ndxf>
  </rcc>
  <rfmt sheetId="5" sqref="AF38" start="0" length="0">
    <dxf>
      <numFmt numFmtId="4" formatCode="#,##0.00"/>
      <alignment horizontal="left" vertical="center" wrapText="1" readingOrder="0"/>
      <border outline="0">
        <left style="thin">
          <color indexed="64"/>
        </left>
        <right style="thin">
          <color indexed="64"/>
        </right>
      </border>
    </dxf>
  </rfmt>
  <rfmt sheetId="5" sqref="AF39" start="0" length="0">
    <dxf>
      <font>
        <color auto="1"/>
        <name val="Times New Roman"/>
        <scheme val="none"/>
      </font>
    </dxf>
  </rfmt>
  <rfmt sheetId="5" sqref="AF40" start="0" length="0">
    <dxf>
      <font>
        <sz val="14"/>
        <color auto="1"/>
        <name val="Times New Roman"/>
        <scheme val="none"/>
      </font>
    </dxf>
  </rfmt>
  <rfmt sheetId="5" sqref="AF41" start="0" length="0">
    <dxf/>
  </rfmt>
  <rfmt sheetId="5" sqref="AF37" start="0" length="2147483647">
    <dxf>
      <font>
        <sz val="12"/>
      </font>
    </dxf>
  </rfmt>
  <rcc rId="7555" sId="5" odxf="1" dxf="1">
    <oc r="AF29" t="inlineStr">
      <is>
        <t xml:space="preserve">Отклонение от плана составляет 6576,71тыс.руб. в том числе:
1. 2744,19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86,1 тыс.руб.  -неисполнение субсидии возникло по статье прочие выплаты в связи  оплатой возмещение работникам (сотрудникам) расходов, связанных со служебными командировками по фактической потребности
3.  809,68 тыс.руб.  -неисполнение субсидии по статье начисления на оплату труда возникло в связи с оплатой страховых взносов в июне 2024г.
4.  17,58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5.  32,73 тыс.руб.-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6. 798,44 тыс. руб. - неисполнение субсидии по статье оплата услуг по содержанию имущества возникла в связи с: 1. Оплата за мойку автомобилей произведена согласно выставленных документов. 3. Оплата за прохождение техосмотра, будет произведена согласно выставленных документов. 4 Оплата за техническое обслуживание контрольных устройств установленных на транспортные средства (Автограф, тахограф, системы мониторинга "ГЛОНАСС"), будет произведена согласно выставленных документов. 5. Оплата за вывоз и транспортировку прочих отходов будет произведена по факту оказанных услуг
7.  677,41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произведена по факту оказанных услуг, на основании выставленных документов; 2.  Оказание услуг по охране базы, так как оплата будет произведена по факту оказанных услуг. 3.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будет произведена согласно заключенного договора .4. Оплата за возмещение работникам (сотрудникам) расходов, связанных со служебными командировками по фактической потребности.
8.  169,62 тыс. 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9. 152,12тыс.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а так же в связи с оплатой по факту поставки молока, согласно поданных заявок.
10. 563,36 тыс. руб.- неисполнение субсидии по статье увеличение стоимости горюче-смазочных материалов оплата произведена по факту оказанных услуг согласно выставленных счетов
11.  326,14 тыс. руб. – неисполнение субсидии по статье увеличение стоимости прочих оборотных запасов (материалов), в связи : 1. Оплата счетов за приобретение запасных частей  и шин будет произведена по факту поставки товара
12.  85,44 тыс.руб. неисполнение субсидии по статье  оплата земельного и  транспортного налога, оплата будет произведена согласно декларации
13. 67,6 тыс. руб. неисполнение по статье расходов  пособий по уходу за ребенком инвалидом, оплата  произведена по факту предоставленных документов
14. 46,3 тыс. руб. неисполнение по статье расходов  пособий за первые три дня временной нетрудоспособности за счет средств работодателя, корректировка платежей  произведена по факту предоставленных документов. </t>
      </is>
    </oc>
    <nc r="AF29" t="inlineStr">
      <is>
        <t xml:space="preserve">Отклонение от плана составляет 6588,86тыс.руб. в том числе:
1. 2690,2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683,6 тыс.руб.  -неисполнение субсидии возникло по статье прочие выплаты в связи  оплатой возмещение работникам (сотрудникам) расходов, связанных со служебными командировками по фактической потребности
3.  895,28 тыс.руб.  -неисполнение субсидии по статье начисления на оплату труда возникло в связи с оплатой страховых взносов в июле 2024г.
4.  22,86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5.  40,29 тыс.руб.-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6. 769,46 тыс. руб. - неисполнение субсидии по статье оплата услуг по содержанию имущества возникла в связи с: 1. Оплата за мойку автомобилей произведена согласно выставленных документов. 3. Оплата за прохождение техосмотра, будет произведена согласно выставленных документов. 4 Оплата за техническое обслуживание контрольных устройств установленных на транспортные средства (Автограф, тахограф, системы мониторинга "ГЛОНАСС"), будет произведена согласно выставленных документов. 5. Оплата за вывоз и транспортировку прочих отходов будет произведена по факту оказанных услуг
7.  132,02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произведена по факту оказанных услуг, на основании выставленных документов; 2.  Оказание услуг по охране базы, так как оплата будет произведена по факту оказанных услуг. 3.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будет произведена согласно заключенного договора .4. Оплата за возмещение работникам (сотрудникам) расходов, связанных со служебными командировками по фактической потребности.
8.  204,31 тыс. 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9. 286,2тыс.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а так же в связи с оплатой по факту поставки молока, согласно поданных заявок.
10. 483,13 тыс. руб.- неисполнение субсидии по статье увеличение стоимости горюче-смазочных материалов оплата произведена по факту оказанных услуг согласно выставленных счетов
11.  203,64 тыс. руб. – неисполнение субсидии по статье увеличение стоимости прочих оборотных запасов (материалов), в связи : 1. Оплата счетов за приобретение запасных частей  и шин будет произведена по факту поставки товара
12.  85,44 тыс.руб. неисполнение субсидии по статье  оплата земельного и  транспортного налога, оплата будет произведена согласно декларации
13. 62,85 тыс. руб. неисполнение по статье расходов  пособий по уходу за ребенком инвалидом, оплата  произведена по факту предоставленных документов
14. 29,58 тыс. руб. неисполнение по статье расходов  пособий за первые три дня временной нетрудоспособности за счет средств работодателя, корректировка платежей  произведена по факту предоставленных документов. </t>
      </is>
    </nc>
    <odxf>
      <alignment vertical="center" readingOrder="0"/>
      <border outline="0">
        <bottom style="thin">
          <color indexed="64"/>
        </bottom>
      </border>
    </odxf>
    <ndxf>
      <alignment vertical="top" readingOrder="0"/>
      <border outline="0">
        <bottom/>
      </border>
    </ndxf>
  </rcc>
  <rfmt sheetId="5" s="1" sqref="AF30" start="0" length="0">
    <dxf>
      <font>
        <sz val="11"/>
        <color theme="1"/>
        <name val="Times New Roman"/>
        <scheme val="none"/>
      </font>
      <numFmt numFmtId="4" formatCode="#,##0.00"/>
      <alignment horizontal="left" vertical="top" wrapText="1" readingOrder="0"/>
      <border outline="0">
        <top/>
        <bottom/>
      </border>
    </dxf>
  </rfmt>
  <rfmt sheetId="5" sqref="AF31" start="0" length="0">
    <dxf>
      <font>
        <sz val="14"/>
        <color rgb="FFFF0000"/>
        <name val="Times New Roman"/>
        <scheme val="none"/>
      </font>
      <numFmt numFmtId="4" formatCode="#,##0.00"/>
      <alignment horizontal="left" readingOrder="0"/>
      <border outline="0">
        <left style="thin">
          <color indexed="64"/>
        </left>
        <right style="thin">
          <color indexed="64"/>
        </right>
      </border>
    </dxf>
  </rfmt>
  <rfmt sheetId="5" s="1" sqref="AF32" start="0" length="0">
    <dxf>
      <font>
        <sz val="11"/>
        <color theme="1"/>
        <name val="Times New Roman"/>
        <scheme val="none"/>
      </font>
      <numFmt numFmtId="4" formatCode="#,##0.00"/>
      <alignment horizontal="left" vertical="top" wrapText="1" readingOrder="0"/>
      <border outline="0">
        <top/>
      </border>
    </dxf>
  </rfmt>
</revisions>
</file>

<file path=xl/revisions/revisionLog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556" sId="6" numFmtId="19">
    <oc r="C5">
      <v>45444</v>
    </oc>
    <nc r="C5">
      <v>45474</v>
    </nc>
  </rcc>
  <rcc rId="7557" sId="6" numFmtId="19">
    <oc r="D5">
      <v>45444</v>
    </oc>
    <nc r="D5">
      <v>45474</v>
    </nc>
  </rcc>
  <rcc rId="7558" sId="6" numFmtId="19">
    <oc r="E5">
      <v>45444</v>
    </oc>
    <nc r="E5">
      <v>45474</v>
    </nc>
  </rcc>
</revisions>
</file>

<file path=xl/revisions/revisionLog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559" sId="6" numFmtId="34">
    <nc r="U38">
      <v>4.66</v>
    </nc>
  </rcc>
  <rcc rId="7560" sId="6" numFmtId="34">
    <nc r="U75">
      <v>4.53</v>
    </nc>
  </rcc>
  <rcc rId="7561" sId="6" numFmtId="4">
    <oc r="S90">
      <f>S91</f>
    </oc>
    <nc r="S90">
      <v>3.36</v>
    </nc>
  </rcc>
  <rcc rId="7562" sId="6" numFmtId="34">
    <oc r="R117">
      <v>429.82</v>
    </oc>
    <nc r="R117">
      <v>585.59</v>
    </nc>
  </rcc>
  <rcc rId="7563" sId="6" numFmtId="34">
    <nc r="S117">
      <v>740.64</v>
    </nc>
  </rcc>
  <rcc rId="7564" sId="6" odxf="1" dxf="1">
    <oc r="AF115" t="inlineStr">
      <is>
        <t>Неисполнение по заработной плате и начислениям по оплате труда (предоставление листов временной нетрудоспособности, выплаты денежного поощрения по результатам работы за год за фактически отработанное время)</t>
      </is>
    </oc>
    <nc r="AF115" t="inlineStr">
      <is>
        <t>Оплата б/л за счет работодателя.</t>
      </is>
    </nc>
    <ndxf>
      <font>
        <name val="Times New Roman"/>
        <scheme val="none"/>
      </font>
    </ndxf>
  </rcc>
</revisions>
</file>

<file path=xl/revisions/revisionLog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565" sId="6" numFmtId="34">
    <oc r="R121">
      <v>774.61</v>
    </oc>
    <nc r="R121">
      <v>836.9</v>
    </nc>
  </rcc>
  <rcc rId="7566" sId="6" numFmtId="34">
    <nc r="S121">
      <v>979.28</v>
    </nc>
  </rcc>
  <rcc rId="7567" sId="6">
    <oc r="AF119" t="inlineStr">
      <is>
        <t xml:space="preserve">Остаток плана на 01.06.2024г. составляет 79002,84 руб., в т.ч. на:
1) 40775,99 руб.- услуги связи (фактические расходы на услуги связи (м/г, сотовая связь, отправка телеграмм) сложились меньше, чем было запланировано). Приобретение маркированной продукции по факту поставки товара.
2) 24032,85 руб. - текущий ремонт огртехники производился по фактическим заявкам;
3) 14194 руб.- приобретение канцтоваров (бумага) по факту поставки товара.
</t>
      </is>
    </oc>
    <nc r="AF119" t="inlineStr">
      <is>
        <t>Компенсация стоимости путевок на санаторно - курортное лечение.</t>
      </is>
    </nc>
  </rcc>
  <rcv guid="{D01FA037-9AEC-4167-ADB8-2F327C01ECE6}" action="delete"/>
  <rdn rId="0" localSheetId="2" customView="1" name="Z_D01FA037_9AEC_4167_ADB8_2F327C01ECE6_.wvu.Rows" hidden="1" oldHidden="1">
    <formula>'1.СЗН'!$69:$73</formula>
    <oldFormula>'1.СЗН'!$69:$73</oldFormula>
  </rdn>
  <rdn rId="0" localSheetId="2" customView="1" name="Z_D01FA037_9AEC_4167_ADB8_2F327C01ECE6_.wvu.FilterData" hidden="1" oldHidden="1">
    <formula>'1.СЗН'!$A$1:$AF$63</formula>
    <oldFormula>'1.СЗН'!$A$1:$AF$63</oldFormula>
  </rdn>
  <rdn rId="0" localSheetId="3" customView="1" name="Z_D01FA037_9AEC_4167_ADB8_2F327C01ECE6_.wvu.FilterData" hidden="1" oldHidden="1">
    <formula>'2.АПК'!$A$1:$AF$36</formula>
    <oldFormula>'2.АПК'!$A$1:$AF$36</oldFormula>
  </rdn>
  <rdn rId="0" localSheetId="4" customView="1" name="Z_D01FA037_9AEC_4167_ADB8_2F327C01ECE6_.wvu.FilterData" hidden="1" oldHidden="1">
    <formula>'3.БЖД'!$A$1:$AF$17</formula>
    <oldFormula>'3.БЖД'!$A$1:$AF$17</oldFormula>
  </rdn>
  <rdn rId="0" localSheetId="5" customView="1" name="Z_D01FA037_9AEC_4167_ADB8_2F327C01ECE6_.wvu.FilterData" hidden="1" oldHidden="1">
    <formula>'4.УМИ'!$A$1:$AF$11</formula>
    <oldFormula>'4.УМИ'!$A$1:$AF$11</oldFormula>
  </rdn>
  <rdn rId="0" localSheetId="6" customView="1" name="Z_D01FA037_9AEC_4167_ADB8_2F327C01ECE6_.wvu.FilterData" hidden="1" oldHidden="1">
    <formula>'5.Проф. прав.'!$A$1:$AF$12</formula>
    <oldFormula>'5.Проф. прав.'!$A$1:$AF$12</oldFormula>
  </rdn>
  <rdn rId="0" localSheetId="7" customView="1" name="Z_D01FA037_9AEC_4167_ADB8_2F327C01ECE6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D01FA037_9AEC_4167_ADB8_2F327C01ECE6_.wvu.FilterData" hidden="1" oldHidden="1">
    <formula>'6.Экстримизм'!$A$1:$AF$11</formula>
    <oldFormula>'6.Экстримизм'!$A$1:$AF$11</oldFormula>
  </rdn>
  <rdn rId="0" localSheetId="14" customView="1" name="Z_D01FA037_9AEC_4167_ADB8_2F327C01ECE6_.wvu.FilterData" hidden="1" oldHidden="1">
    <formula>'11.МП РО'!$A$4:$A$380</formula>
    <oldFormula>'11.МП РО'!$A$4:$A$380</oldFormula>
  </rdn>
  <rdn rId="0" localSheetId="17" customView="1" name="Z_D01FA037_9AEC_4167_ADB8_2F327C01ECE6_.wvu.Rows" hidden="1" oldHidden="1">
    <formula>'13.МП РЖС'!$122:$127</formula>
    <oldFormula>'13.МП РЖС'!$122:$127</oldFormula>
  </rdn>
  <rdn rId="0" localSheetId="17" customView="1" name="Z_D01FA037_9AEC_4167_ADB8_2F327C01ECE6_.wvu.Cols" hidden="1" oldHidden="1">
    <formula>'13.МП РЖС'!$AG:$AG</formula>
    <oldFormula>'13.МП РЖС'!$AG:$AG</oldFormula>
  </rdn>
  <rcv guid="{D01FA037-9AEC-4167-ADB8-2F327C01ECE6}" action="add"/>
</revisions>
</file>

<file path=xl/revisions/revisionLog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25" sId="18" numFmtId="4">
    <oc r="S15">
      <v>0</v>
    </oc>
    <nc r="S15">
      <v>11.111000000000001</v>
    </nc>
  </rcc>
  <rcc rId="8126" sId="18" numFmtId="4">
    <nc r="Q21">
      <v>174.44300000000001</v>
    </nc>
  </rcc>
  <rcc rId="8127" sId="18" numFmtId="4">
    <oc r="S22">
      <v>0</v>
    </oc>
    <nc r="S22">
      <v>2377.9029999999998</v>
    </nc>
  </rcc>
  <rcc rId="8128" sId="18" odxf="1" dxf="1" numFmtId="4">
    <nc r="Q25">
      <v>151.995</v>
    </nc>
    <odxf>
      <font>
        <b/>
        <sz val="14"/>
        <color auto="1"/>
        <name val="Times New Roman"/>
        <scheme val="none"/>
      </font>
    </odxf>
    <ndxf>
      <font>
        <b val="0"/>
        <sz val="14"/>
        <color auto="1"/>
        <name val="Times New Roman"/>
        <scheme val="none"/>
      </font>
    </ndxf>
  </rcc>
  <rcc rId="8129" sId="18" numFmtId="4">
    <oc r="S26">
      <v>0</v>
    </oc>
    <nc r="S26">
      <v>1834.088</v>
    </nc>
  </rcc>
  <rcc rId="8130" sId="18" odxf="1" dxf="1" numFmtId="4">
    <nc r="Q29">
      <v>44.896000000000001</v>
    </nc>
    <odxf>
      <font>
        <b/>
        <sz val="14"/>
        <color auto="1"/>
        <name val="Times New Roman"/>
        <scheme val="none"/>
      </font>
    </odxf>
    <ndxf>
      <font>
        <b val="0"/>
        <sz val="14"/>
        <color auto="1"/>
        <name val="Times New Roman"/>
        <scheme val="none"/>
      </font>
    </ndxf>
  </rcc>
  <rcc rId="8131" sId="18" numFmtId="4">
    <oc r="S30">
      <v>0</v>
    </oc>
    <nc r="S30">
      <v>901.27</v>
    </nc>
  </rcc>
  <rcc rId="8132" sId="18" numFmtId="4">
    <oc r="S49">
      <v>0</v>
    </oc>
    <nc r="S49">
      <v>277.5</v>
    </nc>
  </rcc>
  <rcc rId="8133" sId="18" numFmtId="4">
    <oc r="S50">
      <v>0</v>
    </oc>
    <nc r="S50">
      <v>14.61</v>
    </nc>
  </rcc>
  <rcc rId="8134" sId="18" numFmtId="4">
    <oc r="R51">
      <v>0</v>
    </oc>
    <nc r="R51">
      <v>14.6</v>
    </nc>
  </rcc>
  <rcc rId="8135" sId="18" numFmtId="4">
    <oc r="S51">
      <v>0</v>
    </oc>
    <nc r="S51">
      <v>14.61</v>
    </nc>
  </rcc>
  <rcc rId="8136" sId="18" numFmtId="4">
    <oc r="T51">
      <v>14.61</v>
    </oc>
    <nc r="T51">
      <v>0</v>
    </nc>
  </rcc>
  <rfmt sheetId="18" sqref="B49">
    <dxf>
      <fill>
        <patternFill patternType="none">
          <bgColor auto="1"/>
        </patternFill>
      </fill>
    </dxf>
  </rfmt>
  <rfmt sheetId="18" sqref="B59">
    <dxf>
      <fill>
        <patternFill patternType="none">
          <bgColor auto="1"/>
        </patternFill>
      </fill>
    </dxf>
  </rfmt>
  <rcc rId="8137" sId="18" numFmtId="4">
    <oc r="S74">
      <v>0</v>
    </oc>
    <nc r="S74">
      <v>1600</v>
    </nc>
  </rcc>
  <rcc rId="8138" sId="18" numFmtId="4">
    <oc r="S75">
      <v>0</v>
    </oc>
    <nc r="S75">
      <v>84.22</v>
    </nc>
  </rcc>
  <rcc rId="8139" sId="18" numFmtId="4">
    <oc r="S76">
      <v>0</v>
    </oc>
    <nc r="S76">
      <v>84.22</v>
    </nc>
  </rcc>
  <rfmt sheetId="18" sqref="B74">
    <dxf>
      <fill>
        <patternFill patternType="none">
          <bgColor auto="1"/>
        </patternFill>
      </fill>
    </dxf>
  </rfmt>
  <rcc rId="8140" sId="18" numFmtId="4">
    <oc r="S79">
      <v>0</v>
    </oc>
    <nc r="S79">
      <v>1802.6</v>
    </nc>
  </rcc>
  <rcc rId="8141" sId="18" numFmtId="4">
    <oc r="S80">
      <v>0</v>
    </oc>
    <nc r="S80">
      <v>94.88</v>
    </nc>
  </rcc>
  <rcc rId="8142" sId="18" numFmtId="4">
    <oc r="S81">
      <v>0</v>
    </oc>
    <nc r="S81">
      <v>94.88</v>
    </nc>
  </rcc>
  <rfmt sheetId="18" sqref="B79">
    <dxf>
      <fill>
        <patternFill patternType="none">
          <bgColor auto="1"/>
        </patternFill>
      </fill>
    </dxf>
  </rfmt>
  <rcc rId="8143" sId="18" numFmtId="4">
    <oc r="S84">
      <v>0</v>
    </oc>
    <nc r="S84">
      <v>475</v>
    </nc>
  </rcc>
  <rcc rId="8144" sId="18" numFmtId="4">
    <oc r="S85">
      <v>0</v>
    </oc>
    <nc r="S85">
      <v>25</v>
    </nc>
  </rcc>
  <rcc rId="8145" sId="18" numFmtId="4">
    <oc r="S86">
      <v>0</v>
    </oc>
    <nc r="S86">
      <v>25</v>
    </nc>
  </rcc>
  <rfmt sheetId="18" sqref="B84">
    <dxf>
      <fill>
        <patternFill patternType="none">
          <bgColor auto="1"/>
        </patternFill>
      </fill>
    </dxf>
  </rfmt>
  <rfmt sheetId="18" sqref="B88">
    <dxf>
      <fill>
        <patternFill patternType="solid">
          <bgColor rgb="FFFFFF00"/>
        </patternFill>
      </fill>
    </dxf>
  </rfmt>
  <rcc rId="8146" sId="18" numFmtId="4">
    <oc r="S95">
      <v>0</v>
    </oc>
    <nc r="S95">
      <v>1156.4000000000001</v>
    </nc>
  </rcc>
  <rcc rId="8147" sId="18" numFmtId="4">
    <oc r="S105">
      <v>0</v>
    </oc>
    <nc r="S105">
      <v>288.37599999999998</v>
    </nc>
  </rcc>
  <rcc rId="8148" sId="18" numFmtId="4">
    <oc r="S124">
      <v>0</v>
    </oc>
    <nc r="S124">
      <v>13.68</v>
    </nc>
  </rcc>
  <rcc rId="8149" sId="18" numFmtId="4">
    <oc r="S125">
      <v>0</v>
    </oc>
    <nc r="S125">
      <v>0.72</v>
    </nc>
  </rcc>
</revisions>
</file>

<file path=xl/revisions/revisionLog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579" sId="6">
    <oc r="AF14" t="inlineStr">
      <is>
        <t>Отклонение сложилось в результате оплаты электрической энергии согласно показания счетчиков по факту</t>
      </is>
    </oc>
    <nc r="AF14" t="inlineStr">
      <is>
        <t>Техническое обслуживание ИТКБ. Оказание услуг по поставкам электрической энергии.  Оказание услуг связи по передаче данных ИТКБ.</t>
      </is>
    </nc>
  </rcc>
</revisions>
</file>

<file path=xl/revisions/revisionLog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580" sId="6" numFmtId="34">
    <nc r="S19">
      <v>288.14</v>
    </nc>
  </rcc>
</revisions>
</file>

<file path=xl/revisions/revisionLog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581" sId="6" numFmtId="4">
    <oc r="S93">
      <v>0</v>
    </oc>
    <nc r="S93">
      <v>5.2</v>
    </nc>
  </rcc>
  <rcc rId="7582" sId="6" numFmtId="4">
    <oc r="V93">
      <v>0</v>
    </oc>
    <nc r="V93">
      <v>3.2</v>
    </nc>
  </rcc>
  <rcc rId="7583" sId="6" numFmtId="34">
    <nc r="S16">
      <v>645.73</v>
    </nc>
  </rcc>
</revisions>
</file>

<file path=xl/revisions/revisionLog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584" sId="14" numFmtId="19">
    <oc r="C7">
      <v>45413</v>
    </oc>
    <nc r="C7">
      <v>45474</v>
    </nc>
  </rcc>
  <rcc rId="7585" sId="14" numFmtId="19">
    <oc r="D7">
      <v>45413</v>
    </oc>
    <nc r="D7">
      <v>45474</v>
    </nc>
  </rcc>
  <rcc rId="7586" sId="14" numFmtId="19">
    <oc r="E7">
      <v>45413</v>
    </oc>
    <nc r="E7">
      <v>45474</v>
    </nc>
  </rcc>
  <rcc rId="7587" sId="14" numFmtId="4">
    <nc r="S21">
      <v>100</v>
    </nc>
  </rcc>
  <rcc rId="7588" sId="14" numFmtId="4">
    <oc r="V21">
      <v>100</v>
    </oc>
    <nc r="V21"/>
  </rcc>
  <rcc rId="7589" sId="14" numFmtId="4">
    <oc r="Z21">
      <v>2.23</v>
    </oc>
    <nc r="Z21"/>
  </rcc>
  <rcc rId="7590" sId="14">
    <oc r="C21">
      <f>H21+J21</f>
    </oc>
    <nc r="C21">
      <f>H21+J21+L21+N21+P21+R21</f>
    </nc>
  </rcc>
  <rcc rId="7591" sId="14">
    <nc r="R21">
      <f>2.23+100</f>
    </nc>
  </rcc>
  <rcc rId="7592" sId="14">
    <oc r="A36" t="inlineStr">
      <is>
        <t>1.1.1. Развитие системы выявления, поддержки, сопровождения и стимулирования одаренных 
детей в различных сферах деятельности</t>
      </is>
    </oc>
    <nc r="A36" t="inlineStr">
      <is>
        <t xml:space="preserve">1.1.1. Развитие системы выявления, поддержки, сопровождения и стимулирования одаренных 
детей в различных сферах деятельности 03 01 </t>
      </is>
    </nc>
  </rcc>
  <rcc rId="7593" sId="14" numFmtId="4">
    <nc r="R41">
      <v>418</v>
    </nc>
  </rcc>
  <rcc rId="7594" sId="14" numFmtId="4">
    <nc r="S41">
      <v>418</v>
    </nc>
  </rcc>
  <rcc rId="7595" sId="14">
    <nc r="B41">
      <f>J41+L41+N41+P41+R41+T41+V41+X41+Z41+AB41+AD41+H41</f>
    </nc>
  </rcc>
  <rcc rId="7596" sId="14">
    <nc r="D41">
      <f>E41</f>
    </nc>
  </rcc>
  <rcc rId="7597" sId="14">
    <nc r="E41">
      <f>SUM(I41,K41,M41,O41,Q41,S41,U41,W41,Y41,AA41,AC41,AE41)</f>
    </nc>
  </rcc>
  <rcc rId="7598" sId="14">
    <nc r="F41">
      <f>IFERROR(E41/B41*100,0)</f>
    </nc>
  </rcc>
  <rcc rId="7599" sId="14">
    <nc r="G41">
      <f>IFERROR(E41/C41*100,0)</f>
    </nc>
  </rcc>
  <rcc rId="7600" sId="14">
    <nc r="C41">
      <f>H41+J41+L41+N41+P41+R41</f>
    </nc>
  </rcc>
  <rcc rId="7601" sId="14">
    <oc r="C40">
      <f>H40+J40+L40+N40</f>
    </oc>
    <nc r="C40">
      <f>H40+J40+L40+N40+P40+R40</f>
    </nc>
  </rcc>
  <rcc rId="7602" sId="14" numFmtId="4">
    <nc r="S40">
      <v>156.86000000000001</v>
    </nc>
  </rcc>
  <rcc rId="7603" sId="14">
    <oc r="C46">
      <f>H46+J46+L46+N46</f>
    </oc>
    <nc r="C46">
      <f>H46+J46+L46+N46+P46+R46</f>
    </nc>
  </rcc>
  <rcc rId="7604" sId="14" numFmtId="4">
    <nc r="R46">
      <v>210</v>
    </nc>
  </rcc>
  <rcc rId="7605" sId="14" numFmtId="4">
    <nc r="S46">
      <v>210</v>
    </nc>
  </rcc>
  <rcc rId="7606" sId="14">
    <oc r="AD46">
      <f>715-175-50+100-50</f>
    </oc>
    <nc r="AD46">
      <f>715-175-50+100-50-210</f>
    </nc>
  </rcc>
  <rfmt sheetId="14" sqref="A48">
    <dxf>
      <fill>
        <patternFill patternType="solid">
          <bgColor rgb="FFFFFF00"/>
        </patternFill>
      </fill>
    </dxf>
  </rfmt>
  <rcc rId="7607" sId="14">
    <oc r="C70">
      <f>H70+J70+L70+N70</f>
    </oc>
    <nc r="C70">
      <f>H70+J70+L70+N70+P70+R70</f>
    </nc>
  </rcc>
  <rcc rId="7608" sId="14" numFmtId="4">
    <nc r="Q70">
      <v>1939.31</v>
    </nc>
  </rcc>
  <rcc rId="7609" sId="14">
    <oc r="AD70">
      <f>1719.11157-32.34</f>
    </oc>
    <nc r="AD70">
      <f>1719.11157-32.34</f>
    </nc>
  </rcc>
  <rcc rId="7610" sId="14">
    <oc r="R70">
      <f>0.03+1650.94589</f>
    </oc>
    <nc r="R70">
      <f>0.03+1650.94589+37.2-0.5</f>
    </nc>
  </rcc>
  <rcc rId="7611" sId="14" numFmtId="4">
    <nc r="S70">
      <v>1687.68</v>
    </nc>
  </rcc>
  <rcc rId="7612" sId="14">
    <oc r="C76">
      <f>H76+J76+L76+N76</f>
    </oc>
    <nc r="C76">
      <f>H76+J76+L76+N76+P76+R76</f>
    </nc>
  </rcc>
  <rcc rId="7613" sId="14" numFmtId="4">
    <nc r="Q76">
      <v>5187.18</v>
    </nc>
  </rcc>
  <rcc rId="7614" sId="14">
    <oc r="AD76">
      <f>28747.43958-4892.2</f>
    </oc>
    <nc r="AD76">
      <f>28747.43958-4892.2-5898.31</f>
    </nc>
  </rcc>
  <rcc rId="7615" sId="14">
    <oc r="R76">
      <f>59.16289</f>
    </oc>
    <nc r="R76">
      <f>59.16289+5898.31</f>
    </nc>
  </rcc>
  <rcc rId="7616" sId="14" numFmtId="4">
    <nc r="S76">
      <f>59.16+5898.31</f>
    </nc>
  </rcc>
</revisions>
</file>

<file path=xl/revisions/revisionLog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4" sqref="A72">
    <dxf>
      <fill>
        <patternFill patternType="solid">
          <bgColor rgb="FFFFFF00"/>
        </patternFill>
      </fill>
    </dxf>
  </rfmt>
</revisions>
</file>

<file path=xl/revisions/revisionLog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17" sId="14" numFmtId="4">
    <oc r="V92">
      <v>1067.49</v>
    </oc>
    <nc r="V92"/>
  </rcc>
  <rcc rId="7618" sId="14" numFmtId="4">
    <oc r="X92">
      <v>1705.64</v>
    </oc>
    <nc r="X92"/>
  </rcc>
  <rcc rId="7619" sId="14" numFmtId="4">
    <oc r="Z92">
      <v>1688.45</v>
    </oc>
    <nc r="Z92"/>
  </rcc>
  <rcc rId="7620" sId="14" numFmtId="4">
    <oc r="AB92">
      <v>392.54</v>
    </oc>
    <nc r="AB92"/>
  </rcc>
  <rcc rId="7621" sId="14" numFmtId="4">
    <oc r="AD92">
      <v>13</v>
    </oc>
    <nc r="AD92"/>
  </rcc>
  <rcc rId="7622" sId="14">
    <oc r="C92">
      <f>H92+J92+L92+N92</f>
    </oc>
    <nc r="C92">
      <f>H92+J92+L92+N92+P92+R92</f>
    </nc>
  </rcc>
  <rcc rId="7623" sId="14" numFmtId="4">
    <nc r="Q92">
      <v>10239.700000000001</v>
    </nc>
  </rcc>
  <rcc rId="7624" sId="14" numFmtId="4">
    <nc r="S92">
      <v>13604.5</v>
    </nc>
  </rcc>
  <rcc rId="7625" sId="14">
    <oc r="R92">
      <v>9174.73</v>
    </oc>
    <nc r="R92">
      <f>23918.37+9174.73-19414.43</f>
    </nc>
  </rcc>
  <rcc rId="7626" sId="14" numFmtId="4">
    <oc r="T92">
      <v>212.82</v>
    </oc>
    <nc r="T92">
      <f>8695.98+212.82</f>
    </nc>
  </rcc>
  <rcv guid="{09C3E205-981E-4A4E-BE89-8B7044192060}" action="delete"/>
  <rdn rId="0" localSheetId="2" customView="1" name="Z_09C3E205_981E_4A4E_BE89_8B7044192060_.wvu.Rows" hidden="1" oldHidden="1">
    <formula>'1.СЗН'!$69:$73</formula>
    <oldFormula>'1.СЗН'!$69:$73</oldFormula>
  </rdn>
  <rdn rId="0" localSheetId="2" customView="1" name="Z_09C3E205_981E_4A4E_BE89_8B7044192060_.wvu.FilterData" hidden="1" oldHidden="1">
    <formula>'1.СЗН'!$A$1:$AF$63</formula>
    <oldFormula>'1.СЗН'!$A$1:$AF$63</oldFormula>
  </rdn>
  <rdn rId="0" localSheetId="3" customView="1" name="Z_09C3E205_981E_4A4E_BE89_8B7044192060_.wvu.FilterData" hidden="1" oldHidden="1">
    <formula>'2.АПК'!$A$1:$AF$36</formula>
    <oldFormula>'2.АПК'!$A$1:$AF$36</oldFormula>
  </rdn>
  <rdn rId="0" localSheetId="4" customView="1" name="Z_09C3E205_981E_4A4E_BE89_8B7044192060_.wvu.FilterData" hidden="1" oldHidden="1">
    <formula>'3.БЖД'!$A$1:$AF$17</formula>
    <oldFormula>'3.БЖД'!$A$1:$AF$17</oldFormula>
  </rdn>
  <rdn rId="0" localSheetId="5" customView="1" name="Z_09C3E205_981E_4A4E_BE89_8B7044192060_.wvu.FilterData" hidden="1" oldHidden="1">
    <formula>'4.УМИ'!$A$1:$AF$11</formula>
    <oldFormula>'4.УМИ'!$A$1:$AF$11</oldFormula>
  </rdn>
  <rdn rId="0" localSheetId="6" customView="1" name="Z_09C3E205_981E_4A4E_BE89_8B7044192060_.wvu.FilterData" hidden="1" oldHidden="1">
    <formula>'5.Проф. прав.'!$A$1:$AF$12</formula>
    <oldFormula>'5.Проф. прав.'!$A$1:$AF$12</oldFormula>
  </rdn>
  <rdn rId="0" localSheetId="7" customView="1" name="Z_09C3E205_981E_4A4E_BE89_8B7044192060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09C3E205_981E_4A4E_BE89_8B7044192060_.wvu.FilterData" hidden="1" oldHidden="1">
    <formula>'6.Экстримизм'!$A$1:$AF$11</formula>
    <oldFormula>'6.Экстримизм'!$A$1:$AF$11</oldFormula>
  </rdn>
  <rdn rId="0" localSheetId="14" customView="1" name="Z_09C3E205_981E_4A4E_BE89_8B7044192060_.wvu.FilterData" hidden="1" oldHidden="1">
    <formula>'11.МП РО'!$A$4:$A$380</formula>
    <oldFormula>'11.МП РО'!$A$4:$A$380</oldFormula>
  </rdn>
  <rdn rId="0" localSheetId="17" customView="1" name="Z_09C3E205_981E_4A4E_BE89_8B7044192060_.wvu.Rows" hidden="1" oldHidden="1">
    <formula>'13.МП РЖС'!$122:$127</formula>
    <oldFormula>'13.МП РЖС'!$122:$127</oldFormula>
  </rdn>
  <rdn rId="0" localSheetId="17" customView="1" name="Z_09C3E205_981E_4A4E_BE89_8B7044192060_.wvu.Cols" hidden="1" oldHidden="1">
    <formula>'13.МП РЖС'!$AG:$AG</formula>
    <oldFormula>'13.МП РЖС'!$AG:$AG</oldFormula>
  </rdn>
  <rcv guid="{09C3E205-981E-4A4E-BE89-8B7044192060}" action="add"/>
</revisions>
</file>

<file path=xl/revisions/revisionLog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38" sId="14">
    <oc r="C105">
      <f>H105+J105+L105+N105</f>
    </oc>
    <nc r="C105">
      <f>H105+J105+L105+N105+P105+R105</f>
    </nc>
  </rcc>
  <rcc rId="7639" sId="14" numFmtId="4">
    <nc r="Q105">
      <v>380330.2</v>
    </nc>
  </rcc>
  <rcc rId="7640" sId="14" numFmtId="4">
    <nc r="S105">
      <v>178644.98</v>
    </nc>
  </rcc>
  <rcc rId="7641" sId="14">
    <oc r="A108" t="inlineStr">
      <is>
        <t>1.3.1.4. Субвенции на выплату компенсации части родительской платы за присмотр и уход за детьми в образовательных организациях, реализующих образовательные программы дошкольного образования в рамках основного мероприятия "Финансовое обеспечение полномочий исполнительного органа государственной власти Ханты-Мансийского автономного округа –Югры по исполнению публичных обязательств перед физическими лицами" подпрограммы "Ресурсное обеспечение в сфере образования, науки и молодежной политики" государственной программы "Развитие образования"  (сады и уо)</t>
      </is>
    </oc>
    <nc r="A108" t="inlineStr">
      <is>
        <t>1.3.1.4. Субвенции на выплату компенсации части родительской платы за присмотр и уход за детьми в образовательных организациях, реализующих образовательные программы дошкольного образования в рамках основного мероприятия "Финансовое обеспечение полномочий исполнительного органа государственной власти Ханты-Мансийского автономного округа –Югры по исполнению публичных обязательств перед физическими лицами" подпрограммы "Ресурсное обеспечение в сфере образования, науки и молодежной политики" государственной программы "Развитие образования"  (сады и уо) (020105)</t>
      </is>
    </nc>
  </rcc>
  <rcc rId="7642" sId="14" numFmtId="4">
    <nc r="Q111">
      <v>4491.16</v>
    </nc>
  </rcc>
  <rcc rId="7643" sId="14">
    <oc r="C111">
      <f>H111+J111+L111+N111</f>
    </oc>
    <nc r="C111">
      <f>H111+J111+L111+N111+P111+R111</f>
    </nc>
  </rcc>
  <rcc rId="7644" sId="14" numFmtId="4">
    <nc r="S111">
      <v>4250.97</v>
    </nc>
  </rcc>
  <rcc rId="7645" sId="14">
    <oc r="C117">
      <f>H117+J117+L117+N117</f>
    </oc>
    <nc r="C117">
      <f>H117+J117+L117+N117+P117+R117</f>
    </nc>
  </rcc>
  <rcc rId="7646" sId="14" numFmtId="4">
    <nc r="Q117">
      <v>980</v>
    </nc>
  </rcc>
  <rcc rId="7647" sId="14" numFmtId="4">
    <nc r="S117">
      <v>384</v>
    </nc>
  </rcc>
  <rcc rId="7648" sId="14">
    <oc r="C123">
      <f>H123+J123+L123+N123</f>
    </oc>
    <nc r="C123">
      <f>H123+J123+L123+N123+P123+R123</f>
    </nc>
  </rcc>
  <rcc rId="7649" sId="14" numFmtId="4">
    <nc r="P123">
      <v>2989.8</v>
    </nc>
  </rcc>
  <rcc rId="7650" sId="14" numFmtId="4">
    <nc r="Q123">
      <v>2989.8</v>
    </nc>
  </rcc>
  <rcc rId="7651" sId="14" numFmtId="4">
    <nc r="R123">
      <v>3757.2</v>
    </nc>
  </rcc>
  <rcc rId="7652" sId="14" numFmtId="4">
    <nc r="S123">
      <v>3740.36</v>
    </nc>
  </rcc>
  <rcc rId="7653" sId="14">
    <oc r="AD123">
      <f>60894.6-3300-3148.4-6224.4+3560</f>
    </oc>
    <nc r="AD123">
      <f>60894.6-3300-3148.4-6224.4+3560-6747</f>
    </nc>
  </rcc>
  <rfmt sheetId="14" sqref="A132">
    <dxf>
      <fill>
        <patternFill patternType="solid">
          <bgColor rgb="FFFFFF00"/>
        </patternFill>
      </fill>
    </dxf>
  </rfmt>
  <rcc rId="7654" sId="14">
    <oc r="A139" t="inlineStr">
      <is>
        <t>1.4.2. Организации культурно досуговой деятельности и совершенствование условий 
для развития сферы молодёжного отдыха, 
массовых видов спорта и туризма, обеспечивающих разумное и полезное 
проведение детьми свободного времени, их 
духовно-нравственное развитие</t>
      </is>
    </oc>
    <nc r="A139" t="inlineStr">
      <is>
        <t>1.4.2. Организации культурно досуговой деятельности и совершенствование условий 
для развития сферы молодёжного отдыха, 
массовых видов спорта и туризма, обеспечивающих разумное и полезное 
проведение детьми свободного времени, их 
духовно-нравственное развитие (66,67,68)</t>
      </is>
    </nc>
  </rcc>
  <rcc rId="7655" sId="14">
    <oc r="C143">
      <f>H143+J143+L143+N143</f>
    </oc>
    <nc r="C143">
      <f>H143+J143+L143+N143+P143+R143</f>
    </nc>
  </rcc>
  <rcc rId="7656" sId="14" numFmtId="4">
    <nc r="Q143">
      <v>653.79999999999995</v>
    </nc>
  </rcc>
  <rcc rId="7657" sId="14" numFmtId="4">
    <oc r="X143">
      <v>194</v>
    </oc>
    <nc r="X143">
      <f>194-62.22</f>
    </nc>
  </rcc>
  <rcc rId="7658" sId="14" numFmtId="4">
    <oc r="R143">
      <v>565.6</v>
    </oc>
    <nc r="R143">
      <f>565.6+64.22</f>
    </nc>
  </rcc>
  <rcc rId="7659" sId="14">
    <oc r="E143">
      <f>SUM(I143,K143,M143,O143,Q143,S143,U143,W143,Y143,AA143,AC143,AE143)</f>
    </oc>
    <nc r="E143">
      <f>I143+K143+M143+O143+Q143+S143</f>
    </nc>
  </rcc>
  <rcc rId="7660" sId="14" numFmtId="4">
    <nc r="S143">
      <v>482.82</v>
    </nc>
  </rcc>
</revisions>
</file>

<file path=xl/revisions/revisionLog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61" sId="14">
    <oc r="X143">
      <f>194-62.22</f>
    </oc>
    <nc r="X143">
      <f>194-62.22+6.4</f>
    </nc>
  </rcc>
  <rfmt sheetId="14" sqref="B180">
    <dxf>
      <fill>
        <patternFill>
          <bgColor auto="1"/>
        </patternFill>
      </fill>
    </dxf>
  </rfmt>
  <rfmt sheetId="14" sqref="B180" start="0" length="2147483647">
    <dxf>
      <font>
        <color auto="1"/>
      </font>
    </dxf>
  </rfmt>
  <rcc rId="7662" sId="14">
    <oc r="C181">
      <f>H181+J181+L181+N181</f>
    </oc>
    <nc r="C181">
      <f>H181+J181+L181+N181+P181+R181</f>
    </nc>
  </rcc>
  <rcc rId="7663" sId="14">
    <oc r="C182">
      <f>H182+J182+L182+N182</f>
    </oc>
    <nc r="C182">
      <f>H182+J182+L182+N182+P182+R182</f>
    </nc>
  </rcc>
  <rcc rId="7664" sId="14">
    <oc r="C183">
      <f>H183+J183+L183+N183</f>
    </oc>
    <nc r="C183">
      <f>H183+J183+L183+N183+P183+R183</f>
    </nc>
  </rcc>
  <rcc rId="7665" sId="14" numFmtId="4">
    <nc r="Q181">
      <v>68.34</v>
    </nc>
  </rcc>
  <rcc rId="7666" sId="14" numFmtId="4">
    <nc r="Q182">
      <v>106.77</v>
    </nc>
  </rcc>
  <rcc rId="7667" sId="14" numFmtId="4">
    <nc r="Q183">
      <v>1.72</v>
    </nc>
  </rcc>
  <rcc rId="7668" sId="14" numFmtId="4">
    <oc r="R183">
      <v>0.98799999999999999</v>
    </oc>
    <nc r="R183">
      <f>1.11+0.988</f>
    </nc>
  </rcc>
  <rcc rId="7669" sId="14" numFmtId="4">
    <oc r="AD183">
      <v>0.91400000000000003</v>
    </oc>
    <nc r="AD183">
      <f>0.914-0.11</f>
    </nc>
  </rcc>
  <rcc rId="7670" sId="14" numFmtId="4">
    <oc r="AB183">
      <v>1</v>
    </oc>
    <nc r="AB183">
      <v>0</v>
    </nc>
  </rcc>
  <rcc rId="7671" sId="14" numFmtId="4">
    <oc r="R182">
      <v>59.430230000000002</v>
    </oc>
    <nc r="R182">
      <f>64.65+59.43023</f>
    </nc>
  </rcc>
  <rcc rId="7672" sId="14" numFmtId="4">
    <oc r="T182">
      <v>35.21</v>
    </oc>
    <nc r="T182"/>
  </rcc>
  <rcc rId="7673" sId="14" numFmtId="4">
    <oc r="Z182">
      <v>59.430230000000002</v>
    </oc>
    <nc r="Z182">
      <f>59.43023+15.06</f>
    </nc>
  </rcc>
  <rcc rId="7674" sId="14" numFmtId="4">
    <oc r="T181">
      <v>22.51</v>
    </oc>
    <nc r="T181"/>
  </rcc>
  <rcc rId="7675" sId="14">
    <oc r="R181">
      <v>38</v>
    </oc>
    <nc r="R181">
      <f>38+18.75+22.51</f>
    </nc>
  </rcc>
  <rcc rId="7676" sId="14" numFmtId="4">
    <oc r="X181">
      <v>38</v>
    </oc>
    <nc r="X181">
      <f>38-22.51</f>
    </nc>
  </rcc>
  <rcc rId="7677" sId="14" numFmtId="4">
    <nc r="S181">
      <v>85.43</v>
    </nc>
  </rcc>
  <rcc rId="7678" sId="14" numFmtId="4">
    <nc r="S182">
      <v>133.74</v>
    </nc>
  </rcc>
  <rcc rId="7679" sId="14">
    <oc r="V181">
      <v>28.52</v>
    </oc>
    <nc r="V181">
      <f>28.52-18.75+22.51</f>
    </nc>
  </rcc>
  <rcc rId="7680" sId="14" numFmtId="4">
    <oc r="V182">
      <v>44.603149999999999</v>
    </oc>
    <nc r="V182">
      <v>0.1</v>
    </nc>
  </rcc>
</revisions>
</file>

<file path=xl/revisions/revisionLog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81" sId="14">
    <oc r="C196">
      <f>H196+J196+L196+N196</f>
    </oc>
    <nc r="C196">
      <f>H196+J196+L196+N196+P196+R196</f>
    </nc>
  </rcc>
  <rcc rId="7682" sId="14" numFmtId="4">
    <nc r="Q196">
      <v>100.2</v>
    </nc>
  </rcc>
  <rcc rId="7683" sId="14" numFmtId="4">
    <nc r="S196">
      <v>111.6</v>
    </nc>
  </rcc>
  <rcc rId="7684" sId="14">
    <oc r="A210" t="inlineStr">
      <is>
        <t>3.2.1. Организация мероприятий, проектов по повышению уровня потенциала и вовлечению молодёжи в творческую деятельность</t>
      </is>
    </oc>
    <nc r="A210" t="inlineStr">
      <is>
        <t>3.2.1. Организация мероприятий, проектов по повышению уровня потенциала и вовлечению молодёжи в творческую деятельность (91,92)</t>
      </is>
    </nc>
  </rcc>
  <rcc rId="7685" sId="14">
    <oc r="C214">
      <f>H214+J214+L214+N214</f>
    </oc>
    <nc r="C214">
      <f>H214+J214+L214+N214+P214+R214</f>
    </nc>
  </rcc>
  <rcc rId="7686" sId="14" numFmtId="4">
    <nc r="Q214">
      <v>600</v>
    </nc>
  </rcc>
  <rcc rId="7687" sId="14" numFmtId="4">
    <nc r="R214">
      <v>657.7</v>
    </nc>
  </rcc>
  <rcc rId="7688" sId="14" numFmtId="4">
    <nc r="S214">
      <v>657.7</v>
    </nc>
  </rcc>
  <rcc rId="7689" sId="14">
    <oc r="A216" t="inlineStr">
      <is>
        <t xml:space="preserve">3.2.2. Организация мероприятий, проектов по вовлечению молодежи в добровольческую 
деятельность 
</t>
      </is>
    </oc>
    <nc r="A216" t="inlineStr">
      <is>
        <t xml:space="preserve">3.2.2. Организация мероприятий, проектов по вовлечению молодежи в добровольческую 
деятельность (03 01 93)
</t>
      </is>
    </nc>
  </rcc>
  <rcc rId="7690" sId="14">
    <oc r="C220">
      <f>SUM(H220)</f>
    </oc>
    <nc r="C220">
      <f>H220+J220+L220+N220+P220+R220</f>
    </nc>
  </rcc>
  <rcc rId="7691" sId="14">
    <oc r="A228" t="inlineStr">
      <is>
        <t xml:space="preserve">3.2.4. Субсидии некоммерческим организациям, не являющимся 
государственными (муниципальными), на выполнение функций ресурсного центра поддержки и развития добровольчества в городе Когалыме"
</t>
      </is>
    </oc>
    <nc r="A228" t="inlineStr">
      <is>
        <t xml:space="preserve">3.2.4. Субсидии некоммерческим организациям, не являющимся 
государственными (муниципальными), на выполнение функций ресурсного центра поддержки и развития добровольчества в городе Когалыме" (03 01 95)
</t>
      </is>
    </nc>
  </rcc>
  <rcc rId="7692" sId="14">
    <oc r="C244">
      <f>H244+J244+L244+N244</f>
    </oc>
    <nc r="C244">
      <f>H244+J244+L244+N244+P244+R244</f>
    </nc>
  </rcc>
  <rcc rId="7693" sId="14" numFmtId="4">
    <nc r="Q244">
      <v>3322.2</v>
    </nc>
  </rcc>
  <rcc rId="7694" sId="14" numFmtId="4">
    <oc r="R244">
      <v>3386.5</v>
    </oc>
    <nc r="R244">
      <f>965.27+3386.5</f>
    </nc>
  </rcc>
  <rcc rId="7695" sId="14" numFmtId="4">
    <nc r="S244">
      <v>4351.7700000000004</v>
    </nc>
  </rcc>
  <rcc rId="7696" sId="14" numFmtId="4">
    <oc r="Z244">
      <v>3713.5</v>
    </oc>
    <nc r="Z244">
      <f>3713.5+5033.28</f>
    </nc>
  </rcc>
  <rcc rId="7697" sId="14">
    <oc r="A246" t="inlineStr">
      <is>
        <t xml:space="preserve">3.3.2. Обеспечение хозяйственного обслуживания и надлежащего состояния учреждения молодежной политики
</t>
      </is>
    </oc>
    <nc r="A246" t="inlineStr">
      <is>
        <t xml:space="preserve">3.3.2. Обеспечение хозяйственного обслуживания и надлежащего состояния учреждения молодежной политики (03 01 А2)
</t>
      </is>
    </nc>
  </rcc>
  <rcc rId="7698" sId="14">
    <oc r="C250">
      <f>H250+J250+L250+N250</f>
    </oc>
    <nc r="C250">
      <f>H250+J250+L250+N250+P250+R250</f>
    </nc>
  </rcc>
  <rcc rId="7699" sId="14" numFmtId="4">
    <nc r="Q250">
      <v>1181.49</v>
    </nc>
  </rcc>
  <rcc rId="7700" sId="14" numFmtId="4">
    <oc r="R250">
      <v>1026.7422899999999</v>
    </oc>
    <nc r="R250">
      <f>2.29+1026.74229</f>
    </nc>
  </rcc>
  <rcc rId="7701" sId="14" numFmtId="4">
    <oc r="X250">
      <v>1016.97662</v>
    </oc>
    <nc r="X250">
      <f>1016.97662-2.29</f>
    </nc>
  </rcc>
  <rcc rId="7702" sId="14" numFmtId="4">
    <nc r="S250">
      <v>1313.7</v>
    </nc>
  </rcc>
</revisions>
</file>

<file path=xl/revisions/revisionLog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03" sId="14" numFmtId="4">
    <nc r="Z262">
      <v>10221.89</v>
    </nc>
  </rcc>
  <rcc rId="7704" sId="14" numFmtId="4">
    <oc r="R262">
      <v>10221.89</v>
    </oc>
    <nc r="R262"/>
  </rcc>
  <rcc rId="7705" sId="14" numFmtId="4">
    <nc r="Z263">
      <v>12493.43</v>
    </nc>
  </rcc>
  <rcc rId="7706" sId="14" numFmtId="4">
    <oc r="R263">
      <v>12493.43</v>
    </oc>
    <nc r="R263"/>
  </rcc>
  <rcc rId="7707" sId="14" numFmtId="4">
    <nc r="Z264">
      <v>2523.92</v>
    </nc>
  </rcc>
  <rcc rId="7708" sId="14" numFmtId="4">
    <oc r="R264">
      <v>2523.92</v>
    </oc>
    <nc r="R264"/>
  </rcc>
  <rcc rId="7709" sId="14">
    <oc r="C283">
      <f>H283+J283+L283+N283</f>
    </oc>
    <nc r="C283">
      <f>H283+J283+L283+N283+P283+R283</f>
    </nc>
  </rcc>
  <rcc rId="7710" sId="14">
    <oc r="R283">
      <f>7265.0884-20.48</f>
    </oc>
    <nc r="R283">
      <f>7265.0884-20.48+602.86</f>
    </nc>
  </rcc>
  <rcc rId="7711" sId="14" numFmtId="4">
    <oc r="Z283">
      <v>4084</v>
    </oc>
    <nc r="Z283">
      <f>4084-602.86</f>
    </nc>
  </rcc>
  <rcc rId="7712" sId="14" numFmtId="4">
    <nc r="Q283">
      <v>6062</v>
    </nc>
  </rcc>
  <rcc rId="7713" sId="14" numFmtId="4">
    <nc r="S283">
      <v>2899.18</v>
    </nc>
  </rcc>
  <rcc rId="7714" sId="14">
    <oc r="A291" t="inlineStr">
      <is>
        <t>4.1.3. Финансовое и организационно методическое сопровождение по исполнению МАУ «Информационно ресурсный центр города 
Когалыма» муниципального задания на 
оказание муниципальных услуг (выполнение работ), оснащение материально технической базы 
организации</t>
      </is>
    </oc>
    <nc r="A291" t="inlineStr">
      <is>
        <t>4.1.3. Финансовое и организационно методическое сопровождение по исполнению МАУ «Информационно ресурсный центр города 
Когалыма» муниципального задания на 
оказание муниципальных услуг (выполнение работ), оснащение материально технической базы 
организации (03 01 И3)</t>
      </is>
    </nc>
  </rcc>
  <rcc rId="7715" sId="14">
    <oc r="C295">
      <f>H295+J295+L295+N295</f>
    </oc>
    <nc r="C295">
      <f>H295+J295+L295+N295+P295+R295</f>
    </nc>
  </rcc>
  <rcc rId="7716" sId="14" numFmtId="4">
    <nc r="Q295">
      <v>2115.4499999999998</v>
    </nc>
  </rcc>
  <rcc rId="7717" sId="14" numFmtId="4">
    <oc r="AD295">
      <v>1065.2660000000001</v>
    </oc>
    <nc r="AD295"/>
  </rcc>
  <rcc rId="7718" sId="14">
    <oc r="AB295">
      <f>1162.285-109.99</f>
    </oc>
    <nc r="AB295"/>
  </rcc>
  <rcc rId="7719" sId="14" numFmtId="4">
    <oc r="Z295">
      <v>1121.683</v>
    </oc>
    <nc r="Z295">
      <f>1121.683-875.24</f>
    </nc>
  </rcc>
  <rcc rId="7720" sId="14" numFmtId="4">
    <oc r="R295">
      <v>1348.0029999999999</v>
    </oc>
    <nc r="R295">
      <f>1348.003-110</f>
    </nc>
  </rcc>
  <rcc rId="7721" sId="14" numFmtId="4">
    <nc r="S295">
      <v>1238.01</v>
    </nc>
  </rcc>
  <rcv guid="{09C3E205-981E-4A4E-BE89-8B7044192060}" action="delete"/>
  <rdn rId="0" localSheetId="2" customView="1" name="Z_09C3E205_981E_4A4E_BE89_8B7044192060_.wvu.Rows" hidden="1" oldHidden="1">
    <formula>'1.СЗН'!$69:$73</formula>
    <oldFormula>'1.СЗН'!$69:$73</oldFormula>
  </rdn>
  <rdn rId="0" localSheetId="2" customView="1" name="Z_09C3E205_981E_4A4E_BE89_8B7044192060_.wvu.FilterData" hidden="1" oldHidden="1">
    <formula>'1.СЗН'!$A$1:$AF$63</formula>
    <oldFormula>'1.СЗН'!$A$1:$AF$63</oldFormula>
  </rdn>
  <rdn rId="0" localSheetId="3" customView="1" name="Z_09C3E205_981E_4A4E_BE89_8B7044192060_.wvu.FilterData" hidden="1" oldHidden="1">
    <formula>'2.АПК'!$A$1:$AF$36</formula>
    <oldFormula>'2.АПК'!$A$1:$AF$36</oldFormula>
  </rdn>
  <rdn rId="0" localSheetId="4" customView="1" name="Z_09C3E205_981E_4A4E_BE89_8B7044192060_.wvu.FilterData" hidden="1" oldHidden="1">
    <formula>'3.БЖД'!$A$1:$AF$17</formula>
    <oldFormula>'3.БЖД'!$A$1:$AF$17</oldFormula>
  </rdn>
  <rdn rId="0" localSheetId="5" customView="1" name="Z_09C3E205_981E_4A4E_BE89_8B7044192060_.wvu.FilterData" hidden="1" oldHidden="1">
    <formula>'4.УМИ'!$A$1:$AF$11</formula>
    <oldFormula>'4.УМИ'!$A$1:$AF$11</oldFormula>
  </rdn>
  <rdn rId="0" localSheetId="6" customView="1" name="Z_09C3E205_981E_4A4E_BE89_8B7044192060_.wvu.FilterData" hidden="1" oldHidden="1">
    <formula>'5.Проф. прав.'!$A$1:$AF$12</formula>
    <oldFormula>'5.Проф. прав.'!$A$1:$AF$12</oldFormula>
  </rdn>
  <rdn rId="0" localSheetId="7" customView="1" name="Z_09C3E205_981E_4A4E_BE89_8B7044192060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09C3E205_981E_4A4E_BE89_8B7044192060_.wvu.FilterData" hidden="1" oldHidden="1">
    <formula>'6.Экстримизм'!$A$1:$AF$11</formula>
    <oldFormula>'6.Экстримизм'!$A$1:$AF$11</oldFormula>
  </rdn>
  <rdn rId="0" localSheetId="14" customView="1" name="Z_09C3E205_981E_4A4E_BE89_8B7044192060_.wvu.FilterData" hidden="1" oldHidden="1">
    <formula>'11.МП РО'!$A$4:$A$380</formula>
    <oldFormula>'11.МП РО'!$A$4:$A$380</oldFormula>
  </rdn>
  <rdn rId="0" localSheetId="17" customView="1" name="Z_09C3E205_981E_4A4E_BE89_8B7044192060_.wvu.Rows" hidden="1" oldHidden="1">
    <formula>'13.МП РЖС'!$122:$127</formula>
    <oldFormula>'13.МП РЖС'!$122:$127</oldFormula>
  </rdn>
  <rdn rId="0" localSheetId="17" customView="1" name="Z_09C3E205_981E_4A4E_BE89_8B7044192060_.wvu.Cols" hidden="1" oldHidden="1">
    <formula>'13.МП РЖС'!$AG:$AG</formula>
    <oldFormula>'13.МП РЖС'!$AG:$AG</oldFormula>
  </rdn>
  <rcv guid="{09C3E205-981E-4A4E-BE89-8B7044192060}" action="add"/>
</revisions>
</file>

<file path=xl/revisions/revisionLog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150" sId="18" ref="A156:XFD156" action="insertRow"/>
  <rcc rId="8151" sId="18" odxf="1" s="1" dxf="1">
    <nc r="A156" t="inlineStr">
      <is>
        <t>бюджет автономного округа</t>
      </is>
    </nc>
    <odxf>
      <font>
        <b val="0"/>
        <i val="0"/>
        <strike val="0"/>
        <condense val="0"/>
        <extend val="0"/>
        <outline val="0"/>
        <shadow val="0"/>
        <u val="none"/>
        <vertAlign val="baseline"/>
        <sz val="14"/>
        <color auto="1"/>
        <name val="Times New Roman"/>
        <scheme val="none"/>
      </font>
      <numFmt numFmtId="0" formatCode="General"/>
      <fill>
        <patternFill patternType="solid">
          <fgColor indexed="64"/>
          <bgColor rgb="FFABF3CC"/>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protection locked="1" hidden="0"/>
    </odxf>
    <ndxf>
      <fill>
        <patternFill patternType="none">
          <bgColor indexed="65"/>
        </patternFill>
      </fill>
      <border outline="0">
        <right style="thin">
          <color indexed="64"/>
        </right>
      </border>
    </ndxf>
  </rcc>
  <rcc rId="8152" sId="18">
    <oc r="B152">
      <f>B141</f>
    </oc>
    <nc r="B152">
      <f>B141</f>
    </nc>
  </rcc>
  <rcc rId="8153" sId="18">
    <nc r="B156">
      <f>B33</f>
    </nc>
  </rcc>
  <rcc rId="8154" sId="18">
    <nc r="C156">
      <f>C33</f>
    </nc>
  </rcc>
  <rcc rId="8155" sId="18">
    <nc r="D156">
      <f>D33</f>
    </nc>
  </rcc>
  <rcc rId="8156" sId="18">
    <nc r="E156">
      <f>E33</f>
    </nc>
  </rcc>
  <rcc rId="8157" sId="18" odxf="1" dxf="1">
    <nc r="H156">
      <f>H33</f>
    </nc>
    <odxf>
      <protection locked="0"/>
    </odxf>
    <ndxf>
      <protection locked="1"/>
    </ndxf>
  </rcc>
  <rcc rId="8158" sId="18" odxf="1" dxf="1">
    <nc r="I156">
      <f>I33</f>
    </nc>
    <odxf>
      <protection locked="0"/>
    </odxf>
    <ndxf>
      <protection locked="1"/>
    </ndxf>
  </rcc>
  <rcc rId="8159" sId="18" odxf="1" dxf="1">
    <nc r="J156">
      <f>J33</f>
    </nc>
    <odxf>
      <protection locked="0"/>
    </odxf>
    <ndxf>
      <protection locked="1"/>
    </ndxf>
  </rcc>
  <rcc rId="8160" sId="18" odxf="1" dxf="1">
    <nc r="K156">
      <f>K33</f>
    </nc>
    <odxf>
      <protection locked="0"/>
    </odxf>
    <ndxf>
      <protection locked="1"/>
    </ndxf>
  </rcc>
  <rcc rId="8161" sId="18" odxf="1" dxf="1">
    <nc r="L156">
      <f>L33</f>
    </nc>
    <odxf>
      <protection locked="0"/>
    </odxf>
    <ndxf>
      <protection locked="1"/>
    </ndxf>
  </rcc>
  <rcc rId="8162" sId="18" odxf="1" dxf="1">
    <nc r="M156">
      <f>M33</f>
    </nc>
    <odxf>
      <protection locked="0"/>
    </odxf>
    <ndxf>
      <protection locked="1"/>
    </ndxf>
  </rcc>
  <rcc rId="8163" sId="18" odxf="1" dxf="1">
    <nc r="N156">
      <f>N33</f>
    </nc>
    <odxf>
      <protection locked="0"/>
    </odxf>
    <ndxf>
      <protection locked="1"/>
    </ndxf>
  </rcc>
  <rcc rId="8164" sId="18" odxf="1" dxf="1">
    <nc r="O156">
      <f>O33</f>
    </nc>
    <odxf>
      <protection locked="0"/>
    </odxf>
    <ndxf>
      <protection locked="1"/>
    </ndxf>
  </rcc>
  <rcc rId="8165" sId="18" odxf="1" dxf="1">
    <nc r="P156">
      <f>P33</f>
    </nc>
    <odxf>
      <protection locked="0"/>
    </odxf>
    <ndxf>
      <protection locked="1"/>
    </ndxf>
  </rcc>
  <rcc rId="8166" sId="18" odxf="1" dxf="1">
    <nc r="Q156">
      <f>Q33</f>
    </nc>
    <odxf>
      <protection locked="0"/>
    </odxf>
    <ndxf>
      <protection locked="1"/>
    </ndxf>
  </rcc>
  <rcc rId="8167" sId="18" odxf="1" dxf="1">
    <nc r="R156">
      <f>R33</f>
    </nc>
    <odxf>
      <protection locked="0"/>
    </odxf>
    <ndxf>
      <protection locked="1"/>
    </ndxf>
  </rcc>
  <rcc rId="8168" sId="18" odxf="1" dxf="1">
    <nc r="S156">
      <f>S33</f>
    </nc>
    <odxf>
      <protection locked="0"/>
    </odxf>
    <ndxf>
      <protection locked="1"/>
    </ndxf>
  </rcc>
  <rcc rId="8169" sId="18" odxf="1" dxf="1">
    <nc r="T156">
      <f>T33</f>
    </nc>
    <odxf>
      <protection locked="0"/>
    </odxf>
    <ndxf>
      <protection locked="1"/>
    </ndxf>
  </rcc>
  <rcc rId="8170" sId="18" odxf="1" dxf="1">
    <nc r="U156">
      <f>U33</f>
    </nc>
    <odxf>
      <protection locked="0"/>
    </odxf>
    <ndxf>
      <protection locked="1"/>
    </ndxf>
  </rcc>
  <rcc rId="8171" sId="18" odxf="1" dxf="1">
    <nc r="V156">
      <f>V33</f>
    </nc>
    <odxf>
      <protection locked="0"/>
    </odxf>
    <ndxf>
      <protection locked="1"/>
    </ndxf>
  </rcc>
  <rcc rId="8172" sId="18" odxf="1" dxf="1">
    <nc r="W156">
      <f>W33</f>
    </nc>
    <odxf>
      <protection locked="0"/>
    </odxf>
    <ndxf>
      <protection locked="1"/>
    </ndxf>
  </rcc>
  <rcc rId="8173" sId="18" odxf="1" dxf="1">
    <nc r="X156">
      <f>X33</f>
    </nc>
    <odxf>
      <protection locked="0"/>
    </odxf>
    <ndxf>
      <protection locked="1"/>
    </ndxf>
  </rcc>
  <rcc rId="8174" sId="18" odxf="1" dxf="1">
    <nc r="Y156">
      <f>Y33</f>
    </nc>
    <odxf>
      <protection locked="0"/>
    </odxf>
    <ndxf>
      <protection locked="1"/>
    </ndxf>
  </rcc>
  <rcc rId="8175" sId="18" odxf="1" dxf="1">
    <nc r="Z156">
      <f>Z33</f>
    </nc>
    <odxf>
      <protection locked="0"/>
    </odxf>
    <ndxf>
      <protection locked="1"/>
    </ndxf>
  </rcc>
  <rcc rId="8176" sId="18" odxf="1" dxf="1">
    <nc r="AA156">
      <f>AA33</f>
    </nc>
    <odxf>
      <protection locked="0"/>
    </odxf>
    <ndxf>
      <protection locked="1"/>
    </ndxf>
  </rcc>
  <rcc rId="8177" sId="18" odxf="1" dxf="1">
    <nc r="AB156">
      <f>AB33</f>
    </nc>
    <odxf>
      <protection locked="0"/>
    </odxf>
    <ndxf>
      <protection locked="1"/>
    </ndxf>
  </rcc>
  <rcc rId="8178" sId="18" odxf="1" dxf="1">
    <nc r="AC156">
      <f>AC33</f>
    </nc>
    <odxf>
      <protection locked="0"/>
    </odxf>
    <ndxf>
      <protection locked="1"/>
    </ndxf>
  </rcc>
  <rcc rId="8179" sId="18" odxf="1" dxf="1">
    <nc r="AD156">
      <f>AD33</f>
    </nc>
    <odxf>
      <protection locked="0"/>
    </odxf>
    <ndxf>
      <protection locked="1"/>
    </ndxf>
  </rcc>
  <rcc rId="8180" sId="18" odxf="1" dxf="1">
    <nc r="AE156">
      <f>AE33</f>
    </nc>
    <odxf>
      <protection locked="0"/>
    </odxf>
    <ndxf>
      <protection locked="1"/>
    </ndxf>
  </rcc>
  <rcc rId="8181" sId="18">
    <oc r="B155">
      <f>B157</f>
    </oc>
    <nc r="B155">
      <f>B157+B156</f>
    </nc>
  </rcc>
  <rcc rId="8182" sId="18">
    <oc r="C155">
      <f>C157</f>
    </oc>
    <nc r="C155">
      <f>C157+C156</f>
    </nc>
  </rcc>
  <rcc rId="8183" sId="18">
    <oc r="D155">
      <f>D157</f>
    </oc>
    <nc r="D155">
      <f>D157+D156</f>
    </nc>
  </rcc>
  <rcc rId="8184" sId="18">
    <oc r="E155">
      <f>E157</f>
    </oc>
    <nc r="E155">
      <f>E157+E156</f>
    </nc>
  </rcc>
  <rcc rId="8185" sId="18" odxf="1" dxf="1">
    <oc r="H155">
      <f>H157</f>
    </oc>
    <nc r="H155">
      <f>H157+H156</f>
    </nc>
    <odxf>
      <protection locked="0"/>
    </odxf>
    <ndxf>
      <protection locked="1"/>
    </ndxf>
  </rcc>
  <rcc rId="8186" sId="18" odxf="1" dxf="1">
    <oc r="I155">
      <f>I157</f>
    </oc>
    <nc r="I155">
      <f>I157+I156</f>
    </nc>
    <odxf>
      <protection locked="0"/>
    </odxf>
    <ndxf>
      <protection locked="1"/>
    </ndxf>
  </rcc>
  <rcc rId="8187" sId="18" odxf="1" dxf="1">
    <oc r="J155">
      <f>J157</f>
    </oc>
    <nc r="J155">
      <f>J157+J156</f>
    </nc>
    <odxf>
      <protection locked="0"/>
    </odxf>
    <ndxf>
      <protection locked="1"/>
    </ndxf>
  </rcc>
  <rcc rId="8188" sId="18" odxf="1" dxf="1">
    <oc r="K155">
      <f>K157</f>
    </oc>
    <nc r="K155">
      <f>K157+K156</f>
    </nc>
    <odxf>
      <protection locked="0"/>
    </odxf>
    <ndxf>
      <protection locked="1"/>
    </ndxf>
  </rcc>
  <rcc rId="8189" sId="18" odxf="1" dxf="1">
    <oc r="L155">
      <f>L157</f>
    </oc>
    <nc r="L155">
      <f>L157+L156</f>
    </nc>
    <odxf>
      <protection locked="0"/>
    </odxf>
    <ndxf>
      <protection locked="1"/>
    </ndxf>
  </rcc>
  <rcc rId="8190" sId="18" odxf="1" dxf="1">
    <oc r="M155">
      <f>M157</f>
    </oc>
    <nc r="M155">
      <f>M157+M156</f>
    </nc>
    <odxf>
      <protection locked="0"/>
    </odxf>
    <ndxf>
      <protection locked="1"/>
    </ndxf>
  </rcc>
  <rcc rId="8191" sId="18" odxf="1" dxf="1">
    <oc r="N155">
      <f>N157</f>
    </oc>
    <nc r="N155">
      <f>N157+N156</f>
    </nc>
    <odxf>
      <protection locked="0"/>
    </odxf>
    <ndxf>
      <protection locked="1"/>
    </ndxf>
  </rcc>
  <rcc rId="8192" sId="18" odxf="1" dxf="1">
    <oc r="O155">
      <f>O157</f>
    </oc>
    <nc r="O155">
      <f>O157+O156</f>
    </nc>
    <odxf>
      <protection locked="0"/>
    </odxf>
    <ndxf>
      <protection locked="1"/>
    </ndxf>
  </rcc>
  <rcc rId="8193" sId="18" odxf="1" dxf="1">
    <oc r="P155">
      <f>P157</f>
    </oc>
    <nc r="P155">
      <f>P157+P156</f>
    </nc>
    <odxf>
      <protection locked="0"/>
    </odxf>
    <ndxf>
      <protection locked="1"/>
    </ndxf>
  </rcc>
  <rcc rId="8194" sId="18" odxf="1" dxf="1">
    <oc r="Q155">
      <f>Q157</f>
    </oc>
    <nc r="Q155">
      <f>Q157+Q156</f>
    </nc>
    <odxf>
      <protection locked="0"/>
    </odxf>
    <ndxf>
      <protection locked="1"/>
    </ndxf>
  </rcc>
  <rcc rId="8195" sId="18" odxf="1" dxf="1">
    <oc r="R155">
      <f>R157</f>
    </oc>
    <nc r="R155">
      <f>R157+R156</f>
    </nc>
    <odxf>
      <protection locked="0"/>
    </odxf>
    <ndxf>
      <protection locked="1"/>
    </ndxf>
  </rcc>
  <rcc rId="8196" sId="18" odxf="1" dxf="1">
    <oc r="S155">
      <f>S157</f>
    </oc>
    <nc r="S155">
      <f>S157+S156</f>
    </nc>
    <odxf>
      <protection locked="0"/>
    </odxf>
    <ndxf>
      <protection locked="1"/>
    </ndxf>
  </rcc>
  <rcc rId="8197" sId="18" odxf="1" dxf="1">
    <oc r="T155">
      <f>T157</f>
    </oc>
    <nc r="T155">
      <f>T157+T156</f>
    </nc>
    <odxf>
      <protection locked="0"/>
    </odxf>
    <ndxf>
      <protection locked="1"/>
    </ndxf>
  </rcc>
  <rcc rId="8198" sId="18" odxf="1" dxf="1">
    <oc r="U155">
      <f>U157</f>
    </oc>
    <nc r="U155">
      <f>U157+U156</f>
    </nc>
    <odxf>
      <protection locked="0"/>
    </odxf>
    <ndxf>
      <protection locked="1"/>
    </ndxf>
  </rcc>
  <rcc rId="8199" sId="18" odxf="1" dxf="1">
    <oc r="V155">
      <f>V157</f>
    </oc>
    <nc r="V155">
      <f>V157+V156</f>
    </nc>
    <odxf>
      <protection locked="0"/>
    </odxf>
    <ndxf>
      <protection locked="1"/>
    </ndxf>
  </rcc>
  <rcc rId="8200" sId="18" odxf="1" dxf="1">
    <oc r="W155">
      <f>W157</f>
    </oc>
    <nc r="W155">
      <f>W157+W156</f>
    </nc>
    <odxf>
      <protection locked="0"/>
    </odxf>
    <ndxf>
      <protection locked="1"/>
    </ndxf>
  </rcc>
  <rcc rId="8201" sId="18" odxf="1" dxf="1">
    <oc r="X155">
      <f>X157</f>
    </oc>
    <nc r="X155">
      <f>X157+X156</f>
    </nc>
    <odxf>
      <protection locked="0"/>
    </odxf>
    <ndxf>
      <protection locked="1"/>
    </ndxf>
  </rcc>
  <rcc rId="8202" sId="18" odxf="1" dxf="1">
    <oc r="Y155">
      <f>Y157</f>
    </oc>
    <nc r="Y155">
      <f>Y157+Y156</f>
    </nc>
    <odxf>
      <protection locked="0"/>
    </odxf>
    <ndxf>
      <protection locked="1"/>
    </ndxf>
  </rcc>
  <rcc rId="8203" sId="18" odxf="1" dxf="1">
    <oc r="Z155">
      <f>Z157</f>
    </oc>
    <nc r="Z155">
      <f>Z157+Z156</f>
    </nc>
    <odxf>
      <protection locked="0"/>
    </odxf>
    <ndxf>
      <protection locked="1"/>
    </ndxf>
  </rcc>
  <rcc rId="8204" sId="18" odxf="1" dxf="1">
    <oc r="AA155">
      <f>AA157</f>
    </oc>
    <nc r="AA155">
      <f>AA157+AA156</f>
    </nc>
    <odxf>
      <protection locked="0"/>
    </odxf>
    <ndxf>
      <protection locked="1"/>
    </ndxf>
  </rcc>
  <rcc rId="8205" sId="18" odxf="1" dxf="1">
    <oc r="AB155">
      <f>AB157</f>
    </oc>
    <nc r="AB155">
      <f>AB157+AB156</f>
    </nc>
    <odxf>
      <protection locked="0"/>
    </odxf>
    <ndxf>
      <protection locked="1"/>
    </ndxf>
  </rcc>
  <rcc rId="8206" sId="18" odxf="1" dxf="1">
    <oc r="AC155">
      <f>AC157</f>
    </oc>
    <nc r="AC155">
      <f>AC157+AC156</f>
    </nc>
    <odxf>
      <protection locked="0"/>
    </odxf>
    <ndxf>
      <protection locked="1"/>
    </ndxf>
  </rcc>
  <rcc rId="8207" sId="18" odxf="1" dxf="1">
    <oc r="AD155">
      <f>AD157</f>
    </oc>
    <nc r="AD155">
      <f>AD157+AD156</f>
    </nc>
    <odxf>
      <protection locked="0"/>
    </odxf>
    <ndxf>
      <protection locked="1"/>
    </ndxf>
  </rcc>
  <rcc rId="8208" sId="18" odxf="1" dxf="1">
    <oc r="AE155">
      <f>AE157</f>
    </oc>
    <nc r="AE155">
      <f>AE157+AE156</f>
    </nc>
    <odxf>
      <protection locked="0"/>
    </odxf>
    <ndxf>
      <protection locked="1"/>
    </ndxf>
  </rcc>
  <rcc rId="8209" sId="18">
    <oc r="F155">
      <f>IFERROR(E155/B155*100,0)</f>
    </oc>
    <nc r="F155">
      <f>IFERROR(E155/B155*100,0)</f>
    </nc>
  </rcc>
  <rcc rId="8210" sId="18">
    <nc r="F156">
      <f>IFERROR(E156/B156*100,0)</f>
    </nc>
  </rcc>
  <rcc rId="8211" sId="18">
    <oc r="G155">
      <f>IFERROR(E155/C155*100,0)</f>
    </oc>
    <nc r="G155">
      <f>IFERROR(E155/C155*100,0)</f>
    </nc>
  </rcc>
  <rcc rId="8212" sId="18">
    <nc r="G156">
      <f>IFERROR(E156/C156*100,0)</f>
    </nc>
  </rcc>
  <rcc rId="8213" sId="18">
    <oc r="B148">
      <f>B152</f>
    </oc>
    <nc r="B148">
      <f>B152+B156</f>
    </nc>
  </rcc>
  <rcc rId="8214" sId="18" odxf="1" dxf="1">
    <oc r="C148">
      <f>C152</f>
    </oc>
    <nc r="C148">
      <f>C152+C156</f>
    </nc>
    <odxf>
      <fill>
        <patternFill patternType="none">
          <bgColor indexed="65"/>
        </patternFill>
      </fill>
    </odxf>
    <ndxf>
      <fill>
        <patternFill patternType="solid">
          <bgColor theme="6" tint="0.39997558519241921"/>
        </patternFill>
      </fill>
    </ndxf>
  </rcc>
  <rcc rId="8215" sId="18" odxf="1" dxf="1">
    <oc r="D148">
      <f>D152</f>
    </oc>
    <nc r="D148">
      <f>D152+D156</f>
    </nc>
    <odxf>
      <fill>
        <patternFill patternType="none">
          <bgColor indexed="65"/>
        </patternFill>
      </fill>
    </odxf>
    <ndxf>
      <fill>
        <patternFill patternType="solid">
          <bgColor theme="6" tint="0.39997558519241921"/>
        </patternFill>
      </fill>
    </ndxf>
  </rcc>
  <rcc rId="8216" sId="18" odxf="1" dxf="1">
    <oc r="E148">
      <f>E152</f>
    </oc>
    <nc r="E148">
      <f>E152+E156</f>
    </nc>
    <odxf>
      <fill>
        <patternFill patternType="none">
          <bgColor indexed="65"/>
        </patternFill>
      </fill>
    </odxf>
    <ndxf>
      <fill>
        <patternFill patternType="solid">
          <bgColor theme="6" tint="0.39997558519241921"/>
        </patternFill>
      </fill>
    </ndxf>
  </rcc>
  <rfmt sheetId="18" sqref="F148" start="0" length="0">
    <dxf>
      <fill>
        <patternFill patternType="solid">
          <bgColor theme="6" tint="0.39997558519241921"/>
        </patternFill>
      </fill>
    </dxf>
  </rfmt>
  <rfmt sheetId="18" s="1" sqref="G148" start="0" length="0">
    <dxf>
      <fill>
        <patternFill patternType="solid">
          <bgColor theme="6" tint="0.39997558519241921"/>
        </patternFill>
      </fill>
    </dxf>
  </rfmt>
  <rcc rId="8217" sId="18" odxf="1" dxf="1">
    <oc r="H148">
      <f>H152</f>
    </oc>
    <nc r="H148">
      <f>H152+H156</f>
    </nc>
    <odxf>
      <fill>
        <patternFill patternType="none">
          <bgColor indexed="65"/>
        </patternFill>
      </fill>
      <protection locked="0"/>
    </odxf>
    <ndxf>
      <fill>
        <patternFill patternType="solid">
          <bgColor theme="6" tint="0.39997558519241921"/>
        </patternFill>
      </fill>
      <protection locked="1"/>
    </ndxf>
  </rcc>
  <rcc rId="8218" sId="18" odxf="1" dxf="1">
    <oc r="I148">
      <f>I152</f>
    </oc>
    <nc r="I148">
      <f>I152+I156</f>
    </nc>
    <odxf>
      <fill>
        <patternFill patternType="none">
          <bgColor indexed="65"/>
        </patternFill>
      </fill>
      <protection locked="0"/>
    </odxf>
    <ndxf>
      <fill>
        <patternFill patternType="solid">
          <bgColor theme="6" tint="0.39997558519241921"/>
        </patternFill>
      </fill>
      <protection locked="1"/>
    </ndxf>
  </rcc>
  <rcc rId="8219" sId="18" odxf="1" dxf="1">
    <oc r="J148">
      <f>J152</f>
    </oc>
    <nc r="J148">
      <f>J152+J156</f>
    </nc>
    <odxf>
      <fill>
        <patternFill patternType="none">
          <bgColor indexed="65"/>
        </patternFill>
      </fill>
      <protection locked="0"/>
    </odxf>
    <ndxf>
      <fill>
        <patternFill patternType="solid">
          <bgColor theme="6" tint="0.39997558519241921"/>
        </patternFill>
      </fill>
      <protection locked="1"/>
    </ndxf>
  </rcc>
  <rcc rId="8220" sId="18" odxf="1" dxf="1">
    <oc r="K148">
      <f>K152</f>
    </oc>
    <nc r="K148">
      <f>K152+K156</f>
    </nc>
    <odxf>
      <fill>
        <patternFill patternType="none">
          <bgColor indexed="65"/>
        </patternFill>
      </fill>
      <protection locked="0"/>
    </odxf>
    <ndxf>
      <fill>
        <patternFill patternType="solid">
          <bgColor theme="6" tint="0.39997558519241921"/>
        </patternFill>
      </fill>
      <protection locked="1"/>
    </ndxf>
  </rcc>
  <rcc rId="8221" sId="18" odxf="1" dxf="1">
    <oc r="L148">
      <f>L152</f>
    </oc>
    <nc r="L148">
      <f>L152+L156</f>
    </nc>
    <odxf>
      <fill>
        <patternFill patternType="none">
          <bgColor indexed="65"/>
        </patternFill>
      </fill>
      <protection locked="0"/>
    </odxf>
    <ndxf>
      <fill>
        <patternFill patternType="solid">
          <bgColor theme="6" tint="0.39997558519241921"/>
        </patternFill>
      </fill>
      <protection locked="1"/>
    </ndxf>
  </rcc>
  <rcc rId="8222" sId="18" odxf="1" dxf="1">
    <oc r="M148">
      <f>M152</f>
    </oc>
    <nc r="M148">
      <f>M152+M156</f>
    </nc>
    <odxf>
      <fill>
        <patternFill patternType="none">
          <bgColor indexed="65"/>
        </patternFill>
      </fill>
      <protection locked="0"/>
    </odxf>
    <ndxf>
      <fill>
        <patternFill patternType="solid">
          <bgColor theme="6" tint="0.39997558519241921"/>
        </patternFill>
      </fill>
      <protection locked="1"/>
    </ndxf>
  </rcc>
  <rcc rId="8223" sId="18" odxf="1" dxf="1">
    <oc r="N148">
      <f>N152</f>
    </oc>
    <nc r="N148">
      <f>N152+N156</f>
    </nc>
    <odxf>
      <fill>
        <patternFill patternType="none">
          <bgColor indexed="65"/>
        </patternFill>
      </fill>
      <protection locked="0"/>
    </odxf>
    <ndxf>
      <fill>
        <patternFill patternType="solid">
          <bgColor theme="6" tint="0.39997558519241921"/>
        </patternFill>
      </fill>
      <protection locked="1"/>
    </ndxf>
  </rcc>
  <rcc rId="8224" sId="18" odxf="1" dxf="1">
    <oc r="O148">
      <f>O152</f>
    </oc>
    <nc r="O148">
      <f>O152+O156</f>
    </nc>
    <odxf>
      <fill>
        <patternFill patternType="none">
          <bgColor indexed="65"/>
        </patternFill>
      </fill>
      <protection locked="0"/>
    </odxf>
    <ndxf>
      <fill>
        <patternFill patternType="solid">
          <bgColor theme="6" tint="0.39997558519241921"/>
        </patternFill>
      </fill>
      <protection locked="1"/>
    </ndxf>
  </rcc>
  <rcc rId="8225" sId="18" odxf="1" dxf="1">
    <oc r="P148">
      <f>P152</f>
    </oc>
    <nc r="P148">
      <f>P152+P156</f>
    </nc>
    <odxf>
      <fill>
        <patternFill patternType="none">
          <bgColor indexed="65"/>
        </patternFill>
      </fill>
      <protection locked="0"/>
    </odxf>
    <ndxf>
      <fill>
        <patternFill patternType="solid">
          <bgColor theme="6" tint="0.39997558519241921"/>
        </patternFill>
      </fill>
      <protection locked="1"/>
    </ndxf>
  </rcc>
  <rcc rId="8226" sId="18" odxf="1" dxf="1">
    <oc r="Q148">
      <f>Q152</f>
    </oc>
    <nc r="Q148">
      <f>Q152+Q156</f>
    </nc>
    <odxf>
      <fill>
        <patternFill patternType="none">
          <bgColor indexed="65"/>
        </patternFill>
      </fill>
      <protection locked="0"/>
    </odxf>
    <ndxf>
      <fill>
        <patternFill patternType="solid">
          <bgColor theme="6" tint="0.39997558519241921"/>
        </patternFill>
      </fill>
      <protection locked="1"/>
    </ndxf>
  </rcc>
  <rcc rId="8227" sId="18" odxf="1" dxf="1">
    <oc r="R148">
      <f>R152</f>
    </oc>
    <nc r="R148">
      <f>R152+R156</f>
    </nc>
    <odxf>
      <fill>
        <patternFill patternType="none">
          <bgColor indexed="65"/>
        </patternFill>
      </fill>
      <protection locked="0"/>
    </odxf>
    <ndxf>
      <fill>
        <patternFill patternType="solid">
          <bgColor theme="6" tint="0.39997558519241921"/>
        </patternFill>
      </fill>
      <protection locked="1"/>
    </ndxf>
  </rcc>
  <rcc rId="8228" sId="18" odxf="1" dxf="1">
    <oc r="S148">
      <f>S152</f>
    </oc>
    <nc r="S148">
      <f>S152+S156</f>
    </nc>
    <odxf>
      <fill>
        <patternFill patternType="none">
          <bgColor indexed="65"/>
        </patternFill>
      </fill>
      <protection locked="0"/>
    </odxf>
    <ndxf>
      <fill>
        <patternFill patternType="solid">
          <bgColor theme="6" tint="0.39997558519241921"/>
        </patternFill>
      </fill>
      <protection locked="1"/>
    </ndxf>
  </rcc>
  <rcc rId="8229" sId="18" odxf="1" dxf="1">
    <oc r="T148">
      <f>T152</f>
    </oc>
    <nc r="T148">
      <f>T152+T156</f>
    </nc>
    <odxf>
      <fill>
        <patternFill patternType="none">
          <bgColor indexed="65"/>
        </patternFill>
      </fill>
      <protection locked="0"/>
    </odxf>
    <ndxf>
      <fill>
        <patternFill patternType="solid">
          <bgColor theme="6" tint="0.39997558519241921"/>
        </patternFill>
      </fill>
      <protection locked="1"/>
    </ndxf>
  </rcc>
  <rcc rId="8230" sId="18" odxf="1" dxf="1">
    <oc r="U148">
      <f>U152</f>
    </oc>
    <nc r="U148">
      <f>U152+U156</f>
    </nc>
    <odxf>
      <fill>
        <patternFill patternType="none">
          <bgColor indexed="65"/>
        </patternFill>
      </fill>
      <protection locked="0"/>
    </odxf>
    <ndxf>
      <fill>
        <patternFill patternType="solid">
          <bgColor theme="6" tint="0.39997558519241921"/>
        </patternFill>
      </fill>
      <protection locked="1"/>
    </ndxf>
  </rcc>
  <rcc rId="8231" sId="18" odxf="1" dxf="1">
    <oc r="V148">
      <f>V152</f>
    </oc>
    <nc r="V148">
      <f>V152+V156</f>
    </nc>
    <odxf>
      <fill>
        <patternFill patternType="none">
          <bgColor indexed="65"/>
        </patternFill>
      </fill>
      <protection locked="0"/>
    </odxf>
    <ndxf>
      <fill>
        <patternFill patternType="solid">
          <bgColor theme="6" tint="0.39997558519241921"/>
        </patternFill>
      </fill>
      <protection locked="1"/>
    </ndxf>
  </rcc>
  <rcc rId="8232" sId="18" odxf="1" dxf="1">
    <oc r="W148">
      <f>W152</f>
    </oc>
    <nc r="W148">
      <f>W152+W156</f>
    </nc>
    <odxf>
      <fill>
        <patternFill patternType="none">
          <bgColor indexed="65"/>
        </patternFill>
      </fill>
      <protection locked="0"/>
    </odxf>
    <ndxf>
      <fill>
        <patternFill patternType="solid">
          <bgColor theme="6" tint="0.39997558519241921"/>
        </patternFill>
      </fill>
      <protection locked="1"/>
    </ndxf>
  </rcc>
  <rcc rId="8233" sId="18" odxf="1" dxf="1">
    <oc r="X148">
      <f>X152</f>
    </oc>
    <nc r="X148">
      <f>X152+X156</f>
    </nc>
    <odxf>
      <fill>
        <patternFill patternType="none">
          <bgColor indexed="65"/>
        </patternFill>
      </fill>
      <protection locked="0"/>
    </odxf>
    <ndxf>
      <fill>
        <patternFill patternType="solid">
          <bgColor theme="6" tint="0.39997558519241921"/>
        </patternFill>
      </fill>
      <protection locked="1"/>
    </ndxf>
  </rcc>
  <rcc rId="8234" sId="18" odxf="1" dxf="1">
    <oc r="Y148">
      <f>Y152</f>
    </oc>
    <nc r="Y148">
      <f>Y152+Y156</f>
    </nc>
    <odxf>
      <fill>
        <patternFill patternType="none">
          <bgColor indexed="65"/>
        </patternFill>
      </fill>
      <protection locked="0"/>
    </odxf>
    <ndxf>
      <fill>
        <patternFill patternType="solid">
          <bgColor theme="6" tint="0.39997558519241921"/>
        </patternFill>
      </fill>
      <protection locked="1"/>
    </ndxf>
  </rcc>
  <rcc rId="8235" sId="18" odxf="1" dxf="1">
    <oc r="Z148">
      <f>Z152</f>
    </oc>
    <nc r="Z148">
      <f>Z152+Z156</f>
    </nc>
    <odxf>
      <fill>
        <patternFill patternType="none">
          <bgColor indexed="65"/>
        </patternFill>
      </fill>
      <protection locked="0"/>
    </odxf>
    <ndxf>
      <fill>
        <patternFill patternType="solid">
          <bgColor theme="6" tint="0.39997558519241921"/>
        </patternFill>
      </fill>
      <protection locked="1"/>
    </ndxf>
  </rcc>
  <rcc rId="8236" sId="18" odxf="1" dxf="1">
    <oc r="AA148">
      <f>AA152</f>
    </oc>
    <nc r="AA148">
      <f>AA152+AA156</f>
    </nc>
    <odxf>
      <fill>
        <patternFill patternType="none">
          <bgColor indexed="65"/>
        </patternFill>
      </fill>
      <protection locked="0"/>
    </odxf>
    <ndxf>
      <fill>
        <patternFill patternType="solid">
          <bgColor theme="6" tint="0.39997558519241921"/>
        </patternFill>
      </fill>
      <protection locked="1"/>
    </ndxf>
  </rcc>
  <rcc rId="8237" sId="18" odxf="1" dxf="1">
    <oc r="AB148">
      <f>AB152</f>
    </oc>
    <nc r="AB148">
      <f>AB152+AB156</f>
    </nc>
    <odxf>
      <fill>
        <patternFill patternType="none">
          <bgColor indexed="65"/>
        </patternFill>
      </fill>
      <protection locked="0"/>
    </odxf>
    <ndxf>
      <fill>
        <patternFill patternType="solid">
          <bgColor theme="6" tint="0.39997558519241921"/>
        </patternFill>
      </fill>
      <protection locked="1"/>
    </ndxf>
  </rcc>
  <rcc rId="8238" sId="18" odxf="1" dxf="1">
    <oc r="AC148">
      <f>AC152</f>
    </oc>
    <nc r="AC148">
      <f>AC152+AC156</f>
    </nc>
    <odxf>
      <fill>
        <patternFill patternType="none">
          <bgColor indexed="65"/>
        </patternFill>
      </fill>
      <protection locked="0"/>
    </odxf>
    <ndxf>
      <fill>
        <patternFill patternType="solid">
          <bgColor theme="6" tint="0.39997558519241921"/>
        </patternFill>
      </fill>
      <protection locked="1"/>
    </ndxf>
  </rcc>
  <rcc rId="8239" sId="18" odxf="1" dxf="1">
    <oc r="AD148">
      <f>AD152</f>
    </oc>
    <nc r="AD148">
      <f>AD152+AD156</f>
    </nc>
    <odxf>
      <fill>
        <patternFill patternType="none">
          <bgColor indexed="65"/>
        </patternFill>
      </fill>
      <protection locked="0"/>
    </odxf>
    <ndxf>
      <fill>
        <patternFill patternType="solid">
          <bgColor theme="6" tint="0.39997558519241921"/>
        </patternFill>
      </fill>
      <protection locked="1"/>
    </ndxf>
  </rcc>
  <rcc rId="8240" sId="18" odxf="1" dxf="1">
    <oc r="AE148">
      <f>AE152</f>
    </oc>
    <nc r="AE148">
      <f>AE152+AE156</f>
    </nc>
    <odxf>
      <fill>
        <patternFill patternType="none">
          <bgColor indexed="65"/>
        </patternFill>
      </fill>
      <protection locked="0"/>
    </odxf>
    <ndxf>
      <fill>
        <patternFill patternType="solid">
          <bgColor theme="6" tint="0.39997558519241921"/>
        </patternFill>
      </fill>
      <protection locked="1"/>
    </ndxf>
  </rcc>
  <rcc rId="8241" sId="18" odxf="1" s="1" dxf="1">
    <oc r="F148">
      <f>IFERROR(E148/B148*100,0)</f>
    </oc>
    <nc r="F148">
      <f>IFERROR(E148/B148*100,0)</f>
    </nc>
    <ndxf>
      <fill>
        <patternFill patternType="none">
          <bgColor indexed="65"/>
        </patternFill>
      </fill>
    </ndxf>
  </rcc>
  <rcc rId="8242" sId="18" odxf="1" s="1" dxf="1">
    <oc r="G148">
      <f>IFERROR(E148/C148*100,0)</f>
    </oc>
    <nc r="G148">
      <f>IFERROR(E148/C148*100,0)</f>
    </nc>
    <ndxf>
      <fill>
        <patternFill patternType="none">
          <bgColor indexed="65"/>
        </patternFill>
      </fill>
    </ndxf>
  </rcc>
  <rfmt sheetId="18" sqref="A31:AF31">
    <dxf>
      <fill>
        <patternFill>
          <bgColor theme="0" tint="-0.14999847407452621"/>
        </patternFill>
      </fill>
    </dxf>
  </rfmt>
  <rcc rId="8243" sId="18" numFmtId="4">
    <oc r="Q22">
      <v>2062.489</v>
    </oc>
    <nc r="Q22">
      <v>1888.046</v>
    </nc>
  </rcc>
  <rcc rId="8244" sId="18" numFmtId="4">
    <oc r="Q26">
      <v>1493.75</v>
    </oc>
    <nc r="Q26">
      <v>1118.1600000000001</v>
    </nc>
  </rcc>
  <rcc rId="8245" sId="18" numFmtId="4">
    <oc r="Q30">
      <v>742.81</v>
    </oc>
    <nc r="Q30">
      <v>697.91499999999996</v>
    </nc>
  </rcc>
</revisions>
</file>

<file path=xl/revisions/revisionLog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33" sId="14" numFmtId="4">
    <nc r="R307">
      <v>423.4</v>
    </nc>
  </rcc>
  <rcc rId="7734" sId="14" numFmtId="4">
    <nc r="S307">
      <v>423.4</v>
    </nc>
  </rcc>
  <rcc rId="7735" sId="14" numFmtId="4">
    <oc r="V307">
      <v>2992.8</v>
    </oc>
    <nc r="V307">
      <f>2992.8+423.4</f>
    </nc>
  </rcc>
  <rcc rId="7736" sId="14">
    <oc r="C307">
      <f>SUM(H307)</f>
    </oc>
    <nc r="C307">
      <f>H307+J307+L307+N307+P307+R307</f>
    </nc>
  </rcc>
  <rcc rId="7737" sId="14">
    <oc r="C319">
      <f>H319+J319+L319+N319</f>
    </oc>
    <nc r="C319">
      <f>H319+J319+L319+N319+P319+R319</f>
    </nc>
  </rcc>
  <rcc rId="7738" sId="14" numFmtId="4">
    <oc r="P319">
      <v>769.29459999999995</v>
    </oc>
    <nc r="P319">
      <f>769.2946-355.89</f>
    </nc>
  </rcc>
  <rcc rId="7739" sId="14">
    <oc r="X319">
      <f>532.7027+74.42</f>
    </oc>
    <nc r="X319">
      <f>532.7027+74.42+355.89</f>
    </nc>
  </rcc>
  <rcc rId="7740" sId="14" numFmtId="4">
    <nc r="Q319">
      <v>413.4</v>
    </nc>
  </rcc>
  <rcc rId="7741" sId="14" numFmtId="4">
    <nc r="S319">
      <v>493.36</v>
    </nc>
  </rcc>
  <rcc rId="7742" sId="14">
    <oc r="C318">
      <f>H318+J318+L318+N318</f>
    </oc>
    <nc r="C318">
      <f>H318+J318+L318+N318+P318+R318</f>
    </nc>
  </rcc>
  <rcc rId="7743" sId="14" numFmtId="4">
    <nc r="Q318">
      <v>4356.0600000000004</v>
    </nc>
  </rcc>
  <rcc rId="7744" sId="14">
    <oc r="P318">
      <v>4356.0644000000002</v>
    </oc>
    <nc r="P318">
      <f>4356.0644-2164.72</f>
    </nc>
  </rcc>
  <rcc rId="7745" sId="14" numFmtId="4">
    <nc r="S318">
      <v>1032.6500000000001</v>
    </nc>
  </rcc>
  <rcc rId="7746" sId="14" numFmtId="4">
    <oc r="AD318">
      <v>3726.1442000000002</v>
    </oc>
    <nc r="AD318">
      <f>2164.72+3726.1442</f>
    </nc>
  </rcc>
  <rcc rId="7747" sId="14">
    <oc r="C317">
      <f>H317+J317+L317+N317</f>
    </oc>
    <nc r="C317">
      <f>H317+J317+L317+N317+P317+R317</f>
    </nc>
  </rcc>
  <rcc rId="7748" sId="14" numFmtId="4">
    <nc r="Q317">
      <v>2860.04</v>
    </nc>
  </rcc>
  <rcc rId="7749" sId="14">
    <oc r="N317">
      <f>2772.97675-148.08</f>
    </oc>
    <nc r="N317">
      <f>2772.97675-148.08-1157.23</f>
    </nc>
  </rcc>
  <rcc rId="7750" sId="14" numFmtId="4">
    <nc r="S317">
      <v>732.43</v>
    </nc>
  </rcc>
  <rcc rId="7751" sId="14">
    <oc r="X317">
      <f>2028.7749+148.08</f>
    </oc>
    <nc r="X317">
      <f>2028.7749+148.08+1157.23</f>
    </nc>
  </rcc>
  <rcc rId="7752" sId="14">
    <oc r="C330">
      <f>H330+J330+L330+N330</f>
    </oc>
    <nc r="C330">
      <f>H330+J330+L330+N330+P330+R330</f>
    </nc>
  </rcc>
  <rcc rId="7753" sId="14" numFmtId="4">
    <oc r="R330">
      <v>6378.0630000000001</v>
    </oc>
    <nc r="R330">
      <f>6378.063+2082.99</f>
    </nc>
  </rcc>
  <rcc rId="7754" sId="14" numFmtId="4">
    <oc r="X330">
      <v>10953.995000000001</v>
    </oc>
    <nc r="X330">
      <f>10953.995-2082.99</f>
    </nc>
  </rcc>
  <rcc rId="7755" sId="14" numFmtId="4">
    <nc r="Q330">
      <v>16585.009999999998</v>
    </nc>
  </rcc>
  <rcc rId="7756" sId="14" numFmtId="4">
    <nc r="S330">
      <v>9116.75</v>
    </nc>
  </rcc>
  <rcc rId="7757" sId="14">
    <oc r="C325">
      <f>H325+J325+L325+N325</f>
    </oc>
    <nc r="C325">
      <f>H325+J325+L325+N325+P325+R325</f>
    </nc>
  </rcc>
  <rcc rId="7758" sId="14" numFmtId="4">
    <nc r="Q325">
      <v>2698</v>
    </nc>
  </rcc>
  <rcc rId="7759" sId="14" numFmtId="4">
    <nc r="S325">
      <v>1321.4</v>
    </nc>
  </rcc>
  <rcc rId="7760" sId="14" numFmtId="4">
    <oc r="AD349">
      <v>4386.1000000000004</v>
    </oc>
    <nc r="AD349">
      <v>2345.1999999999998</v>
    </nc>
  </rcc>
  <rcc rId="7761" sId="14">
    <oc r="C355">
      <f>C16+C28+C35+C65+C83+C131+C152+C166+C178+C191+C209+C239+C259+C271+C278+C302+C338</f>
    </oc>
    <nc r="C355">
      <f>C16+C28+C35+C65+C83+C131+C152+C166+C178+C191+C209+C239+C259+C271+C278+C302+C338+C41</f>
    </nc>
  </rcc>
  <rcc rId="7762" sId="14">
    <oc r="C374">
      <f>C21+C27+C40+C46+C52+C70+C76+C94+C100+C106+C112+C118+C124+C136+C143+C157+C171+C183+C196+C202+C214+C220+C226+C232+C244+C250+C264+C270+C283+C289+C295+C307+C319+C325+C331+C343+C349-C354</f>
    </oc>
    <nc r="C374">
      <f>C21+C27+C40+C46+C52+C70+C76+C94+C100+C106+C112+C118+C124+C136+C143+C157+C171+C183+C196+C202+C214+C220+C226+C232+C244+C250+C264+C270+C283+C289+C295+C307+C319+C325+C331+C343+C349-C354</f>
    </nc>
  </rcc>
  <rcc rId="7763" sId="14">
    <oc r="C138">
      <f>SUM(H138+J138+L138)</f>
    </oc>
    <nc r="C138">
      <f>SUM(H138+J138+L138+N138+P138+R138)</f>
    </nc>
  </rcc>
  <rcc rId="7764" sId="14" numFmtId="4">
    <nc r="Q138">
      <v>5700</v>
    </nc>
  </rcc>
  <rcc rId="7765" sId="14">
    <oc r="A96" t="inlineStr">
      <is>
        <t>1.3.1.2. Реализация полномочий органов местного самоуправления в сфере 
общего образования</t>
      </is>
    </oc>
    <nc r="A96" t="inlineStr">
      <is>
        <t>1.3.1.2. Реализация полномочий органов местного самоуправления в сфере 
общего образования (51,52</t>
      </is>
    </nc>
  </rcc>
  <rcc rId="7766" sId="14">
    <oc r="C100">
      <f>SUM(H100+J100+L100+N100)</f>
    </oc>
    <nc r="C100">
      <f>SUM(H100+J100+L100+N100+P100+R100)</f>
    </nc>
  </rcc>
  <rcc rId="7767" sId="14" numFmtId="4">
    <nc r="Q100">
      <v>39256.57</v>
    </nc>
  </rcc>
  <rcc rId="7768" sId="14" numFmtId="4">
    <oc r="Z100">
      <v>25061.7</v>
    </oc>
    <nc r="Z100">
      <f>25061.7-3143.65</f>
    </nc>
  </rcc>
  <rcc rId="7769" sId="14" numFmtId="4">
    <oc r="R100">
      <v>35938.43</v>
    </oc>
    <nc r="R100">
      <f>35938.43+3143.65</f>
    </nc>
  </rcc>
  <rcc rId="7770" sId="14" numFmtId="4">
    <nc r="S100">
      <v>37169.5</v>
    </nc>
  </rcc>
  <rcc rId="7771" sId="14" numFmtId="4">
    <oc r="V100">
      <v>21492.639999999999</v>
    </oc>
    <nc r="V100">
      <f>21492.64-1490.9</f>
    </nc>
  </rcc>
  <rcc rId="7772" sId="14" numFmtId="4">
    <nc r="R138">
      <f>1970.48+311.35</f>
    </nc>
  </rcc>
  <rcc rId="7773" sId="14" numFmtId="4">
    <nc r="S138">
      <f>1970.48+311.35</f>
    </nc>
  </rcc>
  <rcc rId="7774" sId="14">
    <oc r="C135">
      <f>H135+J135+L135+N135</f>
    </oc>
    <nc r="C135">
      <f>H135+J135+L135+N135+P135+R135</f>
    </nc>
  </rcc>
  <rcc rId="7775" sId="14" numFmtId="4">
    <nc r="S135">
      <v>16.84</v>
    </nc>
  </rcc>
  <rcc rId="7776" sId="14">
    <oc r="AD135">
      <f>12972.3-1587.72</f>
    </oc>
    <nc r="AD135">
      <f>12972.3-1587.72-1007.9</f>
    </nc>
  </rcc>
  <rcc rId="7777" sId="14">
    <oc r="C136">
      <f>SUM(H136+J136+L136+N136)</f>
    </oc>
    <nc r="C136">
      <f>SUM(H136+J136+L136+N136+P136+R136)</f>
    </nc>
  </rcc>
  <rcc rId="7778" sId="14" numFmtId="4">
    <oc r="R136">
      <v>3030.3</v>
    </oc>
    <nc r="R136">
      <f>5656.62+3030.3</f>
    </nc>
  </rcc>
  <rcc rId="7779" sId="14" numFmtId="4">
    <nc r="Q136">
      <v>935.7</v>
    </nc>
  </rcc>
  <rcc rId="7780" sId="14" numFmtId="4">
    <nc r="S136">
      <f>8686.92-1.22</f>
    </nc>
  </rcc>
  <rcc rId="7781" sId="14">
    <oc r="AD136">
      <f>15635.4-2015.8-122.5</f>
    </oc>
    <nc r="AD136">
      <f>15635.4-2015.8-122.5-5656.62-3077.1</f>
    </nc>
  </rcc>
  <rcc rId="7782" sId="14">
    <oc r="C372">
      <f>C19+C25+C38+C44+C50+C68+C74+C92+C98+C104+C110+C116+C122+C134+C141+C155+C169+C181+C194+C200+C212+C218+C224+C230+C242+C248+C262+C268+C281+C287+C293+C305+C317+C323+C329+C341+C347-C352</f>
    </oc>
    <nc r="C372">
      <f>C19+C25+C38+C44+C50+C68+C74+C92+C98+C104+C110+C116+C122+C134+C141+C155+C169+C181+C194+C200+C212+C218+C224+C230+C242+C248+C262+C268+C281+C287+C293+C305+C317+C323+C329+C341+C347-C352</f>
    </nc>
  </rcc>
  <rcc rId="7783" sId="14">
    <oc r="C357">
      <f>C13+C25+C163+C175+C256+C268</f>
    </oc>
    <nc r="C357">
      <f>C13+C25+C163+C175+C256+C268</f>
    </nc>
  </rcc>
  <rcc rId="7784" sId="14">
    <oc r="C365">
      <f>C138+C101</f>
    </oc>
    <nc r="C365">
      <f>C138+C101+C41</f>
    </nc>
  </rcc>
</revisions>
</file>

<file path=xl/revisions/revisionLog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85" sId="14">
    <oc r="C352">
      <f>C13+C25+C32+C62+C80+C128+C149+C163+C175+C188+C206+C236+C256+C268+C275+C299+C335</f>
    </oc>
    <nc r="C352">
      <f>C13+C25+C32+C62+C80+C128+C149+C163+C175+C188+C206+C236+C256+C268+C275+C299+C335</f>
    </nc>
  </rcc>
  <rcmt sheetId="14" cell="X351" guid="{00000000-0000-0000-0000-000000000000}" action="delete" author="Цёвка Елена Александровна"/>
  <rcmt sheetId="14" cell="Z351" guid="{00000000-0000-0000-0000-000000000000}" action="delete" author="Цёвка Елена Александровна"/>
  <rfmt sheetId="14" sqref="X351:Z351" start="0" length="2147483647">
    <dxf>
      <font>
        <color auto="1"/>
      </font>
    </dxf>
  </rfmt>
</revisions>
</file>

<file path=xl/revisions/revisionLog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86" sId="22">
    <oc r="AF20" t="inlineStr">
      <is>
        <t xml:space="preserve">Муниципальный контракт №0187300013724000020 от 25.03.2024 на выполнение работ по строительству объекта благоустройства "Этнодеревня в городе Когалыме" 3 этап:
- цена контракта 2 195,23 тыс.рублей;
- срок выполнения работ: 01.08.2024 г.
- внесены изменения в существенные условия контракта, в части установления аванса в размере 45% от цены контракта, перечислен аванс в сумме 9 878, 57 тыс.руб. (45%), </t>
      </is>
    </oc>
    <nc r="AF20" t="inlineStr">
      <is>
        <t xml:space="preserve">Муниципальный контракт №0187300013724000020 от 25.03.2024 на выполнение работ по строительству объекта благоустройства "Этнодеревня в городе Когалыме" 3 этап:
- цена контракта 21 952,3 тыс.рублей;
- срок выполнения работ: 01.08.2024 г.
- внесены изменения в существенные условия контракта, в части установления аванса в размере 45% от цены контракта, перечислен аванс в сумме 9 878, 57 тыс.руб. (45%), </t>
      </is>
    </nc>
  </rcc>
  <rfmt sheetId="22" sqref="A48">
    <dxf>
      <alignment wrapText="1" readingOrder="0"/>
    </dxf>
  </rfmt>
  <rfmt sheetId="22" sqref="A20:AE20">
    <dxf>
      <alignment wrapText="0" readingOrder="0"/>
    </dxf>
  </rfmt>
  <rfmt sheetId="22" sqref="A20:AE20">
    <dxf>
      <alignment wrapText="1" readingOrder="0"/>
    </dxf>
  </rfmt>
</revisions>
</file>

<file path=xl/revisions/revisionLog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2" customView="1" name="Z_AC2D5927_4079_4C74_AF69_1BFAC505648F_.wvu.Rows" hidden="1" oldHidden="1">
    <formula>'1.СЗН'!$69:$73</formula>
  </rdn>
  <rdn rId="0" localSheetId="2" customView="1" name="Z_AC2D5927_4079_4C74_AF69_1BFAC505648F_.wvu.FilterData" hidden="1" oldHidden="1">
    <formula>'1.СЗН'!$A$1:$AF$63</formula>
  </rdn>
  <rdn rId="0" localSheetId="3" customView="1" name="Z_AC2D5927_4079_4C74_AF69_1BFAC505648F_.wvu.FilterData" hidden="1" oldHidden="1">
    <formula>'2.АПК'!$A$1:$AF$36</formula>
  </rdn>
  <rdn rId="0" localSheetId="4" customView="1" name="Z_AC2D5927_4079_4C74_AF69_1BFAC505648F_.wvu.FilterData" hidden="1" oldHidden="1">
    <formula>'3.БЖД'!$A$1:$AF$17</formula>
  </rdn>
  <rdn rId="0" localSheetId="5" customView="1" name="Z_AC2D5927_4079_4C74_AF69_1BFAC505648F_.wvu.FilterData" hidden="1" oldHidden="1">
    <formula>'4.УМИ'!$A$1:$AF$11</formula>
  </rdn>
  <rdn rId="0" localSheetId="6" customView="1" name="Z_AC2D5927_4079_4C74_AF69_1BFAC505648F_.wvu.FilterData" hidden="1" oldHidden="1">
    <formula>'5.Проф. прав.'!$A$1:$AF$12</formula>
  </rdn>
  <rdn rId="0" localSheetId="7" customView="1" name="Z_AC2D5927_4079_4C74_AF69_1BFAC505648F_.wvu.Rows" hidden="1" oldHidden="1">
    <formula>'6.Экстримизм'!$9:$23,'6.Экстримизм'!$30:$38,'6.Экстримизм'!$44:$49,'6.Экстримизм'!$65:$67,'6.Экстримизм'!$71:$76,'6.Экстримизм'!$86:$88,'6.Экстримизм'!$95:$97</formula>
  </rdn>
  <rdn rId="0" localSheetId="7" customView="1" name="Z_AC2D5927_4079_4C74_AF69_1BFAC505648F_.wvu.FilterData" hidden="1" oldHidden="1">
    <formula>'6.Экстримизм'!$A$1:$AF$11</formula>
  </rdn>
  <rdn rId="0" localSheetId="14" customView="1" name="Z_AC2D5927_4079_4C74_AF69_1BFAC505648F_.wvu.FilterData" hidden="1" oldHidden="1">
    <formula>'11.МП РО'!$A$4:$A$380</formula>
  </rdn>
  <rdn rId="0" localSheetId="17" customView="1" name="Z_AC2D5927_4079_4C74_AF69_1BFAC505648F_.wvu.Rows" hidden="1" oldHidden="1">
    <formula>'13.МП РЖС'!$122:$127</formula>
  </rdn>
  <rdn rId="0" localSheetId="17" customView="1" name="Z_AC2D5927_4079_4C74_AF69_1BFAC505648F_.wvu.Cols" hidden="1" oldHidden="1">
    <formula>'13.МП РЖС'!$AG:$AG</formula>
  </rdn>
  <rcv guid="{AC2D5927-4079-4C74-AF69-1BFAC505648F}"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6ED6AE99-174A-4125-B95A-31B38CB6A38A}" name="Степаненко Наталья Алексеевна" id="-1571175362" dateTime="2024-07-17T11:43:58"/>
</user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46.bin"/><Relationship Id="rId13" Type="http://schemas.openxmlformats.org/officeDocument/2006/relationships/printerSettings" Target="../printerSettings/printerSettings251.bin"/><Relationship Id="rId18" Type="http://schemas.openxmlformats.org/officeDocument/2006/relationships/printerSettings" Target="../printerSettings/printerSettings256.bin"/><Relationship Id="rId26" Type="http://schemas.openxmlformats.org/officeDocument/2006/relationships/printerSettings" Target="../printerSettings/printerSettings264.bin"/><Relationship Id="rId3" Type="http://schemas.openxmlformats.org/officeDocument/2006/relationships/printerSettings" Target="../printerSettings/printerSettings241.bin"/><Relationship Id="rId21" Type="http://schemas.openxmlformats.org/officeDocument/2006/relationships/printerSettings" Target="../printerSettings/printerSettings259.bin"/><Relationship Id="rId7" Type="http://schemas.openxmlformats.org/officeDocument/2006/relationships/printerSettings" Target="../printerSettings/printerSettings245.bin"/><Relationship Id="rId12" Type="http://schemas.openxmlformats.org/officeDocument/2006/relationships/printerSettings" Target="../printerSettings/printerSettings250.bin"/><Relationship Id="rId17" Type="http://schemas.openxmlformats.org/officeDocument/2006/relationships/printerSettings" Target="../printerSettings/printerSettings255.bin"/><Relationship Id="rId25" Type="http://schemas.openxmlformats.org/officeDocument/2006/relationships/printerSettings" Target="../printerSettings/printerSettings263.bin"/><Relationship Id="rId2" Type="http://schemas.openxmlformats.org/officeDocument/2006/relationships/printerSettings" Target="../printerSettings/printerSettings240.bin"/><Relationship Id="rId16" Type="http://schemas.openxmlformats.org/officeDocument/2006/relationships/printerSettings" Target="../printerSettings/printerSettings254.bin"/><Relationship Id="rId20" Type="http://schemas.openxmlformats.org/officeDocument/2006/relationships/printerSettings" Target="../printerSettings/printerSettings258.bin"/><Relationship Id="rId29" Type="http://schemas.openxmlformats.org/officeDocument/2006/relationships/printerSettings" Target="../printerSettings/printerSettings267.bin"/><Relationship Id="rId1" Type="http://schemas.openxmlformats.org/officeDocument/2006/relationships/printerSettings" Target="../printerSettings/printerSettings239.bin"/><Relationship Id="rId6" Type="http://schemas.openxmlformats.org/officeDocument/2006/relationships/printerSettings" Target="../printerSettings/printerSettings244.bin"/><Relationship Id="rId11" Type="http://schemas.openxmlformats.org/officeDocument/2006/relationships/printerSettings" Target="../printerSettings/printerSettings249.bin"/><Relationship Id="rId24" Type="http://schemas.openxmlformats.org/officeDocument/2006/relationships/printerSettings" Target="../printerSettings/printerSettings262.bin"/><Relationship Id="rId5" Type="http://schemas.openxmlformats.org/officeDocument/2006/relationships/printerSettings" Target="../printerSettings/printerSettings243.bin"/><Relationship Id="rId15" Type="http://schemas.openxmlformats.org/officeDocument/2006/relationships/printerSettings" Target="../printerSettings/printerSettings253.bin"/><Relationship Id="rId23" Type="http://schemas.openxmlformats.org/officeDocument/2006/relationships/printerSettings" Target="../printerSettings/printerSettings261.bin"/><Relationship Id="rId28" Type="http://schemas.openxmlformats.org/officeDocument/2006/relationships/printerSettings" Target="../printerSettings/printerSettings266.bin"/><Relationship Id="rId10" Type="http://schemas.openxmlformats.org/officeDocument/2006/relationships/printerSettings" Target="../printerSettings/printerSettings248.bin"/><Relationship Id="rId19" Type="http://schemas.openxmlformats.org/officeDocument/2006/relationships/printerSettings" Target="../printerSettings/printerSettings257.bin"/><Relationship Id="rId31" Type="http://schemas.openxmlformats.org/officeDocument/2006/relationships/printerSettings" Target="../printerSettings/printerSettings269.bin"/><Relationship Id="rId4" Type="http://schemas.openxmlformats.org/officeDocument/2006/relationships/printerSettings" Target="../printerSettings/printerSettings242.bin"/><Relationship Id="rId9" Type="http://schemas.openxmlformats.org/officeDocument/2006/relationships/printerSettings" Target="../printerSettings/printerSettings247.bin"/><Relationship Id="rId14" Type="http://schemas.openxmlformats.org/officeDocument/2006/relationships/printerSettings" Target="../printerSettings/printerSettings252.bin"/><Relationship Id="rId22" Type="http://schemas.openxmlformats.org/officeDocument/2006/relationships/printerSettings" Target="../printerSettings/printerSettings260.bin"/><Relationship Id="rId27" Type="http://schemas.openxmlformats.org/officeDocument/2006/relationships/printerSettings" Target="../printerSettings/printerSettings265.bin"/><Relationship Id="rId30" Type="http://schemas.openxmlformats.org/officeDocument/2006/relationships/printerSettings" Target="../printerSettings/printerSettings268.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77.bin"/><Relationship Id="rId13" Type="http://schemas.openxmlformats.org/officeDocument/2006/relationships/printerSettings" Target="../printerSettings/printerSettings282.bin"/><Relationship Id="rId18" Type="http://schemas.openxmlformats.org/officeDocument/2006/relationships/printerSettings" Target="../printerSettings/printerSettings287.bin"/><Relationship Id="rId26" Type="http://schemas.openxmlformats.org/officeDocument/2006/relationships/printerSettings" Target="../printerSettings/printerSettings295.bin"/><Relationship Id="rId3" Type="http://schemas.openxmlformats.org/officeDocument/2006/relationships/printerSettings" Target="../printerSettings/printerSettings272.bin"/><Relationship Id="rId21" Type="http://schemas.openxmlformats.org/officeDocument/2006/relationships/printerSettings" Target="../printerSettings/printerSettings290.bin"/><Relationship Id="rId7" Type="http://schemas.openxmlformats.org/officeDocument/2006/relationships/printerSettings" Target="../printerSettings/printerSettings276.bin"/><Relationship Id="rId12" Type="http://schemas.openxmlformats.org/officeDocument/2006/relationships/printerSettings" Target="../printerSettings/printerSettings281.bin"/><Relationship Id="rId17" Type="http://schemas.openxmlformats.org/officeDocument/2006/relationships/printerSettings" Target="../printerSettings/printerSettings286.bin"/><Relationship Id="rId25" Type="http://schemas.openxmlformats.org/officeDocument/2006/relationships/printerSettings" Target="../printerSettings/printerSettings294.bin"/><Relationship Id="rId2" Type="http://schemas.openxmlformats.org/officeDocument/2006/relationships/printerSettings" Target="../printerSettings/printerSettings271.bin"/><Relationship Id="rId16" Type="http://schemas.openxmlformats.org/officeDocument/2006/relationships/printerSettings" Target="../printerSettings/printerSettings285.bin"/><Relationship Id="rId20" Type="http://schemas.openxmlformats.org/officeDocument/2006/relationships/printerSettings" Target="../printerSettings/printerSettings289.bin"/><Relationship Id="rId29" Type="http://schemas.openxmlformats.org/officeDocument/2006/relationships/printerSettings" Target="../printerSettings/printerSettings298.bin"/><Relationship Id="rId1" Type="http://schemas.openxmlformats.org/officeDocument/2006/relationships/printerSettings" Target="../printerSettings/printerSettings270.bin"/><Relationship Id="rId6" Type="http://schemas.openxmlformats.org/officeDocument/2006/relationships/printerSettings" Target="../printerSettings/printerSettings275.bin"/><Relationship Id="rId11" Type="http://schemas.openxmlformats.org/officeDocument/2006/relationships/printerSettings" Target="../printerSettings/printerSettings280.bin"/><Relationship Id="rId24" Type="http://schemas.openxmlformats.org/officeDocument/2006/relationships/printerSettings" Target="../printerSettings/printerSettings293.bin"/><Relationship Id="rId32" Type="http://schemas.openxmlformats.org/officeDocument/2006/relationships/comments" Target="../comments6.xml"/><Relationship Id="rId5" Type="http://schemas.openxmlformats.org/officeDocument/2006/relationships/printerSettings" Target="../printerSettings/printerSettings274.bin"/><Relationship Id="rId15" Type="http://schemas.openxmlformats.org/officeDocument/2006/relationships/printerSettings" Target="../printerSettings/printerSettings284.bin"/><Relationship Id="rId23" Type="http://schemas.openxmlformats.org/officeDocument/2006/relationships/printerSettings" Target="../printerSettings/printerSettings292.bin"/><Relationship Id="rId28" Type="http://schemas.openxmlformats.org/officeDocument/2006/relationships/printerSettings" Target="../printerSettings/printerSettings297.bin"/><Relationship Id="rId10" Type="http://schemas.openxmlformats.org/officeDocument/2006/relationships/printerSettings" Target="../printerSettings/printerSettings279.bin"/><Relationship Id="rId19" Type="http://schemas.openxmlformats.org/officeDocument/2006/relationships/printerSettings" Target="../printerSettings/printerSettings288.bin"/><Relationship Id="rId31" Type="http://schemas.openxmlformats.org/officeDocument/2006/relationships/vmlDrawing" Target="../drawings/vmlDrawing6.vml"/><Relationship Id="rId4" Type="http://schemas.openxmlformats.org/officeDocument/2006/relationships/printerSettings" Target="../printerSettings/printerSettings273.bin"/><Relationship Id="rId9" Type="http://schemas.openxmlformats.org/officeDocument/2006/relationships/printerSettings" Target="../printerSettings/printerSettings278.bin"/><Relationship Id="rId14" Type="http://schemas.openxmlformats.org/officeDocument/2006/relationships/printerSettings" Target="../printerSettings/printerSettings283.bin"/><Relationship Id="rId22" Type="http://schemas.openxmlformats.org/officeDocument/2006/relationships/printerSettings" Target="../printerSettings/printerSettings291.bin"/><Relationship Id="rId27" Type="http://schemas.openxmlformats.org/officeDocument/2006/relationships/printerSettings" Target="../printerSettings/printerSettings296.bin"/><Relationship Id="rId30" Type="http://schemas.openxmlformats.org/officeDocument/2006/relationships/printerSettings" Target="../printerSettings/printerSettings299.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07.bin"/><Relationship Id="rId13" Type="http://schemas.openxmlformats.org/officeDocument/2006/relationships/printerSettings" Target="../printerSettings/printerSettings312.bin"/><Relationship Id="rId18" Type="http://schemas.openxmlformats.org/officeDocument/2006/relationships/printerSettings" Target="../printerSettings/printerSettings317.bin"/><Relationship Id="rId26" Type="http://schemas.openxmlformats.org/officeDocument/2006/relationships/printerSettings" Target="../printerSettings/printerSettings325.bin"/><Relationship Id="rId3" Type="http://schemas.openxmlformats.org/officeDocument/2006/relationships/printerSettings" Target="../printerSettings/printerSettings302.bin"/><Relationship Id="rId21" Type="http://schemas.openxmlformats.org/officeDocument/2006/relationships/printerSettings" Target="../printerSettings/printerSettings320.bin"/><Relationship Id="rId7" Type="http://schemas.openxmlformats.org/officeDocument/2006/relationships/printerSettings" Target="../printerSettings/printerSettings306.bin"/><Relationship Id="rId12" Type="http://schemas.openxmlformats.org/officeDocument/2006/relationships/printerSettings" Target="../printerSettings/printerSettings311.bin"/><Relationship Id="rId17" Type="http://schemas.openxmlformats.org/officeDocument/2006/relationships/printerSettings" Target="../printerSettings/printerSettings316.bin"/><Relationship Id="rId25" Type="http://schemas.openxmlformats.org/officeDocument/2006/relationships/printerSettings" Target="../printerSettings/printerSettings324.bin"/><Relationship Id="rId2" Type="http://schemas.openxmlformats.org/officeDocument/2006/relationships/printerSettings" Target="../printerSettings/printerSettings301.bin"/><Relationship Id="rId16" Type="http://schemas.openxmlformats.org/officeDocument/2006/relationships/printerSettings" Target="../printerSettings/printerSettings315.bin"/><Relationship Id="rId20" Type="http://schemas.openxmlformats.org/officeDocument/2006/relationships/printerSettings" Target="../printerSettings/printerSettings319.bin"/><Relationship Id="rId29" Type="http://schemas.openxmlformats.org/officeDocument/2006/relationships/printerSettings" Target="../printerSettings/printerSettings328.bin"/><Relationship Id="rId1" Type="http://schemas.openxmlformats.org/officeDocument/2006/relationships/printerSettings" Target="../printerSettings/printerSettings300.bin"/><Relationship Id="rId6" Type="http://schemas.openxmlformats.org/officeDocument/2006/relationships/printerSettings" Target="../printerSettings/printerSettings305.bin"/><Relationship Id="rId11" Type="http://schemas.openxmlformats.org/officeDocument/2006/relationships/printerSettings" Target="../printerSettings/printerSettings310.bin"/><Relationship Id="rId24" Type="http://schemas.openxmlformats.org/officeDocument/2006/relationships/printerSettings" Target="../printerSettings/printerSettings323.bin"/><Relationship Id="rId5" Type="http://schemas.openxmlformats.org/officeDocument/2006/relationships/printerSettings" Target="../printerSettings/printerSettings304.bin"/><Relationship Id="rId15" Type="http://schemas.openxmlformats.org/officeDocument/2006/relationships/printerSettings" Target="../printerSettings/printerSettings314.bin"/><Relationship Id="rId23" Type="http://schemas.openxmlformats.org/officeDocument/2006/relationships/printerSettings" Target="../printerSettings/printerSettings322.bin"/><Relationship Id="rId28" Type="http://schemas.openxmlformats.org/officeDocument/2006/relationships/printerSettings" Target="../printerSettings/printerSettings327.bin"/><Relationship Id="rId10" Type="http://schemas.openxmlformats.org/officeDocument/2006/relationships/printerSettings" Target="../printerSettings/printerSettings309.bin"/><Relationship Id="rId19" Type="http://schemas.openxmlformats.org/officeDocument/2006/relationships/printerSettings" Target="../printerSettings/printerSettings318.bin"/><Relationship Id="rId31" Type="http://schemas.openxmlformats.org/officeDocument/2006/relationships/comments" Target="../comments7.xml"/><Relationship Id="rId4" Type="http://schemas.openxmlformats.org/officeDocument/2006/relationships/printerSettings" Target="../printerSettings/printerSettings303.bin"/><Relationship Id="rId9" Type="http://schemas.openxmlformats.org/officeDocument/2006/relationships/printerSettings" Target="../printerSettings/printerSettings308.bin"/><Relationship Id="rId14" Type="http://schemas.openxmlformats.org/officeDocument/2006/relationships/printerSettings" Target="../printerSettings/printerSettings313.bin"/><Relationship Id="rId22" Type="http://schemas.openxmlformats.org/officeDocument/2006/relationships/printerSettings" Target="../printerSettings/printerSettings321.bin"/><Relationship Id="rId27" Type="http://schemas.openxmlformats.org/officeDocument/2006/relationships/printerSettings" Target="../printerSettings/printerSettings326.bin"/><Relationship Id="rId30" Type="http://schemas.openxmlformats.org/officeDocument/2006/relationships/vmlDrawing" Target="../drawings/vmlDrawing7.v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36.bin"/><Relationship Id="rId13" Type="http://schemas.openxmlformats.org/officeDocument/2006/relationships/printerSettings" Target="../printerSettings/printerSettings341.bin"/><Relationship Id="rId18" Type="http://schemas.openxmlformats.org/officeDocument/2006/relationships/printerSettings" Target="../printerSettings/printerSettings346.bin"/><Relationship Id="rId26" Type="http://schemas.openxmlformats.org/officeDocument/2006/relationships/printerSettings" Target="../printerSettings/printerSettings354.bin"/><Relationship Id="rId3" Type="http://schemas.openxmlformats.org/officeDocument/2006/relationships/printerSettings" Target="../printerSettings/printerSettings331.bin"/><Relationship Id="rId21" Type="http://schemas.openxmlformats.org/officeDocument/2006/relationships/printerSettings" Target="../printerSettings/printerSettings349.bin"/><Relationship Id="rId7" Type="http://schemas.openxmlformats.org/officeDocument/2006/relationships/printerSettings" Target="../printerSettings/printerSettings335.bin"/><Relationship Id="rId12" Type="http://schemas.openxmlformats.org/officeDocument/2006/relationships/printerSettings" Target="../printerSettings/printerSettings340.bin"/><Relationship Id="rId17" Type="http://schemas.openxmlformats.org/officeDocument/2006/relationships/printerSettings" Target="../printerSettings/printerSettings345.bin"/><Relationship Id="rId25" Type="http://schemas.openxmlformats.org/officeDocument/2006/relationships/printerSettings" Target="../printerSettings/printerSettings353.bin"/><Relationship Id="rId2" Type="http://schemas.openxmlformats.org/officeDocument/2006/relationships/printerSettings" Target="../printerSettings/printerSettings330.bin"/><Relationship Id="rId16" Type="http://schemas.openxmlformats.org/officeDocument/2006/relationships/printerSettings" Target="../printerSettings/printerSettings344.bin"/><Relationship Id="rId20" Type="http://schemas.openxmlformats.org/officeDocument/2006/relationships/printerSettings" Target="../printerSettings/printerSettings348.bin"/><Relationship Id="rId29" Type="http://schemas.openxmlformats.org/officeDocument/2006/relationships/printerSettings" Target="../printerSettings/printerSettings357.bin"/><Relationship Id="rId1" Type="http://schemas.openxmlformats.org/officeDocument/2006/relationships/printerSettings" Target="../printerSettings/printerSettings329.bin"/><Relationship Id="rId6" Type="http://schemas.openxmlformats.org/officeDocument/2006/relationships/printerSettings" Target="../printerSettings/printerSettings334.bin"/><Relationship Id="rId11" Type="http://schemas.openxmlformats.org/officeDocument/2006/relationships/printerSettings" Target="../printerSettings/printerSettings339.bin"/><Relationship Id="rId24" Type="http://schemas.openxmlformats.org/officeDocument/2006/relationships/printerSettings" Target="../printerSettings/printerSettings352.bin"/><Relationship Id="rId5" Type="http://schemas.openxmlformats.org/officeDocument/2006/relationships/printerSettings" Target="../printerSettings/printerSettings333.bin"/><Relationship Id="rId15" Type="http://schemas.openxmlformats.org/officeDocument/2006/relationships/printerSettings" Target="../printerSettings/printerSettings343.bin"/><Relationship Id="rId23" Type="http://schemas.openxmlformats.org/officeDocument/2006/relationships/printerSettings" Target="../printerSettings/printerSettings351.bin"/><Relationship Id="rId28" Type="http://schemas.openxmlformats.org/officeDocument/2006/relationships/printerSettings" Target="../printerSettings/printerSettings356.bin"/><Relationship Id="rId10" Type="http://schemas.openxmlformats.org/officeDocument/2006/relationships/printerSettings" Target="../printerSettings/printerSettings338.bin"/><Relationship Id="rId19" Type="http://schemas.openxmlformats.org/officeDocument/2006/relationships/printerSettings" Target="../printerSettings/printerSettings347.bin"/><Relationship Id="rId31" Type="http://schemas.openxmlformats.org/officeDocument/2006/relationships/printerSettings" Target="../printerSettings/printerSettings359.bin"/><Relationship Id="rId4" Type="http://schemas.openxmlformats.org/officeDocument/2006/relationships/printerSettings" Target="../printerSettings/printerSettings332.bin"/><Relationship Id="rId9" Type="http://schemas.openxmlformats.org/officeDocument/2006/relationships/printerSettings" Target="../printerSettings/printerSettings337.bin"/><Relationship Id="rId14" Type="http://schemas.openxmlformats.org/officeDocument/2006/relationships/printerSettings" Target="../printerSettings/printerSettings342.bin"/><Relationship Id="rId22" Type="http://schemas.openxmlformats.org/officeDocument/2006/relationships/printerSettings" Target="../printerSettings/printerSettings350.bin"/><Relationship Id="rId27" Type="http://schemas.openxmlformats.org/officeDocument/2006/relationships/printerSettings" Target="../printerSettings/printerSettings355.bin"/><Relationship Id="rId30" Type="http://schemas.openxmlformats.org/officeDocument/2006/relationships/printerSettings" Target="../printerSettings/printerSettings358.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67.bin"/><Relationship Id="rId13" Type="http://schemas.openxmlformats.org/officeDocument/2006/relationships/printerSettings" Target="../printerSettings/printerSettings372.bin"/><Relationship Id="rId18" Type="http://schemas.openxmlformats.org/officeDocument/2006/relationships/printerSettings" Target="../printerSettings/printerSettings377.bin"/><Relationship Id="rId3" Type="http://schemas.openxmlformats.org/officeDocument/2006/relationships/printerSettings" Target="../printerSettings/printerSettings362.bin"/><Relationship Id="rId7" Type="http://schemas.openxmlformats.org/officeDocument/2006/relationships/printerSettings" Target="../printerSettings/printerSettings366.bin"/><Relationship Id="rId12" Type="http://schemas.openxmlformats.org/officeDocument/2006/relationships/printerSettings" Target="../printerSettings/printerSettings371.bin"/><Relationship Id="rId17" Type="http://schemas.openxmlformats.org/officeDocument/2006/relationships/printerSettings" Target="../printerSettings/printerSettings376.bin"/><Relationship Id="rId2" Type="http://schemas.openxmlformats.org/officeDocument/2006/relationships/printerSettings" Target="../printerSettings/printerSettings361.bin"/><Relationship Id="rId16" Type="http://schemas.openxmlformats.org/officeDocument/2006/relationships/printerSettings" Target="../printerSettings/printerSettings375.bin"/><Relationship Id="rId20" Type="http://schemas.openxmlformats.org/officeDocument/2006/relationships/printerSettings" Target="../printerSettings/printerSettings379.bin"/><Relationship Id="rId1" Type="http://schemas.openxmlformats.org/officeDocument/2006/relationships/printerSettings" Target="../printerSettings/printerSettings360.bin"/><Relationship Id="rId6" Type="http://schemas.openxmlformats.org/officeDocument/2006/relationships/printerSettings" Target="../printerSettings/printerSettings365.bin"/><Relationship Id="rId11" Type="http://schemas.openxmlformats.org/officeDocument/2006/relationships/printerSettings" Target="../printerSettings/printerSettings370.bin"/><Relationship Id="rId5" Type="http://schemas.openxmlformats.org/officeDocument/2006/relationships/printerSettings" Target="../printerSettings/printerSettings364.bin"/><Relationship Id="rId15" Type="http://schemas.openxmlformats.org/officeDocument/2006/relationships/printerSettings" Target="../printerSettings/printerSettings374.bin"/><Relationship Id="rId10" Type="http://schemas.openxmlformats.org/officeDocument/2006/relationships/printerSettings" Target="../printerSettings/printerSettings369.bin"/><Relationship Id="rId19" Type="http://schemas.openxmlformats.org/officeDocument/2006/relationships/printerSettings" Target="../printerSettings/printerSettings378.bin"/><Relationship Id="rId4" Type="http://schemas.openxmlformats.org/officeDocument/2006/relationships/printerSettings" Target="../printerSettings/printerSettings363.bin"/><Relationship Id="rId9" Type="http://schemas.openxmlformats.org/officeDocument/2006/relationships/printerSettings" Target="../printerSettings/printerSettings368.bin"/><Relationship Id="rId14" Type="http://schemas.openxmlformats.org/officeDocument/2006/relationships/printerSettings" Target="../printerSettings/printerSettings37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80.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388.bin"/><Relationship Id="rId3" Type="http://schemas.openxmlformats.org/officeDocument/2006/relationships/printerSettings" Target="../printerSettings/printerSettings383.bin"/><Relationship Id="rId7" Type="http://schemas.openxmlformats.org/officeDocument/2006/relationships/printerSettings" Target="../printerSettings/printerSettings387.bin"/><Relationship Id="rId2" Type="http://schemas.openxmlformats.org/officeDocument/2006/relationships/printerSettings" Target="../printerSettings/printerSettings382.bin"/><Relationship Id="rId1" Type="http://schemas.openxmlformats.org/officeDocument/2006/relationships/printerSettings" Target="../printerSettings/printerSettings381.bin"/><Relationship Id="rId6" Type="http://schemas.openxmlformats.org/officeDocument/2006/relationships/printerSettings" Target="../printerSettings/printerSettings386.bin"/><Relationship Id="rId5" Type="http://schemas.openxmlformats.org/officeDocument/2006/relationships/printerSettings" Target="../printerSettings/printerSettings385.bin"/><Relationship Id="rId10" Type="http://schemas.openxmlformats.org/officeDocument/2006/relationships/printerSettings" Target="../printerSettings/printerSettings390.bin"/><Relationship Id="rId4" Type="http://schemas.openxmlformats.org/officeDocument/2006/relationships/printerSettings" Target="../printerSettings/printerSettings384.bin"/><Relationship Id="rId9" Type="http://schemas.openxmlformats.org/officeDocument/2006/relationships/printerSettings" Target="../printerSettings/printerSettings389.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398.bin"/><Relationship Id="rId13" Type="http://schemas.openxmlformats.org/officeDocument/2006/relationships/printerSettings" Target="../printerSettings/printerSettings403.bin"/><Relationship Id="rId18" Type="http://schemas.openxmlformats.org/officeDocument/2006/relationships/printerSettings" Target="../printerSettings/printerSettings408.bin"/><Relationship Id="rId26" Type="http://schemas.openxmlformats.org/officeDocument/2006/relationships/printerSettings" Target="../printerSettings/printerSettings416.bin"/><Relationship Id="rId3" Type="http://schemas.openxmlformats.org/officeDocument/2006/relationships/printerSettings" Target="../printerSettings/printerSettings393.bin"/><Relationship Id="rId21" Type="http://schemas.openxmlformats.org/officeDocument/2006/relationships/printerSettings" Target="../printerSettings/printerSettings411.bin"/><Relationship Id="rId7" Type="http://schemas.openxmlformats.org/officeDocument/2006/relationships/printerSettings" Target="../printerSettings/printerSettings397.bin"/><Relationship Id="rId12" Type="http://schemas.openxmlformats.org/officeDocument/2006/relationships/printerSettings" Target="../printerSettings/printerSettings402.bin"/><Relationship Id="rId17" Type="http://schemas.openxmlformats.org/officeDocument/2006/relationships/printerSettings" Target="../printerSettings/printerSettings407.bin"/><Relationship Id="rId25" Type="http://schemas.openxmlformats.org/officeDocument/2006/relationships/printerSettings" Target="../printerSettings/printerSettings415.bin"/><Relationship Id="rId2" Type="http://schemas.openxmlformats.org/officeDocument/2006/relationships/printerSettings" Target="../printerSettings/printerSettings392.bin"/><Relationship Id="rId16" Type="http://schemas.openxmlformats.org/officeDocument/2006/relationships/printerSettings" Target="../printerSettings/printerSettings406.bin"/><Relationship Id="rId20" Type="http://schemas.openxmlformats.org/officeDocument/2006/relationships/printerSettings" Target="../printerSettings/printerSettings410.bin"/><Relationship Id="rId29" Type="http://schemas.openxmlformats.org/officeDocument/2006/relationships/printerSettings" Target="../printerSettings/printerSettings419.bin"/><Relationship Id="rId1" Type="http://schemas.openxmlformats.org/officeDocument/2006/relationships/printerSettings" Target="../printerSettings/printerSettings391.bin"/><Relationship Id="rId6" Type="http://schemas.openxmlformats.org/officeDocument/2006/relationships/printerSettings" Target="../printerSettings/printerSettings396.bin"/><Relationship Id="rId11" Type="http://schemas.openxmlformats.org/officeDocument/2006/relationships/printerSettings" Target="../printerSettings/printerSettings401.bin"/><Relationship Id="rId24" Type="http://schemas.openxmlformats.org/officeDocument/2006/relationships/printerSettings" Target="../printerSettings/printerSettings414.bin"/><Relationship Id="rId32" Type="http://schemas.openxmlformats.org/officeDocument/2006/relationships/comments" Target="../comments8.xml"/><Relationship Id="rId5" Type="http://schemas.openxmlformats.org/officeDocument/2006/relationships/printerSettings" Target="../printerSettings/printerSettings395.bin"/><Relationship Id="rId15" Type="http://schemas.openxmlformats.org/officeDocument/2006/relationships/printerSettings" Target="../printerSettings/printerSettings405.bin"/><Relationship Id="rId23" Type="http://schemas.openxmlformats.org/officeDocument/2006/relationships/printerSettings" Target="../printerSettings/printerSettings413.bin"/><Relationship Id="rId28" Type="http://schemas.openxmlformats.org/officeDocument/2006/relationships/printerSettings" Target="../printerSettings/printerSettings418.bin"/><Relationship Id="rId10" Type="http://schemas.openxmlformats.org/officeDocument/2006/relationships/printerSettings" Target="../printerSettings/printerSettings400.bin"/><Relationship Id="rId19" Type="http://schemas.openxmlformats.org/officeDocument/2006/relationships/printerSettings" Target="../printerSettings/printerSettings409.bin"/><Relationship Id="rId31" Type="http://schemas.openxmlformats.org/officeDocument/2006/relationships/vmlDrawing" Target="../drawings/vmlDrawing8.vml"/><Relationship Id="rId4" Type="http://schemas.openxmlformats.org/officeDocument/2006/relationships/printerSettings" Target="../printerSettings/printerSettings394.bin"/><Relationship Id="rId9" Type="http://schemas.openxmlformats.org/officeDocument/2006/relationships/printerSettings" Target="../printerSettings/printerSettings399.bin"/><Relationship Id="rId14" Type="http://schemas.openxmlformats.org/officeDocument/2006/relationships/printerSettings" Target="../printerSettings/printerSettings404.bin"/><Relationship Id="rId22" Type="http://schemas.openxmlformats.org/officeDocument/2006/relationships/printerSettings" Target="../printerSettings/printerSettings412.bin"/><Relationship Id="rId27" Type="http://schemas.openxmlformats.org/officeDocument/2006/relationships/printerSettings" Target="../printerSettings/printerSettings417.bin"/><Relationship Id="rId30" Type="http://schemas.openxmlformats.org/officeDocument/2006/relationships/printerSettings" Target="../printerSettings/printerSettings420.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428.bin"/><Relationship Id="rId13" Type="http://schemas.openxmlformats.org/officeDocument/2006/relationships/printerSettings" Target="../printerSettings/printerSettings433.bin"/><Relationship Id="rId18" Type="http://schemas.openxmlformats.org/officeDocument/2006/relationships/printerSettings" Target="../printerSettings/printerSettings438.bin"/><Relationship Id="rId26" Type="http://schemas.openxmlformats.org/officeDocument/2006/relationships/printerSettings" Target="../printerSettings/printerSettings446.bin"/><Relationship Id="rId3" Type="http://schemas.openxmlformats.org/officeDocument/2006/relationships/printerSettings" Target="../printerSettings/printerSettings423.bin"/><Relationship Id="rId21" Type="http://schemas.openxmlformats.org/officeDocument/2006/relationships/printerSettings" Target="../printerSettings/printerSettings441.bin"/><Relationship Id="rId7" Type="http://schemas.openxmlformats.org/officeDocument/2006/relationships/printerSettings" Target="../printerSettings/printerSettings427.bin"/><Relationship Id="rId12" Type="http://schemas.openxmlformats.org/officeDocument/2006/relationships/printerSettings" Target="../printerSettings/printerSettings432.bin"/><Relationship Id="rId17" Type="http://schemas.openxmlformats.org/officeDocument/2006/relationships/printerSettings" Target="../printerSettings/printerSettings437.bin"/><Relationship Id="rId25" Type="http://schemas.openxmlformats.org/officeDocument/2006/relationships/printerSettings" Target="../printerSettings/printerSettings445.bin"/><Relationship Id="rId2" Type="http://schemas.openxmlformats.org/officeDocument/2006/relationships/printerSettings" Target="../printerSettings/printerSettings422.bin"/><Relationship Id="rId16" Type="http://schemas.openxmlformats.org/officeDocument/2006/relationships/printerSettings" Target="../printerSettings/printerSettings436.bin"/><Relationship Id="rId20" Type="http://schemas.openxmlformats.org/officeDocument/2006/relationships/printerSettings" Target="../printerSettings/printerSettings440.bin"/><Relationship Id="rId1" Type="http://schemas.openxmlformats.org/officeDocument/2006/relationships/printerSettings" Target="../printerSettings/printerSettings421.bin"/><Relationship Id="rId6" Type="http://schemas.openxmlformats.org/officeDocument/2006/relationships/printerSettings" Target="../printerSettings/printerSettings426.bin"/><Relationship Id="rId11" Type="http://schemas.openxmlformats.org/officeDocument/2006/relationships/printerSettings" Target="../printerSettings/printerSettings431.bin"/><Relationship Id="rId24" Type="http://schemas.openxmlformats.org/officeDocument/2006/relationships/printerSettings" Target="../printerSettings/printerSettings444.bin"/><Relationship Id="rId5" Type="http://schemas.openxmlformats.org/officeDocument/2006/relationships/printerSettings" Target="../printerSettings/printerSettings425.bin"/><Relationship Id="rId15" Type="http://schemas.openxmlformats.org/officeDocument/2006/relationships/printerSettings" Target="../printerSettings/printerSettings435.bin"/><Relationship Id="rId23" Type="http://schemas.openxmlformats.org/officeDocument/2006/relationships/printerSettings" Target="../printerSettings/printerSettings443.bin"/><Relationship Id="rId10" Type="http://schemas.openxmlformats.org/officeDocument/2006/relationships/printerSettings" Target="../printerSettings/printerSettings430.bin"/><Relationship Id="rId19" Type="http://schemas.openxmlformats.org/officeDocument/2006/relationships/printerSettings" Target="../printerSettings/printerSettings439.bin"/><Relationship Id="rId4" Type="http://schemas.openxmlformats.org/officeDocument/2006/relationships/printerSettings" Target="../printerSettings/printerSettings424.bin"/><Relationship Id="rId9" Type="http://schemas.openxmlformats.org/officeDocument/2006/relationships/printerSettings" Target="../printerSettings/printerSettings429.bin"/><Relationship Id="rId14" Type="http://schemas.openxmlformats.org/officeDocument/2006/relationships/printerSettings" Target="../printerSettings/printerSettings434.bin"/><Relationship Id="rId22" Type="http://schemas.openxmlformats.org/officeDocument/2006/relationships/printerSettings" Target="../printerSettings/printerSettings442.bin"/><Relationship Id="rId27" Type="http://schemas.openxmlformats.org/officeDocument/2006/relationships/printerSettings" Target="../printerSettings/printerSettings447.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9.bin"/><Relationship Id="rId13" Type="http://schemas.openxmlformats.org/officeDocument/2006/relationships/printerSettings" Target="../printerSettings/printerSettings44.bin"/><Relationship Id="rId18" Type="http://schemas.openxmlformats.org/officeDocument/2006/relationships/printerSettings" Target="../printerSettings/printerSettings49.bin"/><Relationship Id="rId26" Type="http://schemas.openxmlformats.org/officeDocument/2006/relationships/printerSettings" Target="../printerSettings/printerSettings57.bin"/><Relationship Id="rId3" Type="http://schemas.openxmlformats.org/officeDocument/2006/relationships/printerSettings" Target="../printerSettings/printerSettings34.bin"/><Relationship Id="rId21" Type="http://schemas.openxmlformats.org/officeDocument/2006/relationships/printerSettings" Target="../printerSettings/printerSettings52.bin"/><Relationship Id="rId7" Type="http://schemas.openxmlformats.org/officeDocument/2006/relationships/printerSettings" Target="../printerSettings/printerSettings38.bin"/><Relationship Id="rId12" Type="http://schemas.openxmlformats.org/officeDocument/2006/relationships/printerSettings" Target="../printerSettings/printerSettings43.bin"/><Relationship Id="rId17" Type="http://schemas.openxmlformats.org/officeDocument/2006/relationships/printerSettings" Target="../printerSettings/printerSettings48.bin"/><Relationship Id="rId25" Type="http://schemas.openxmlformats.org/officeDocument/2006/relationships/printerSettings" Target="../printerSettings/printerSettings56.bin"/><Relationship Id="rId2" Type="http://schemas.openxmlformats.org/officeDocument/2006/relationships/printerSettings" Target="../printerSettings/printerSettings33.bin"/><Relationship Id="rId16" Type="http://schemas.openxmlformats.org/officeDocument/2006/relationships/printerSettings" Target="../printerSettings/printerSettings47.bin"/><Relationship Id="rId20" Type="http://schemas.openxmlformats.org/officeDocument/2006/relationships/printerSettings" Target="../printerSettings/printerSettings51.bin"/><Relationship Id="rId29" Type="http://schemas.openxmlformats.org/officeDocument/2006/relationships/printerSettings" Target="../printerSettings/printerSettings60.bin"/><Relationship Id="rId1" Type="http://schemas.openxmlformats.org/officeDocument/2006/relationships/printerSettings" Target="../printerSettings/printerSettings32.bin"/><Relationship Id="rId6" Type="http://schemas.openxmlformats.org/officeDocument/2006/relationships/printerSettings" Target="../printerSettings/printerSettings37.bin"/><Relationship Id="rId11" Type="http://schemas.openxmlformats.org/officeDocument/2006/relationships/printerSettings" Target="../printerSettings/printerSettings42.bin"/><Relationship Id="rId24" Type="http://schemas.openxmlformats.org/officeDocument/2006/relationships/printerSettings" Target="../printerSettings/printerSettings55.bin"/><Relationship Id="rId5" Type="http://schemas.openxmlformats.org/officeDocument/2006/relationships/printerSettings" Target="../printerSettings/printerSettings36.bin"/><Relationship Id="rId15" Type="http://schemas.openxmlformats.org/officeDocument/2006/relationships/printerSettings" Target="../printerSettings/printerSettings46.bin"/><Relationship Id="rId23" Type="http://schemas.openxmlformats.org/officeDocument/2006/relationships/printerSettings" Target="../printerSettings/printerSettings54.bin"/><Relationship Id="rId28" Type="http://schemas.openxmlformats.org/officeDocument/2006/relationships/printerSettings" Target="../printerSettings/printerSettings59.bin"/><Relationship Id="rId10" Type="http://schemas.openxmlformats.org/officeDocument/2006/relationships/printerSettings" Target="../printerSettings/printerSettings41.bin"/><Relationship Id="rId19" Type="http://schemas.openxmlformats.org/officeDocument/2006/relationships/printerSettings" Target="../printerSettings/printerSettings50.bin"/><Relationship Id="rId31" Type="http://schemas.openxmlformats.org/officeDocument/2006/relationships/printerSettings" Target="../printerSettings/printerSettings62.bin"/><Relationship Id="rId4" Type="http://schemas.openxmlformats.org/officeDocument/2006/relationships/printerSettings" Target="../printerSettings/printerSettings35.bin"/><Relationship Id="rId9" Type="http://schemas.openxmlformats.org/officeDocument/2006/relationships/printerSettings" Target="../printerSettings/printerSettings40.bin"/><Relationship Id="rId14" Type="http://schemas.openxmlformats.org/officeDocument/2006/relationships/printerSettings" Target="../printerSettings/printerSettings45.bin"/><Relationship Id="rId22" Type="http://schemas.openxmlformats.org/officeDocument/2006/relationships/printerSettings" Target="../printerSettings/printerSettings53.bin"/><Relationship Id="rId27" Type="http://schemas.openxmlformats.org/officeDocument/2006/relationships/printerSettings" Target="../printerSettings/printerSettings58.bin"/><Relationship Id="rId30" Type="http://schemas.openxmlformats.org/officeDocument/2006/relationships/printerSettings" Target="../printerSettings/printerSettings6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0.bin"/><Relationship Id="rId13" Type="http://schemas.openxmlformats.org/officeDocument/2006/relationships/printerSettings" Target="../printerSettings/printerSettings75.bin"/><Relationship Id="rId18" Type="http://schemas.openxmlformats.org/officeDocument/2006/relationships/printerSettings" Target="../printerSettings/printerSettings80.bin"/><Relationship Id="rId26" Type="http://schemas.openxmlformats.org/officeDocument/2006/relationships/printerSettings" Target="../printerSettings/printerSettings88.bin"/><Relationship Id="rId3" Type="http://schemas.openxmlformats.org/officeDocument/2006/relationships/printerSettings" Target="../printerSettings/printerSettings65.bin"/><Relationship Id="rId21" Type="http://schemas.openxmlformats.org/officeDocument/2006/relationships/printerSettings" Target="../printerSettings/printerSettings83.bin"/><Relationship Id="rId7" Type="http://schemas.openxmlformats.org/officeDocument/2006/relationships/printerSettings" Target="../printerSettings/printerSettings69.bin"/><Relationship Id="rId12" Type="http://schemas.openxmlformats.org/officeDocument/2006/relationships/printerSettings" Target="../printerSettings/printerSettings74.bin"/><Relationship Id="rId17" Type="http://schemas.openxmlformats.org/officeDocument/2006/relationships/printerSettings" Target="../printerSettings/printerSettings79.bin"/><Relationship Id="rId25" Type="http://schemas.openxmlformats.org/officeDocument/2006/relationships/printerSettings" Target="../printerSettings/printerSettings87.bin"/><Relationship Id="rId33" Type="http://schemas.openxmlformats.org/officeDocument/2006/relationships/comments" Target="../comments1.xml"/><Relationship Id="rId2" Type="http://schemas.openxmlformats.org/officeDocument/2006/relationships/printerSettings" Target="../printerSettings/printerSettings64.bin"/><Relationship Id="rId16" Type="http://schemas.openxmlformats.org/officeDocument/2006/relationships/printerSettings" Target="../printerSettings/printerSettings78.bin"/><Relationship Id="rId20" Type="http://schemas.openxmlformats.org/officeDocument/2006/relationships/printerSettings" Target="../printerSettings/printerSettings82.bin"/><Relationship Id="rId29" Type="http://schemas.openxmlformats.org/officeDocument/2006/relationships/printerSettings" Target="../printerSettings/printerSettings91.bin"/><Relationship Id="rId1" Type="http://schemas.openxmlformats.org/officeDocument/2006/relationships/printerSettings" Target="../printerSettings/printerSettings63.bin"/><Relationship Id="rId6" Type="http://schemas.openxmlformats.org/officeDocument/2006/relationships/printerSettings" Target="../printerSettings/printerSettings68.bin"/><Relationship Id="rId11" Type="http://schemas.openxmlformats.org/officeDocument/2006/relationships/printerSettings" Target="../printerSettings/printerSettings73.bin"/><Relationship Id="rId24" Type="http://schemas.openxmlformats.org/officeDocument/2006/relationships/printerSettings" Target="../printerSettings/printerSettings86.bin"/><Relationship Id="rId32" Type="http://schemas.openxmlformats.org/officeDocument/2006/relationships/vmlDrawing" Target="../drawings/vmlDrawing1.vml"/><Relationship Id="rId5" Type="http://schemas.openxmlformats.org/officeDocument/2006/relationships/printerSettings" Target="../printerSettings/printerSettings67.bin"/><Relationship Id="rId15" Type="http://schemas.openxmlformats.org/officeDocument/2006/relationships/printerSettings" Target="../printerSettings/printerSettings77.bin"/><Relationship Id="rId23" Type="http://schemas.openxmlformats.org/officeDocument/2006/relationships/printerSettings" Target="../printerSettings/printerSettings85.bin"/><Relationship Id="rId28" Type="http://schemas.openxmlformats.org/officeDocument/2006/relationships/printerSettings" Target="../printerSettings/printerSettings90.bin"/><Relationship Id="rId10" Type="http://schemas.openxmlformats.org/officeDocument/2006/relationships/printerSettings" Target="../printerSettings/printerSettings72.bin"/><Relationship Id="rId19" Type="http://schemas.openxmlformats.org/officeDocument/2006/relationships/printerSettings" Target="../printerSettings/printerSettings81.bin"/><Relationship Id="rId31" Type="http://schemas.openxmlformats.org/officeDocument/2006/relationships/printerSettings" Target="../printerSettings/printerSettings93.bin"/><Relationship Id="rId4" Type="http://schemas.openxmlformats.org/officeDocument/2006/relationships/printerSettings" Target="../printerSettings/printerSettings66.bin"/><Relationship Id="rId9" Type="http://schemas.openxmlformats.org/officeDocument/2006/relationships/printerSettings" Target="../printerSettings/printerSettings71.bin"/><Relationship Id="rId14" Type="http://schemas.openxmlformats.org/officeDocument/2006/relationships/printerSettings" Target="../printerSettings/printerSettings76.bin"/><Relationship Id="rId22" Type="http://schemas.openxmlformats.org/officeDocument/2006/relationships/printerSettings" Target="../printerSettings/printerSettings84.bin"/><Relationship Id="rId27" Type="http://schemas.openxmlformats.org/officeDocument/2006/relationships/printerSettings" Target="../printerSettings/printerSettings89.bin"/><Relationship Id="rId30" Type="http://schemas.openxmlformats.org/officeDocument/2006/relationships/printerSettings" Target="../printerSettings/printerSettings92.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01.bin"/><Relationship Id="rId13" Type="http://schemas.openxmlformats.org/officeDocument/2006/relationships/printerSettings" Target="../printerSettings/printerSettings106.bin"/><Relationship Id="rId18" Type="http://schemas.openxmlformats.org/officeDocument/2006/relationships/printerSettings" Target="../printerSettings/printerSettings111.bin"/><Relationship Id="rId26" Type="http://schemas.openxmlformats.org/officeDocument/2006/relationships/printerSettings" Target="../printerSettings/printerSettings119.bin"/><Relationship Id="rId3" Type="http://schemas.openxmlformats.org/officeDocument/2006/relationships/printerSettings" Target="../printerSettings/printerSettings96.bin"/><Relationship Id="rId21" Type="http://schemas.openxmlformats.org/officeDocument/2006/relationships/printerSettings" Target="../printerSettings/printerSettings114.bin"/><Relationship Id="rId7" Type="http://schemas.openxmlformats.org/officeDocument/2006/relationships/printerSettings" Target="../printerSettings/printerSettings100.bin"/><Relationship Id="rId12" Type="http://schemas.openxmlformats.org/officeDocument/2006/relationships/printerSettings" Target="../printerSettings/printerSettings105.bin"/><Relationship Id="rId17" Type="http://schemas.openxmlformats.org/officeDocument/2006/relationships/printerSettings" Target="../printerSettings/printerSettings110.bin"/><Relationship Id="rId25" Type="http://schemas.openxmlformats.org/officeDocument/2006/relationships/printerSettings" Target="../printerSettings/printerSettings118.bin"/><Relationship Id="rId33" Type="http://schemas.openxmlformats.org/officeDocument/2006/relationships/comments" Target="../comments2.xml"/><Relationship Id="rId2" Type="http://schemas.openxmlformats.org/officeDocument/2006/relationships/printerSettings" Target="../printerSettings/printerSettings95.bin"/><Relationship Id="rId16" Type="http://schemas.openxmlformats.org/officeDocument/2006/relationships/printerSettings" Target="../printerSettings/printerSettings109.bin"/><Relationship Id="rId20" Type="http://schemas.openxmlformats.org/officeDocument/2006/relationships/printerSettings" Target="../printerSettings/printerSettings113.bin"/><Relationship Id="rId29" Type="http://schemas.openxmlformats.org/officeDocument/2006/relationships/printerSettings" Target="../printerSettings/printerSettings122.bin"/><Relationship Id="rId1" Type="http://schemas.openxmlformats.org/officeDocument/2006/relationships/printerSettings" Target="../printerSettings/printerSettings94.bin"/><Relationship Id="rId6" Type="http://schemas.openxmlformats.org/officeDocument/2006/relationships/printerSettings" Target="../printerSettings/printerSettings99.bin"/><Relationship Id="rId11" Type="http://schemas.openxmlformats.org/officeDocument/2006/relationships/printerSettings" Target="../printerSettings/printerSettings104.bin"/><Relationship Id="rId24" Type="http://schemas.openxmlformats.org/officeDocument/2006/relationships/printerSettings" Target="../printerSettings/printerSettings117.bin"/><Relationship Id="rId32" Type="http://schemas.openxmlformats.org/officeDocument/2006/relationships/vmlDrawing" Target="../drawings/vmlDrawing2.vml"/><Relationship Id="rId5" Type="http://schemas.openxmlformats.org/officeDocument/2006/relationships/printerSettings" Target="../printerSettings/printerSettings98.bin"/><Relationship Id="rId15" Type="http://schemas.openxmlformats.org/officeDocument/2006/relationships/printerSettings" Target="../printerSettings/printerSettings108.bin"/><Relationship Id="rId23" Type="http://schemas.openxmlformats.org/officeDocument/2006/relationships/printerSettings" Target="../printerSettings/printerSettings116.bin"/><Relationship Id="rId28" Type="http://schemas.openxmlformats.org/officeDocument/2006/relationships/printerSettings" Target="../printerSettings/printerSettings121.bin"/><Relationship Id="rId10" Type="http://schemas.openxmlformats.org/officeDocument/2006/relationships/printerSettings" Target="../printerSettings/printerSettings103.bin"/><Relationship Id="rId19" Type="http://schemas.openxmlformats.org/officeDocument/2006/relationships/printerSettings" Target="../printerSettings/printerSettings112.bin"/><Relationship Id="rId31" Type="http://schemas.openxmlformats.org/officeDocument/2006/relationships/printerSettings" Target="../printerSettings/printerSettings124.bin"/><Relationship Id="rId4" Type="http://schemas.openxmlformats.org/officeDocument/2006/relationships/printerSettings" Target="../printerSettings/printerSettings97.bin"/><Relationship Id="rId9" Type="http://schemas.openxmlformats.org/officeDocument/2006/relationships/printerSettings" Target="../printerSettings/printerSettings102.bin"/><Relationship Id="rId14" Type="http://schemas.openxmlformats.org/officeDocument/2006/relationships/printerSettings" Target="../printerSettings/printerSettings107.bin"/><Relationship Id="rId22" Type="http://schemas.openxmlformats.org/officeDocument/2006/relationships/printerSettings" Target="../printerSettings/printerSettings115.bin"/><Relationship Id="rId27" Type="http://schemas.openxmlformats.org/officeDocument/2006/relationships/printerSettings" Target="../printerSettings/printerSettings120.bin"/><Relationship Id="rId30" Type="http://schemas.openxmlformats.org/officeDocument/2006/relationships/printerSettings" Target="../printerSettings/printerSettings123.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32.bin"/><Relationship Id="rId13" Type="http://schemas.openxmlformats.org/officeDocument/2006/relationships/printerSettings" Target="../printerSettings/printerSettings137.bin"/><Relationship Id="rId18" Type="http://schemas.openxmlformats.org/officeDocument/2006/relationships/printerSettings" Target="../printerSettings/printerSettings142.bin"/><Relationship Id="rId26" Type="http://schemas.openxmlformats.org/officeDocument/2006/relationships/printerSettings" Target="../printerSettings/printerSettings150.bin"/><Relationship Id="rId3" Type="http://schemas.openxmlformats.org/officeDocument/2006/relationships/printerSettings" Target="../printerSettings/printerSettings127.bin"/><Relationship Id="rId21" Type="http://schemas.openxmlformats.org/officeDocument/2006/relationships/printerSettings" Target="../printerSettings/printerSettings145.bin"/><Relationship Id="rId7" Type="http://schemas.openxmlformats.org/officeDocument/2006/relationships/printerSettings" Target="../printerSettings/printerSettings131.bin"/><Relationship Id="rId12" Type="http://schemas.openxmlformats.org/officeDocument/2006/relationships/printerSettings" Target="../printerSettings/printerSettings136.bin"/><Relationship Id="rId17" Type="http://schemas.openxmlformats.org/officeDocument/2006/relationships/printerSettings" Target="../printerSettings/printerSettings141.bin"/><Relationship Id="rId25" Type="http://schemas.openxmlformats.org/officeDocument/2006/relationships/printerSettings" Target="../printerSettings/printerSettings149.bin"/><Relationship Id="rId33" Type="http://schemas.openxmlformats.org/officeDocument/2006/relationships/comments" Target="../comments3.xml"/><Relationship Id="rId2" Type="http://schemas.openxmlformats.org/officeDocument/2006/relationships/printerSettings" Target="../printerSettings/printerSettings126.bin"/><Relationship Id="rId16" Type="http://schemas.openxmlformats.org/officeDocument/2006/relationships/printerSettings" Target="../printerSettings/printerSettings140.bin"/><Relationship Id="rId20" Type="http://schemas.openxmlformats.org/officeDocument/2006/relationships/printerSettings" Target="../printerSettings/printerSettings144.bin"/><Relationship Id="rId29" Type="http://schemas.openxmlformats.org/officeDocument/2006/relationships/printerSettings" Target="../printerSettings/printerSettings153.bin"/><Relationship Id="rId1" Type="http://schemas.openxmlformats.org/officeDocument/2006/relationships/printerSettings" Target="../printerSettings/printerSettings125.bin"/><Relationship Id="rId6" Type="http://schemas.openxmlformats.org/officeDocument/2006/relationships/printerSettings" Target="../printerSettings/printerSettings130.bin"/><Relationship Id="rId11" Type="http://schemas.openxmlformats.org/officeDocument/2006/relationships/printerSettings" Target="../printerSettings/printerSettings135.bin"/><Relationship Id="rId24" Type="http://schemas.openxmlformats.org/officeDocument/2006/relationships/printerSettings" Target="../printerSettings/printerSettings148.bin"/><Relationship Id="rId32" Type="http://schemas.openxmlformats.org/officeDocument/2006/relationships/vmlDrawing" Target="../drawings/vmlDrawing3.vml"/><Relationship Id="rId5" Type="http://schemas.openxmlformats.org/officeDocument/2006/relationships/printerSettings" Target="../printerSettings/printerSettings129.bin"/><Relationship Id="rId15" Type="http://schemas.openxmlformats.org/officeDocument/2006/relationships/printerSettings" Target="../printerSettings/printerSettings139.bin"/><Relationship Id="rId23" Type="http://schemas.openxmlformats.org/officeDocument/2006/relationships/printerSettings" Target="../printerSettings/printerSettings147.bin"/><Relationship Id="rId28" Type="http://schemas.openxmlformats.org/officeDocument/2006/relationships/printerSettings" Target="../printerSettings/printerSettings152.bin"/><Relationship Id="rId10" Type="http://schemas.openxmlformats.org/officeDocument/2006/relationships/printerSettings" Target="../printerSettings/printerSettings134.bin"/><Relationship Id="rId19" Type="http://schemas.openxmlformats.org/officeDocument/2006/relationships/printerSettings" Target="../printerSettings/printerSettings143.bin"/><Relationship Id="rId31" Type="http://schemas.openxmlformats.org/officeDocument/2006/relationships/printerSettings" Target="../printerSettings/printerSettings155.bin"/><Relationship Id="rId4" Type="http://schemas.openxmlformats.org/officeDocument/2006/relationships/printerSettings" Target="../printerSettings/printerSettings128.bin"/><Relationship Id="rId9" Type="http://schemas.openxmlformats.org/officeDocument/2006/relationships/printerSettings" Target="../printerSettings/printerSettings133.bin"/><Relationship Id="rId14" Type="http://schemas.openxmlformats.org/officeDocument/2006/relationships/printerSettings" Target="../printerSettings/printerSettings138.bin"/><Relationship Id="rId22" Type="http://schemas.openxmlformats.org/officeDocument/2006/relationships/printerSettings" Target="../printerSettings/printerSettings146.bin"/><Relationship Id="rId27" Type="http://schemas.openxmlformats.org/officeDocument/2006/relationships/printerSettings" Target="../printerSettings/printerSettings151.bin"/><Relationship Id="rId30" Type="http://schemas.openxmlformats.org/officeDocument/2006/relationships/printerSettings" Target="../printerSettings/printerSettings154.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63.bin"/><Relationship Id="rId13" Type="http://schemas.openxmlformats.org/officeDocument/2006/relationships/printerSettings" Target="../printerSettings/printerSettings168.bin"/><Relationship Id="rId18" Type="http://schemas.openxmlformats.org/officeDocument/2006/relationships/printerSettings" Target="../printerSettings/printerSettings173.bin"/><Relationship Id="rId26" Type="http://schemas.openxmlformats.org/officeDocument/2006/relationships/printerSettings" Target="../printerSettings/printerSettings181.bin"/><Relationship Id="rId3" Type="http://schemas.openxmlformats.org/officeDocument/2006/relationships/printerSettings" Target="../printerSettings/printerSettings158.bin"/><Relationship Id="rId21" Type="http://schemas.openxmlformats.org/officeDocument/2006/relationships/printerSettings" Target="../printerSettings/printerSettings176.bin"/><Relationship Id="rId7" Type="http://schemas.openxmlformats.org/officeDocument/2006/relationships/printerSettings" Target="../printerSettings/printerSettings162.bin"/><Relationship Id="rId12" Type="http://schemas.openxmlformats.org/officeDocument/2006/relationships/printerSettings" Target="../printerSettings/printerSettings167.bin"/><Relationship Id="rId17" Type="http://schemas.openxmlformats.org/officeDocument/2006/relationships/printerSettings" Target="../printerSettings/printerSettings172.bin"/><Relationship Id="rId25" Type="http://schemas.openxmlformats.org/officeDocument/2006/relationships/printerSettings" Target="../printerSettings/printerSettings180.bin"/><Relationship Id="rId33" Type="http://schemas.openxmlformats.org/officeDocument/2006/relationships/comments" Target="../comments4.xml"/><Relationship Id="rId2" Type="http://schemas.openxmlformats.org/officeDocument/2006/relationships/printerSettings" Target="../printerSettings/printerSettings157.bin"/><Relationship Id="rId16" Type="http://schemas.openxmlformats.org/officeDocument/2006/relationships/printerSettings" Target="../printerSettings/printerSettings171.bin"/><Relationship Id="rId20" Type="http://schemas.openxmlformats.org/officeDocument/2006/relationships/printerSettings" Target="../printerSettings/printerSettings175.bin"/><Relationship Id="rId29" Type="http://schemas.openxmlformats.org/officeDocument/2006/relationships/printerSettings" Target="../printerSettings/printerSettings184.bin"/><Relationship Id="rId1" Type="http://schemas.openxmlformats.org/officeDocument/2006/relationships/printerSettings" Target="../printerSettings/printerSettings156.bin"/><Relationship Id="rId6" Type="http://schemas.openxmlformats.org/officeDocument/2006/relationships/printerSettings" Target="../printerSettings/printerSettings161.bin"/><Relationship Id="rId11" Type="http://schemas.openxmlformats.org/officeDocument/2006/relationships/printerSettings" Target="../printerSettings/printerSettings166.bin"/><Relationship Id="rId24" Type="http://schemas.openxmlformats.org/officeDocument/2006/relationships/printerSettings" Target="../printerSettings/printerSettings179.bin"/><Relationship Id="rId32" Type="http://schemas.openxmlformats.org/officeDocument/2006/relationships/vmlDrawing" Target="../drawings/vmlDrawing4.vml"/><Relationship Id="rId5" Type="http://schemas.openxmlformats.org/officeDocument/2006/relationships/printerSettings" Target="../printerSettings/printerSettings160.bin"/><Relationship Id="rId15" Type="http://schemas.openxmlformats.org/officeDocument/2006/relationships/printerSettings" Target="../printerSettings/printerSettings170.bin"/><Relationship Id="rId23" Type="http://schemas.openxmlformats.org/officeDocument/2006/relationships/printerSettings" Target="../printerSettings/printerSettings178.bin"/><Relationship Id="rId28" Type="http://schemas.openxmlformats.org/officeDocument/2006/relationships/printerSettings" Target="../printerSettings/printerSettings183.bin"/><Relationship Id="rId10" Type="http://schemas.openxmlformats.org/officeDocument/2006/relationships/printerSettings" Target="../printerSettings/printerSettings165.bin"/><Relationship Id="rId19" Type="http://schemas.openxmlformats.org/officeDocument/2006/relationships/printerSettings" Target="../printerSettings/printerSettings174.bin"/><Relationship Id="rId31" Type="http://schemas.openxmlformats.org/officeDocument/2006/relationships/printerSettings" Target="../printerSettings/printerSettings186.bin"/><Relationship Id="rId4" Type="http://schemas.openxmlformats.org/officeDocument/2006/relationships/printerSettings" Target="../printerSettings/printerSettings159.bin"/><Relationship Id="rId9" Type="http://schemas.openxmlformats.org/officeDocument/2006/relationships/printerSettings" Target="../printerSettings/printerSettings164.bin"/><Relationship Id="rId14" Type="http://schemas.openxmlformats.org/officeDocument/2006/relationships/printerSettings" Target="../printerSettings/printerSettings169.bin"/><Relationship Id="rId22" Type="http://schemas.openxmlformats.org/officeDocument/2006/relationships/printerSettings" Target="../printerSettings/printerSettings177.bin"/><Relationship Id="rId27" Type="http://schemas.openxmlformats.org/officeDocument/2006/relationships/printerSettings" Target="../printerSettings/printerSettings182.bin"/><Relationship Id="rId30" Type="http://schemas.openxmlformats.org/officeDocument/2006/relationships/printerSettings" Target="../printerSettings/printerSettings185.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94.bin"/><Relationship Id="rId13" Type="http://schemas.openxmlformats.org/officeDocument/2006/relationships/printerSettings" Target="../printerSettings/printerSettings199.bin"/><Relationship Id="rId18" Type="http://schemas.openxmlformats.org/officeDocument/2006/relationships/printerSettings" Target="../printerSettings/printerSettings204.bin"/><Relationship Id="rId3" Type="http://schemas.openxmlformats.org/officeDocument/2006/relationships/printerSettings" Target="../printerSettings/printerSettings189.bin"/><Relationship Id="rId21" Type="http://schemas.openxmlformats.org/officeDocument/2006/relationships/printerSettings" Target="../printerSettings/printerSettings207.bin"/><Relationship Id="rId7" Type="http://schemas.openxmlformats.org/officeDocument/2006/relationships/printerSettings" Target="../printerSettings/printerSettings193.bin"/><Relationship Id="rId12" Type="http://schemas.openxmlformats.org/officeDocument/2006/relationships/printerSettings" Target="../printerSettings/printerSettings198.bin"/><Relationship Id="rId17" Type="http://schemas.openxmlformats.org/officeDocument/2006/relationships/printerSettings" Target="../printerSettings/printerSettings203.bin"/><Relationship Id="rId2" Type="http://schemas.openxmlformats.org/officeDocument/2006/relationships/printerSettings" Target="../printerSettings/printerSettings188.bin"/><Relationship Id="rId16" Type="http://schemas.openxmlformats.org/officeDocument/2006/relationships/printerSettings" Target="../printerSettings/printerSettings202.bin"/><Relationship Id="rId20" Type="http://schemas.openxmlformats.org/officeDocument/2006/relationships/printerSettings" Target="../printerSettings/printerSettings206.bin"/><Relationship Id="rId1" Type="http://schemas.openxmlformats.org/officeDocument/2006/relationships/printerSettings" Target="../printerSettings/printerSettings187.bin"/><Relationship Id="rId6" Type="http://schemas.openxmlformats.org/officeDocument/2006/relationships/printerSettings" Target="../printerSettings/printerSettings192.bin"/><Relationship Id="rId11" Type="http://schemas.openxmlformats.org/officeDocument/2006/relationships/printerSettings" Target="../printerSettings/printerSettings197.bin"/><Relationship Id="rId5" Type="http://schemas.openxmlformats.org/officeDocument/2006/relationships/printerSettings" Target="../printerSettings/printerSettings191.bin"/><Relationship Id="rId15" Type="http://schemas.openxmlformats.org/officeDocument/2006/relationships/printerSettings" Target="../printerSettings/printerSettings201.bin"/><Relationship Id="rId23" Type="http://schemas.openxmlformats.org/officeDocument/2006/relationships/comments" Target="../comments5.xml"/><Relationship Id="rId10" Type="http://schemas.openxmlformats.org/officeDocument/2006/relationships/printerSettings" Target="../printerSettings/printerSettings196.bin"/><Relationship Id="rId19" Type="http://schemas.openxmlformats.org/officeDocument/2006/relationships/printerSettings" Target="../printerSettings/printerSettings205.bin"/><Relationship Id="rId4" Type="http://schemas.openxmlformats.org/officeDocument/2006/relationships/printerSettings" Target="../printerSettings/printerSettings190.bin"/><Relationship Id="rId9" Type="http://schemas.openxmlformats.org/officeDocument/2006/relationships/printerSettings" Target="../printerSettings/printerSettings195.bin"/><Relationship Id="rId14" Type="http://schemas.openxmlformats.org/officeDocument/2006/relationships/printerSettings" Target="../printerSettings/printerSettings200.bin"/><Relationship Id="rId22"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15.bin"/><Relationship Id="rId13" Type="http://schemas.openxmlformats.org/officeDocument/2006/relationships/printerSettings" Target="../printerSettings/printerSettings220.bin"/><Relationship Id="rId18" Type="http://schemas.openxmlformats.org/officeDocument/2006/relationships/printerSettings" Target="../printerSettings/printerSettings225.bin"/><Relationship Id="rId26" Type="http://schemas.openxmlformats.org/officeDocument/2006/relationships/printerSettings" Target="../printerSettings/printerSettings233.bin"/><Relationship Id="rId3" Type="http://schemas.openxmlformats.org/officeDocument/2006/relationships/printerSettings" Target="../printerSettings/printerSettings210.bin"/><Relationship Id="rId21" Type="http://schemas.openxmlformats.org/officeDocument/2006/relationships/printerSettings" Target="../printerSettings/printerSettings228.bin"/><Relationship Id="rId7" Type="http://schemas.openxmlformats.org/officeDocument/2006/relationships/printerSettings" Target="../printerSettings/printerSettings214.bin"/><Relationship Id="rId12" Type="http://schemas.openxmlformats.org/officeDocument/2006/relationships/printerSettings" Target="../printerSettings/printerSettings219.bin"/><Relationship Id="rId17" Type="http://schemas.openxmlformats.org/officeDocument/2006/relationships/printerSettings" Target="../printerSettings/printerSettings224.bin"/><Relationship Id="rId25" Type="http://schemas.openxmlformats.org/officeDocument/2006/relationships/printerSettings" Target="../printerSettings/printerSettings232.bin"/><Relationship Id="rId2" Type="http://schemas.openxmlformats.org/officeDocument/2006/relationships/printerSettings" Target="../printerSettings/printerSettings209.bin"/><Relationship Id="rId16" Type="http://schemas.openxmlformats.org/officeDocument/2006/relationships/printerSettings" Target="../printerSettings/printerSettings223.bin"/><Relationship Id="rId20" Type="http://schemas.openxmlformats.org/officeDocument/2006/relationships/printerSettings" Target="../printerSettings/printerSettings227.bin"/><Relationship Id="rId29" Type="http://schemas.openxmlformats.org/officeDocument/2006/relationships/printerSettings" Target="../printerSettings/printerSettings236.bin"/><Relationship Id="rId1" Type="http://schemas.openxmlformats.org/officeDocument/2006/relationships/printerSettings" Target="../printerSettings/printerSettings208.bin"/><Relationship Id="rId6" Type="http://schemas.openxmlformats.org/officeDocument/2006/relationships/printerSettings" Target="../printerSettings/printerSettings213.bin"/><Relationship Id="rId11" Type="http://schemas.openxmlformats.org/officeDocument/2006/relationships/printerSettings" Target="../printerSettings/printerSettings218.bin"/><Relationship Id="rId24" Type="http://schemas.openxmlformats.org/officeDocument/2006/relationships/printerSettings" Target="../printerSettings/printerSettings231.bin"/><Relationship Id="rId5" Type="http://schemas.openxmlformats.org/officeDocument/2006/relationships/printerSettings" Target="../printerSettings/printerSettings212.bin"/><Relationship Id="rId15" Type="http://schemas.openxmlformats.org/officeDocument/2006/relationships/printerSettings" Target="../printerSettings/printerSettings222.bin"/><Relationship Id="rId23" Type="http://schemas.openxmlformats.org/officeDocument/2006/relationships/printerSettings" Target="../printerSettings/printerSettings230.bin"/><Relationship Id="rId28" Type="http://schemas.openxmlformats.org/officeDocument/2006/relationships/printerSettings" Target="../printerSettings/printerSettings235.bin"/><Relationship Id="rId10" Type="http://schemas.openxmlformats.org/officeDocument/2006/relationships/printerSettings" Target="../printerSettings/printerSettings217.bin"/><Relationship Id="rId19" Type="http://schemas.openxmlformats.org/officeDocument/2006/relationships/printerSettings" Target="../printerSettings/printerSettings226.bin"/><Relationship Id="rId31" Type="http://schemas.openxmlformats.org/officeDocument/2006/relationships/printerSettings" Target="../printerSettings/printerSettings238.bin"/><Relationship Id="rId4" Type="http://schemas.openxmlformats.org/officeDocument/2006/relationships/printerSettings" Target="../printerSettings/printerSettings211.bin"/><Relationship Id="rId9" Type="http://schemas.openxmlformats.org/officeDocument/2006/relationships/printerSettings" Target="../printerSettings/printerSettings216.bin"/><Relationship Id="rId14" Type="http://schemas.openxmlformats.org/officeDocument/2006/relationships/printerSettings" Target="../printerSettings/printerSettings221.bin"/><Relationship Id="rId22" Type="http://schemas.openxmlformats.org/officeDocument/2006/relationships/printerSettings" Target="../printerSettings/printerSettings229.bin"/><Relationship Id="rId27" Type="http://schemas.openxmlformats.org/officeDocument/2006/relationships/printerSettings" Target="../printerSettings/printerSettings234.bin"/><Relationship Id="rId30" Type="http://schemas.openxmlformats.org/officeDocument/2006/relationships/printerSettings" Target="../printerSettings/printerSettings23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3"/>
  <sheetViews>
    <sheetView topLeftCell="A4" workbookViewId="0">
      <selection activeCell="B19" sqref="B19"/>
    </sheetView>
  </sheetViews>
  <sheetFormatPr defaultRowHeight="15" x14ac:dyDescent="0.25"/>
  <cols>
    <col min="1" max="1" width="3" bestFit="1" customWidth="1"/>
    <col min="2" max="2" width="127" bestFit="1" customWidth="1"/>
  </cols>
  <sheetData>
    <row r="1" spans="1:2" x14ac:dyDescent="0.25">
      <c r="A1">
        <v>1</v>
      </c>
      <c r="B1" s="393" t="s">
        <v>450</v>
      </c>
    </row>
    <row r="2" spans="1:2" x14ac:dyDescent="0.25">
      <c r="A2">
        <v>2</v>
      </c>
      <c r="B2" s="393" t="s">
        <v>451</v>
      </c>
    </row>
    <row r="3" spans="1:2" x14ac:dyDescent="0.25">
      <c r="A3">
        <v>3</v>
      </c>
      <c r="B3" s="393" t="s">
        <v>452</v>
      </c>
    </row>
    <row r="4" spans="1:2" x14ac:dyDescent="0.25">
      <c r="A4">
        <v>4</v>
      </c>
      <c r="B4" s="393" t="s">
        <v>453</v>
      </c>
    </row>
    <row r="5" spans="1:2" x14ac:dyDescent="0.25">
      <c r="A5">
        <v>5</v>
      </c>
      <c r="B5" s="393" t="s">
        <v>458</v>
      </c>
    </row>
    <row r="6" spans="1:2" x14ac:dyDescent="0.25">
      <c r="A6">
        <v>6</v>
      </c>
      <c r="B6" s="393" t="s">
        <v>459</v>
      </c>
    </row>
    <row r="7" spans="1:2" x14ac:dyDescent="0.25">
      <c r="A7">
        <v>7</v>
      </c>
      <c r="B7" s="393" t="s">
        <v>454</v>
      </c>
    </row>
    <row r="8" spans="1:2" x14ac:dyDescent="0.25">
      <c r="A8">
        <v>8</v>
      </c>
      <c r="B8" s="393" t="s">
        <v>460</v>
      </c>
    </row>
    <row r="9" spans="1:2" x14ac:dyDescent="0.25">
      <c r="A9">
        <v>9</v>
      </c>
      <c r="B9" s="393" t="s">
        <v>461</v>
      </c>
    </row>
    <row r="10" spans="1:2" x14ac:dyDescent="0.25">
      <c r="A10">
        <v>10</v>
      </c>
      <c r="B10" s="393" t="s">
        <v>462</v>
      </c>
    </row>
    <row r="11" spans="1:2" x14ac:dyDescent="0.25">
      <c r="A11">
        <v>11</v>
      </c>
      <c r="B11" s="393" t="s">
        <v>455</v>
      </c>
    </row>
    <row r="12" spans="1:2" x14ac:dyDescent="0.25">
      <c r="A12">
        <v>12</v>
      </c>
      <c r="B12" s="393" t="s">
        <v>456</v>
      </c>
    </row>
    <row r="13" spans="1:2" x14ac:dyDescent="0.25">
      <c r="A13">
        <v>13</v>
      </c>
      <c r="B13" s="393" t="s">
        <v>463</v>
      </c>
    </row>
    <row r="14" spans="1:2" x14ac:dyDescent="0.25">
      <c r="A14">
        <v>14</v>
      </c>
      <c r="B14" s="393" t="s">
        <v>457</v>
      </c>
    </row>
    <row r="15" spans="1:2" x14ac:dyDescent="0.25">
      <c r="A15">
        <v>15</v>
      </c>
      <c r="B15" s="393" t="s">
        <v>367</v>
      </c>
    </row>
    <row r="16" spans="1:2" x14ac:dyDescent="0.25">
      <c r="A16">
        <v>16</v>
      </c>
      <c r="B16" s="393" t="s">
        <v>447</v>
      </c>
    </row>
    <row r="17" spans="1:2" x14ac:dyDescent="0.25">
      <c r="A17">
        <v>17</v>
      </c>
      <c r="B17" s="393" t="s">
        <v>448</v>
      </c>
    </row>
    <row r="18" spans="1:2" x14ac:dyDescent="0.25">
      <c r="A18">
        <v>18</v>
      </c>
      <c r="B18" s="393" t="s">
        <v>464</v>
      </c>
    </row>
    <row r="19" spans="1:2" x14ac:dyDescent="0.25">
      <c r="A19">
        <v>19</v>
      </c>
      <c r="B19" s="393" t="s">
        <v>449</v>
      </c>
    </row>
    <row r="22" spans="1:2" x14ac:dyDescent="0.25">
      <c r="B22" s="424">
        <v>45323</v>
      </c>
    </row>
    <row r="23" spans="1:2" x14ac:dyDescent="0.25">
      <c r="B23" s="424">
        <v>45352</v>
      </c>
    </row>
    <row r="24" spans="1:2" x14ac:dyDescent="0.25">
      <c r="B24" s="424">
        <v>45383</v>
      </c>
    </row>
    <row r="25" spans="1:2" x14ac:dyDescent="0.25">
      <c r="B25" s="424">
        <v>45413</v>
      </c>
    </row>
    <row r="26" spans="1:2" x14ac:dyDescent="0.25">
      <c r="B26" s="424">
        <v>45444</v>
      </c>
    </row>
    <row r="27" spans="1:2" x14ac:dyDescent="0.25">
      <c r="B27" s="424">
        <v>45474</v>
      </c>
    </row>
    <row r="28" spans="1:2" x14ac:dyDescent="0.25">
      <c r="B28" s="424">
        <v>45505</v>
      </c>
    </row>
    <row r="29" spans="1:2" x14ac:dyDescent="0.25">
      <c r="B29" s="424">
        <v>45536</v>
      </c>
    </row>
    <row r="30" spans="1:2" x14ac:dyDescent="0.25">
      <c r="B30" s="424">
        <v>45566</v>
      </c>
    </row>
    <row r="31" spans="1:2" x14ac:dyDescent="0.25">
      <c r="B31" s="424">
        <v>45597</v>
      </c>
    </row>
    <row r="32" spans="1:2" x14ac:dyDescent="0.25">
      <c r="B32" s="424">
        <v>45627</v>
      </c>
    </row>
    <row r="33" spans="2:2" x14ac:dyDescent="0.25">
      <c r="B33" s="424">
        <v>45658</v>
      </c>
    </row>
  </sheetData>
  <sheetProtection algorithmName="SHA-512" hashValue="72KGnMxgxAGuW8gL73M5Qld+X49ngb58bq08HtdAzjYM9UKo2kfUKaJRjznpc4A6TomquQMCqmeRLThvTbDR+Q==" saltValue="jcldxTp0BTw5pgIwNjjmWA==" spinCount="100000" sheet="1" objects="1" scenarios="1"/>
  <customSheetViews>
    <customSheetView guid="{7C130984-112A-4861-AA43-E2940708E3DC}" state="hidden" topLeftCell="A4">
      <selection activeCell="B19" sqref="B19"/>
      <pageMargins left="0.7" right="0.7" top="0.75" bottom="0.75" header="0.3" footer="0.3"/>
    </customSheetView>
    <customSheetView guid="{4F41B9CC-959D-442C-80B0-1F0DB2C76D27}" topLeftCell="A4">
      <selection activeCell="B19" sqref="B19"/>
      <pageMargins left="0.7" right="0.7" top="0.75" bottom="0.75" header="0.3" footer="0.3"/>
    </customSheetView>
    <customSheetView guid="{391AB76E-B386-49C1-800F-016A48AA1A46}">
      <selection activeCell="F20" sqref="F20"/>
      <pageMargins left="0.7" right="0.7" top="0.75" bottom="0.75" header="0.3" footer="0.3"/>
    </customSheetView>
    <customSheetView guid="{D01FA037-9AEC-4167-ADB8-2F327C01ECE6}">
      <selection activeCell="F20" sqref="F20"/>
      <pageMargins left="0.7" right="0.7" top="0.75" bottom="0.75" header="0.3" footer="0.3"/>
    </customSheetView>
    <customSheetView guid="{6A602CB8-B24C-4ED4-B378-B27354BE0A1A}" topLeftCell="A4">
      <selection activeCell="B19" sqref="B19"/>
      <pageMargins left="0.7" right="0.7" top="0.75" bottom="0.75" header="0.3" footer="0.3"/>
    </customSheetView>
    <customSheetView guid="{DAA8A688-7558-4B5B-8DBD-E2629BD9E9A8}" topLeftCell="A4">
      <selection activeCell="B19" sqref="B19"/>
      <pageMargins left="0.7" right="0.7" top="0.75" bottom="0.75" header="0.3" footer="0.3"/>
    </customSheetView>
    <customSheetView guid="{0C2B9C2A-7B94-41EF-A2E6-F8AC9A67DE25}" topLeftCell="A4">
      <selection activeCell="B19" sqref="B19"/>
      <pageMargins left="0.7" right="0.7" top="0.75" bottom="0.75" header="0.3" footer="0.3"/>
    </customSheetView>
    <customSheetView guid="{87218168-6C8E-4D5B-A5E5-DCCC26803AA3}" topLeftCell="A4">
      <selection activeCell="B19" sqref="B19"/>
      <pageMargins left="0.7" right="0.7" top="0.75" bottom="0.75" header="0.3" footer="0.3"/>
    </customSheetView>
    <customSheetView guid="{533DC55B-6AD4-4674-9488-685EF2039F3E}" topLeftCell="A4">
      <selection activeCell="B19" sqref="B19"/>
      <pageMargins left="0.7" right="0.7" top="0.75" bottom="0.75" header="0.3" footer="0.3"/>
    </customSheetView>
    <customSheetView guid="{69DABE6F-6182-4403-A4A2-969F10F1C13A}" topLeftCell="A4">
      <selection activeCell="B19" sqref="B19"/>
      <pageMargins left="0.7" right="0.7" top="0.75" bottom="0.75" header="0.3" footer="0.3"/>
    </customSheetView>
    <customSheetView guid="{84867370-1F3E-4368-AF79-FBCE46FFFE92}" topLeftCell="A4">
      <selection activeCell="B19" sqref="B19"/>
      <pageMargins left="0.7" right="0.7" top="0.75" bottom="0.75" header="0.3" footer="0.3"/>
    </customSheetView>
    <customSheetView guid="{47B983AB-FE5F-4725-860C-A2F29420596D}" topLeftCell="A4">
      <selection activeCell="B19" sqref="B19"/>
      <pageMargins left="0.7" right="0.7" top="0.75" bottom="0.75" header="0.3" footer="0.3"/>
    </customSheetView>
    <customSheetView guid="{959E901C-5DDE-42EE-AE94-AB8976B5E00B}" topLeftCell="A4">
      <selection activeCell="B19" sqref="B19"/>
      <pageMargins left="0.7" right="0.7" top="0.75" bottom="0.75" header="0.3" footer="0.3"/>
    </customSheetView>
    <customSheetView guid="{F679EF4A-C5FD-4B86-B87B-D85968E0F2CA}" topLeftCell="A4">
      <selection activeCell="B19" sqref="B19"/>
      <pageMargins left="0.7" right="0.7" top="0.75" bottom="0.75" header="0.3" footer="0.3"/>
    </customSheetView>
    <customSheetView guid="{009B3074-D8EC-4952-BF50-43CD64449612}" topLeftCell="A4">
      <selection activeCell="B19" sqref="B19"/>
      <pageMargins left="0.7" right="0.7" top="0.75" bottom="0.75" header="0.3" footer="0.3"/>
    </customSheetView>
    <customSheetView guid="{770624BF-07F3-44B6-94C3-4CC447CDD45C}" topLeftCell="A4">
      <selection activeCell="B19" sqref="B19"/>
      <pageMargins left="0.7" right="0.7" top="0.75" bottom="0.75" header="0.3" footer="0.3"/>
    </customSheetView>
    <customSheetView guid="{B82BA08A-1A30-4F4D-A478-74A6BD09EA97}" topLeftCell="A4">
      <selection activeCell="B19" sqref="B19"/>
      <pageMargins left="0.7" right="0.7" top="0.75" bottom="0.75" header="0.3" footer="0.3"/>
    </customSheetView>
    <customSheetView guid="{874882D1-E741-4CCA-BF0D-E72FA60B771D}" topLeftCell="A4">
      <selection activeCell="B19" sqref="B19"/>
      <pageMargins left="0.7" right="0.7" top="0.75" bottom="0.75" header="0.3" footer="0.3"/>
    </customSheetView>
    <customSheetView guid="{C236B307-BD63-48C4-A75F-B3F3717BF55C}" topLeftCell="A4">
      <selection activeCell="B19" sqref="B19"/>
      <pageMargins left="0.7" right="0.7" top="0.75" bottom="0.75" header="0.3" footer="0.3"/>
    </customSheetView>
    <customSheetView guid="{BCD82A82-B724-4763-8580-D765356E09BA}">
      <selection activeCell="G15" sqref="G15"/>
      <pageMargins left="0.7" right="0.7" top="0.75" bottom="0.75" header="0.3" footer="0.3"/>
    </customSheetView>
    <customSheetView guid="{B1BF08D1-D416-4B47-ADD0-4F59132DC9E8}" topLeftCell="A4">
      <selection activeCell="B19" sqref="B19"/>
      <pageMargins left="0.7" right="0.7" top="0.75" bottom="0.75" header="0.3" footer="0.3"/>
    </customSheetView>
    <customSheetView guid="{85F4575B-DBC5-482A-9916-255D8F0BC94E}" topLeftCell="A4">
      <selection activeCell="B19" sqref="B19"/>
      <pageMargins left="0.7" right="0.7" top="0.75" bottom="0.75" header="0.3" footer="0.3"/>
    </customSheetView>
    <customSheetView guid="{74870EE6-26B9-40F7-9DC9-260EF16D8959}">
      <selection activeCell="F20" sqref="F20"/>
      <pageMargins left="0.7" right="0.7" top="0.75" bottom="0.75" header="0.3" footer="0.3"/>
    </customSheetView>
    <customSheetView guid="{E508E171-4ED9-4B07-84DF-DA28C60E1969}" topLeftCell="A4">
      <selection activeCell="B19" sqref="B19"/>
      <pageMargins left="0.7" right="0.7" top="0.75" bottom="0.75" header="0.3" footer="0.3"/>
    </customSheetView>
    <customSheetView guid="{4D0DFB57-2CBA-42F2-9A97-C453A6851FBA}" topLeftCell="A4">
      <selection activeCell="B19" sqref="B19"/>
      <pageMargins left="0.7" right="0.7" top="0.75" bottom="0.75" header="0.3" footer="0.3"/>
    </customSheetView>
    <customSheetView guid="{CE1CCA00-200D-4EAA-9FBE-F8EE7C5F82FE}" topLeftCell="A4">
      <selection activeCell="B19" sqref="B19"/>
      <pageMargins left="0.7" right="0.7" top="0.75" bottom="0.75" header="0.3" footer="0.3"/>
    </customSheetView>
    <customSheetView guid="{442F2C94-DD1B-4A01-8694-513D4D6F3BD9}" topLeftCell="A4">
      <selection activeCell="B19" sqref="B19"/>
      <pageMargins left="0.7" right="0.7" top="0.75" bottom="0.75" header="0.3" footer="0.3"/>
    </customSheetView>
    <customSheetView guid="{AC2D5927-4079-4C74-AF69-1BFAC505648F}">
      <selection activeCell="F20" sqref="F20"/>
      <pageMargins left="0.7" right="0.7" top="0.75" bottom="0.75" header="0.3" footer="0.3"/>
    </customSheetView>
    <customSheetView guid="{602C8EDB-B9EF-4C85-B0D5-0558C3A0ABAB}" topLeftCell="A4">
      <selection activeCell="B19" sqref="B19"/>
      <pageMargins left="0.7" right="0.7" top="0.75" bottom="0.75" header="0.3" footer="0.3"/>
    </customSheetView>
    <customSheetView guid="{09C3E205-981E-4A4E-BE89-8B7044192060}" topLeftCell="A4">
      <selection activeCell="B19" sqref="B19"/>
      <pageMargins left="0.7" right="0.7" top="0.75" bottom="0.75" header="0.3" footer="0.3"/>
    </customSheetView>
  </customSheetViews>
  <hyperlinks>
    <hyperlink ref="B1" location="'1.СЗН'!A1" display=" &quot;Содействие занятости населения города Когалыма&quot;"/>
    <hyperlink ref="B2" location="'2.АПК'!A1" display=" &quot;Развитие агропромышленного комплекса в городе Когалыме&quot;"/>
    <hyperlink ref="B3" location="'3.БЖД'!A1" display=" &quot;Безопасность жизнедеятельности населения города Когалыма&quot;"/>
    <hyperlink ref="B4" location="'4.УМИ'!A1" display=" &quot;Управление муниципальным имуществом города Когалыма&quot;"/>
    <hyperlink ref="B5" location="'5.Проф. прав.'!A1" display="Профилактика правонарушений и обеспечение отдельных прав граждан в городе Когалыме"/>
    <hyperlink ref="B6" location="'6.Экстримизм'!A1" display="Укрепление межнационального и межконфессионального согласия, профилактика экстремизма и терроризма в городе Когалыме"/>
    <hyperlink ref="B7" location="'7.МП КП'!A1" display=" &quot;Культурное пространство города Когалыма&quot;"/>
    <hyperlink ref="B8" location="'8.МП РМС'!A1" display="Развитие муниципальной службы  в городе Когалыме"/>
    <hyperlink ref="B9" location="'9.МП РИГО'!A1" display="Развитие институтов гражданского общества города Когалыма"/>
    <hyperlink ref="B10" location="'10.МП РФКиС'!A1" display="Развитие физической культуры и спорта в городе Когалыме"/>
    <hyperlink ref="B11" location="'11.МП РО'!A1" display=" &quot;Развитие образования в городе Когалыме&quot;"/>
    <hyperlink ref="B12" location="'12.МП УМФ'!A1" display=" &quot;Управление муниципальными финансами в городе Когалыме&quot;"/>
    <hyperlink ref="B13" location="'13.МП РЖС'!A1" display="Развитие жилищной сферы в городе Когалыме"/>
    <hyperlink ref="B14" location="'14.МП СЭР'!A1" display=" &quot;Социально - экономическое развитие и инвестиции муниципального образования город Когалым&quot; "/>
    <hyperlink ref="B15" location="'15.МП ЭБ'!A1" display="«Экологическая безопасность города Когалыма» "/>
    <hyperlink ref="B16" location="'16.МП РЖКК'!A1" display="«Развитие жилищно-коммунального комплекса в городе Когалыме» "/>
    <hyperlink ref="B17" location="'17.МП РТС'!A1" display="«Развитие транспортной системы города Когалыма» "/>
    <hyperlink ref="B18" location="'18.МП ФКГС'!A1" display="Формирование комфортной городской среды в городе Когалыме "/>
    <hyperlink ref="B19" location="'19.МП СОГХ'!A1" display="«Содержание объектов городского хозяйства и инженерной инфраструктуры в городе Когалыме» "/>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customSheetViews>
    <customSheetView guid="{7C130984-112A-4861-AA43-E2940708E3DC}" state="hidden">
      <pageMargins left="0.7" right="0.7" top="0.75" bottom="0.75" header="0.3" footer="0.3"/>
    </customSheetView>
    <customSheetView guid="{4F41B9CC-959D-442C-80B0-1F0DB2C76D27}" state="hidden">
      <pageMargins left="0.7" right="0.7" top="0.75" bottom="0.75" header="0.3" footer="0.3"/>
    </customSheetView>
    <customSheetView guid="{391AB76E-B386-49C1-800F-016A48AA1A46}" state="hidden">
      <pageMargins left="0.7" right="0.7" top="0.75" bottom="0.75" header="0.3" footer="0.3"/>
    </customSheetView>
    <customSheetView guid="{D01FA037-9AEC-4167-ADB8-2F327C01ECE6}" state="hidden">
      <pageMargins left="0.7" right="0.7" top="0.75" bottom="0.75" header="0.3" footer="0.3"/>
    </customSheetView>
    <customSheetView guid="{6A602CB8-B24C-4ED4-B378-B27354BE0A1A}" state="hidden">
      <pageMargins left="0.7" right="0.7" top="0.75" bottom="0.75" header="0.3" footer="0.3"/>
    </customSheetView>
    <customSheetView guid="{DAA8A688-7558-4B5B-8DBD-E2629BD9E9A8}" state="hidden">
      <pageMargins left="0.7" right="0.7" top="0.75" bottom="0.75" header="0.3" footer="0.3"/>
    </customSheetView>
    <customSheetView guid="{0C2B9C2A-7B94-41EF-A2E6-F8AC9A67DE25}" state="hidden">
      <pageMargins left="0.7" right="0.7" top="0.75" bottom="0.75" header="0.3" footer="0.3"/>
    </customSheetView>
    <customSheetView guid="{87218168-6C8E-4D5B-A5E5-DCCC26803AA3}" state="hidden">
      <pageMargins left="0.7" right="0.7" top="0.75" bottom="0.75" header="0.3" footer="0.3"/>
    </customSheetView>
    <customSheetView guid="{533DC55B-6AD4-4674-9488-685EF2039F3E}" state="hidden">
      <pageMargins left="0.7" right="0.7" top="0.75" bottom="0.75" header="0.3" footer="0.3"/>
    </customSheetView>
    <customSheetView guid="{69DABE6F-6182-4403-A4A2-969F10F1C13A}" state="hidden">
      <pageMargins left="0.7" right="0.7" top="0.75" bottom="0.75" header="0.3" footer="0.3"/>
    </customSheetView>
    <customSheetView guid="{84867370-1F3E-4368-AF79-FBCE46FFFE92}" state="hidden">
      <pageMargins left="0.7" right="0.7" top="0.75" bottom="0.75" header="0.3" footer="0.3"/>
    </customSheetView>
    <customSheetView guid="{47B983AB-FE5F-4725-860C-A2F29420596D}">
      <pageMargins left="0.7" right="0.7" top="0.75" bottom="0.75" header="0.3" footer="0.3"/>
    </customSheetView>
    <customSheetView guid="{85F4575B-DBC5-482A-9916-255D8F0BC94E}">
      <pageMargins left="0.7" right="0.7" top="0.75" bottom="0.75" header="0.3" footer="0.3"/>
    </customSheetView>
    <customSheetView guid="{74870EE6-26B9-40F7-9DC9-260EF16D8959}" state="hidden">
      <pageMargins left="0.7" right="0.7" top="0.75" bottom="0.75" header="0.3" footer="0.3"/>
    </customSheetView>
    <customSheetView guid="{E508E171-4ED9-4B07-84DF-DA28C60E1969}" state="hidden">
      <pageMargins left="0.7" right="0.7" top="0.75" bottom="0.75" header="0.3" footer="0.3"/>
    </customSheetView>
    <customSheetView guid="{4D0DFB57-2CBA-42F2-9A97-C453A6851FBA}" state="hidden">
      <pageMargins left="0.7" right="0.7" top="0.75" bottom="0.75" header="0.3" footer="0.3"/>
    </customSheetView>
    <customSheetView guid="{CE1CCA00-200D-4EAA-9FBE-F8EE7C5F82FE}" state="hidden">
      <pageMargins left="0.7" right="0.7" top="0.75" bottom="0.75" header="0.3" footer="0.3"/>
    </customSheetView>
    <customSheetView guid="{442F2C94-DD1B-4A01-8694-513D4D6F3BD9}" state="hidden">
      <pageMargins left="0.7" right="0.7" top="0.75" bottom="0.75" header="0.3" footer="0.3"/>
    </customSheetView>
    <customSheetView guid="{AC2D5927-4079-4C74-AF69-1BFAC505648F}" state="hidden">
      <pageMargins left="0.7" right="0.7" top="0.75" bottom="0.75" header="0.3" footer="0.3"/>
    </customSheetView>
    <customSheetView guid="{602C8EDB-B9EF-4C85-B0D5-0558C3A0ABAB}" state="hidden">
      <pageMargins left="0.7" right="0.7" top="0.75" bottom="0.75" header="0.3" footer="0.3"/>
    </customSheetView>
    <customSheetView guid="{09C3E205-981E-4A4E-BE89-8B7044192060}" state="hidden">
      <pageMargins left="0.7" right="0.7" top="0.75" bottom="0.75" header="0.3" footer="0.3"/>
    </customSheetView>
  </customSheetView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62"/>
  <sheetViews>
    <sheetView zoomScale="50" zoomScaleNormal="50" zoomScaleSheetLayoutView="70" workbookViewId="0">
      <pane xSplit="2" ySplit="10" topLeftCell="Q69" activePane="bottomRight" state="frozen"/>
      <selection activeCell="F284" sqref="F284:G284"/>
      <selection pane="topRight" activeCell="F284" sqref="F284:G284"/>
      <selection pane="bottomLeft" activeCell="F284" sqref="F284:G284"/>
      <selection pane="bottomRight" activeCell="AD78" sqref="AD78"/>
    </sheetView>
  </sheetViews>
  <sheetFormatPr defaultColWidth="9.140625" defaultRowHeight="18.75" x14ac:dyDescent="0.3"/>
  <cols>
    <col min="1" max="1" width="57.7109375" style="10" customWidth="1"/>
    <col min="2" max="5" width="15.140625" style="10" customWidth="1"/>
    <col min="6" max="6" width="16.140625" style="10" customWidth="1"/>
    <col min="7" max="7" width="15" style="10" customWidth="1"/>
    <col min="8" max="10" width="13.85546875" style="10" customWidth="1"/>
    <col min="11" max="11" width="14.7109375" style="10" customWidth="1"/>
    <col min="12" max="12" width="13.85546875" style="10" customWidth="1"/>
    <col min="13" max="13" width="13.28515625" style="10" customWidth="1"/>
    <col min="14" max="14" width="13.85546875" style="10" customWidth="1"/>
    <col min="15" max="15" width="15.28515625" style="10" customWidth="1"/>
    <col min="16" max="16" width="13.85546875" style="10" customWidth="1"/>
    <col min="17" max="17" width="13.5703125" style="10" customWidth="1"/>
    <col min="18" max="18" width="13.85546875" style="10" customWidth="1"/>
    <col min="19" max="19" width="12.140625" style="10" customWidth="1"/>
    <col min="20" max="20" width="13.85546875" style="10" customWidth="1"/>
    <col min="21" max="21" width="11.140625" style="10" customWidth="1"/>
    <col min="22" max="22" width="14.5703125" style="10" customWidth="1"/>
    <col min="23" max="23" width="11.5703125" style="10" customWidth="1"/>
    <col min="24" max="24" width="11.28515625" style="10" customWidth="1"/>
    <col min="25" max="25" width="10.5703125" style="10" customWidth="1"/>
    <col min="26" max="26" width="17" style="10" customWidth="1"/>
    <col min="27" max="27" width="11.28515625" style="10" customWidth="1"/>
    <col min="28" max="28" width="10.7109375" style="10" customWidth="1"/>
    <col min="29" max="29" width="10.42578125" style="10" customWidth="1"/>
    <col min="30" max="30" width="16" style="10" customWidth="1"/>
    <col min="31" max="31" width="10.5703125" style="10" customWidth="1"/>
    <col min="32" max="32" width="108.42578125" style="10" customWidth="1"/>
    <col min="33" max="33" width="15.28515625" style="159" customWidth="1"/>
    <col min="34" max="34" width="9.140625" style="10"/>
    <col min="35" max="35" width="16.28515625" style="10" customWidth="1"/>
    <col min="36" max="16384" width="9.140625" style="10"/>
  </cols>
  <sheetData>
    <row r="1" spans="1:34" ht="18.75" customHeight="1" x14ac:dyDescent="0.3">
      <c r="A1" s="1035"/>
      <c r="B1" s="1035"/>
      <c r="C1" s="1035"/>
      <c r="D1" s="1035"/>
      <c r="E1" s="1035"/>
      <c r="F1" s="1035"/>
      <c r="G1" s="1035"/>
      <c r="H1" s="1035"/>
      <c r="I1" s="1035"/>
      <c r="J1" s="1035"/>
      <c r="K1" s="1035"/>
      <c r="L1" s="1035"/>
      <c r="M1" s="1035"/>
      <c r="N1" s="1035"/>
      <c r="O1" s="1035"/>
      <c r="P1" s="1035"/>
      <c r="Q1" s="1035"/>
      <c r="R1" s="1035"/>
      <c r="S1" s="1035"/>
      <c r="T1" s="1035"/>
      <c r="U1" s="1035"/>
      <c r="V1" s="1035"/>
      <c r="W1" s="1035"/>
      <c r="X1" s="1035"/>
      <c r="Y1" s="1035"/>
      <c r="Z1" s="1035"/>
      <c r="AA1" s="1035"/>
      <c r="AB1" s="1035"/>
      <c r="AC1" s="1035"/>
      <c r="AD1" s="1035"/>
      <c r="AE1" s="157"/>
      <c r="AF1" s="158"/>
    </row>
    <row r="2" spans="1:34" ht="18.75" customHeight="1" x14ac:dyDescent="0.3">
      <c r="A2" s="1035"/>
      <c r="B2" s="1035"/>
      <c r="C2" s="1035"/>
      <c r="D2" s="1035"/>
      <c r="E2" s="1035"/>
      <c r="F2" s="1035"/>
      <c r="G2" s="1035"/>
      <c r="H2" s="1035"/>
      <c r="I2" s="1035"/>
      <c r="J2" s="1035"/>
      <c r="K2" s="1035"/>
      <c r="L2" s="1035"/>
      <c r="M2" s="1035"/>
      <c r="N2" s="1035"/>
      <c r="O2" s="1035"/>
      <c r="P2" s="1035"/>
      <c r="Q2" s="1035"/>
      <c r="R2" s="1035"/>
      <c r="S2" s="1035"/>
      <c r="T2" s="1035"/>
      <c r="U2" s="1035"/>
      <c r="V2" s="1035"/>
      <c r="W2" s="1035"/>
      <c r="X2" s="1035"/>
      <c r="Y2" s="1035"/>
      <c r="Z2" s="1035"/>
      <c r="AA2" s="1035"/>
      <c r="AB2" s="1035"/>
      <c r="AC2" s="1035"/>
      <c r="AD2" s="1035"/>
      <c r="AE2" s="157"/>
      <c r="AF2" s="158"/>
    </row>
    <row r="3" spans="1:34" ht="18.75" customHeight="1" x14ac:dyDescent="0.3">
      <c r="A3" s="1035"/>
      <c r="B3" s="1035"/>
      <c r="C3" s="1035"/>
      <c r="D3" s="1035"/>
      <c r="E3" s="1035"/>
      <c r="F3" s="1035"/>
      <c r="G3" s="1035"/>
      <c r="H3" s="1035"/>
      <c r="I3" s="1035"/>
      <c r="J3" s="1035"/>
      <c r="K3" s="1035"/>
      <c r="L3" s="1035"/>
      <c r="M3" s="1035"/>
      <c r="N3" s="1035"/>
      <c r="O3" s="1035"/>
      <c r="P3" s="1035"/>
      <c r="Q3" s="1035"/>
      <c r="R3" s="1035"/>
      <c r="S3" s="1035"/>
      <c r="T3" s="1035"/>
      <c r="U3" s="1035"/>
      <c r="V3" s="1035"/>
      <c r="W3" s="1035"/>
      <c r="X3" s="1035"/>
      <c r="Y3" s="1035"/>
      <c r="Z3" s="1035"/>
      <c r="AA3" s="1035"/>
      <c r="AB3" s="1035"/>
      <c r="AC3" s="1035"/>
      <c r="AD3" s="1035"/>
      <c r="AE3" s="157"/>
      <c r="AF3" s="158"/>
    </row>
    <row r="4" spans="1:34" s="163" customFormat="1" ht="18.75" customHeight="1" x14ac:dyDescent="0.25">
      <c r="A4" s="1036" t="s">
        <v>234</v>
      </c>
      <c r="B4" s="1036"/>
      <c r="C4" s="1036"/>
      <c r="D4" s="1036"/>
      <c r="E4" s="1036"/>
      <c r="F4" s="1036"/>
      <c r="G4" s="1036"/>
      <c r="H4" s="1036"/>
      <c r="I4" s="1036"/>
      <c r="J4" s="1036"/>
      <c r="K4" s="1036"/>
      <c r="L4" s="1036"/>
      <c r="M4" s="1036"/>
      <c r="N4" s="1036"/>
      <c r="O4" s="1036"/>
      <c r="P4" s="1036"/>
      <c r="Q4" s="1036"/>
      <c r="R4" s="1036"/>
      <c r="S4" s="1036"/>
      <c r="T4" s="1036"/>
      <c r="U4" s="1036"/>
      <c r="V4" s="1036"/>
      <c r="W4" s="1036"/>
      <c r="X4" s="1036"/>
      <c r="Y4" s="1036"/>
      <c r="Z4" s="1036"/>
      <c r="AA4" s="1036"/>
      <c r="AB4" s="1036"/>
      <c r="AC4" s="1036"/>
      <c r="AD4" s="1036"/>
      <c r="AE4" s="160"/>
      <c r="AF4" s="161"/>
      <c r="AG4" s="162"/>
    </row>
    <row r="5" spans="1:34" ht="18.75" customHeight="1" x14ac:dyDescent="0.3">
      <c r="A5" s="164"/>
      <c r="B5" s="160"/>
      <c r="C5" s="160"/>
      <c r="D5" s="160"/>
      <c r="E5" s="160"/>
      <c r="F5" s="160"/>
      <c r="G5" s="160"/>
      <c r="H5" s="160"/>
      <c r="I5" s="160"/>
      <c r="J5" s="160"/>
      <c r="K5" s="160"/>
      <c r="L5" s="160"/>
      <c r="M5" s="160"/>
      <c r="N5" s="160"/>
      <c r="O5" s="160"/>
      <c r="P5" s="160"/>
      <c r="Q5" s="160"/>
      <c r="R5" s="160"/>
      <c r="S5" s="160"/>
      <c r="T5" s="160"/>
      <c r="U5" s="160"/>
      <c r="V5" s="160"/>
      <c r="W5" s="160"/>
      <c r="X5" s="160"/>
      <c r="Y5" s="160"/>
      <c r="Z5" s="160"/>
      <c r="AA5" s="160"/>
      <c r="AB5" s="1037"/>
      <c r="AC5" s="1037"/>
      <c r="AD5" s="1037"/>
      <c r="AE5" s="165"/>
      <c r="AF5" s="166"/>
    </row>
    <row r="6" spans="1:34" ht="37.5" customHeight="1" x14ac:dyDescent="0.3">
      <c r="A6" s="1027" t="s">
        <v>163</v>
      </c>
      <c r="B6" s="95" t="s">
        <v>3</v>
      </c>
      <c r="C6" s="95" t="s">
        <v>3</v>
      </c>
      <c r="D6" s="95" t="s">
        <v>4</v>
      </c>
      <c r="E6" s="95" t="s">
        <v>5</v>
      </c>
      <c r="F6" s="1028" t="s">
        <v>6</v>
      </c>
      <c r="G6" s="1029"/>
      <c r="H6" s="1028" t="s">
        <v>7</v>
      </c>
      <c r="I6" s="1030"/>
      <c r="J6" s="1028" t="s">
        <v>8</v>
      </c>
      <c r="K6" s="1030"/>
      <c r="L6" s="1028" t="s">
        <v>9</v>
      </c>
      <c r="M6" s="1030"/>
      <c r="N6" s="1028" t="s">
        <v>10</v>
      </c>
      <c r="O6" s="1030"/>
      <c r="P6" s="1028" t="s">
        <v>11</v>
      </c>
      <c r="Q6" s="1030"/>
      <c r="R6" s="1028" t="s">
        <v>12</v>
      </c>
      <c r="S6" s="1030"/>
      <c r="T6" s="1028" t="s">
        <v>13</v>
      </c>
      <c r="U6" s="1030"/>
      <c r="V6" s="1028" t="s">
        <v>14</v>
      </c>
      <c r="W6" s="1030"/>
      <c r="X6" s="1028" t="s">
        <v>15</v>
      </c>
      <c r="Y6" s="1030"/>
      <c r="Z6" s="1028" t="s">
        <v>16</v>
      </c>
      <c r="AA6" s="1030"/>
      <c r="AB6" s="1028" t="s">
        <v>17</v>
      </c>
      <c r="AC6" s="1030"/>
      <c r="AD6" s="1031" t="s">
        <v>18</v>
      </c>
      <c r="AE6" s="1031"/>
      <c r="AF6" s="1019" t="s">
        <v>19</v>
      </c>
    </row>
    <row r="7" spans="1:34" ht="56.25" x14ac:dyDescent="0.3">
      <c r="A7" s="1027"/>
      <c r="B7" s="3">
        <v>2024</v>
      </c>
      <c r="C7" s="4">
        <v>45474</v>
      </c>
      <c r="D7" s="4">
        <v>45474</v>
      </c>
      <c r="E7" s="4">
        <v>45474</v>
      </c>
      <c r="F7" s="5" t="s">
        <v>20</v>
      </c>
      <c r="G7" s="5" t="s">
        <v>21</v>
      </c>
      <c r="H7" s="5" t="s">
        <v>22</v>
      </c>
      <c r="I7" s="96" t="s">
        <v>164</v>
      </c>
      <c r="J7" s="5" t="s">
        <v>22</v>
      </c>
      <c r="K7" s="96" t="s">
        <v>164</v>
      </c>
      <c r="L7" s="5" t="s">
        <v>22</v>
      </c>
      <c r="M7" s="96" t="s">
        <v>164</v>
      </c>
      <c r="N7" s="5" t="s">
        <v>22</v>
      </c>
      <c r="O7" s="96" t="s">
        <v>164</v>
      </c>
      <c r="P7" s="5" t="s">
        <v>22</v>
      </c>
      <c r="Q7" s="96" t="s">
        <v>164</v>
      </c>
      <c r="R7" s="5" t="s">
        <v>22</v>
      </c>
      <c r="S7" s="96" t="s">
        <v>164</v>
      </c>
      <c r="T7" s="5" t="s">
        <v>22</v>
      </c>
      <c r="U7" s="96" t="s">
        <v>164</v>
      </c>
      <c r="V7" s="5" t="s">
        <v>22</v>
      </c>
      <c r="W7" s="96" t="s">
        <v>164</v>
      </c>
      <c r="X7" s="5" t="s">
        <v>22</v>
      </c>
      <c r="Y7" s="96" t="s">
        <v>164</v>
      </c>
      <c r="Z7" s="5" t="s">
        <v>22</v>
      </c>
      <c r="AA7" s="96" t="s">
        <v>164</v>
      </c>
      <c r="AB7" s="5" t="s">
        <v>22</v>
      </c>
      <c r="AC7" s="96" t="s">
        <v>164</v>
      </c>
      <c r="AD7" s="5" t="s">
        <v>22</v>
      </c>
      <c r="AE7" s="96" t="s">
        <v>164</v>
      </c>
      <c r="AF7" s="1020"/>
    </row>
    <row r="8" spans="1:34" x14ac:dyDescent="0.3">
      <c r="A8" s="167">
        <v>1</v>
      </c>
      <c r="B8" s="6">
        <v>2</v>
      </c>
      <c r="C8" s="6">
        <v>3</v>
      </c>
      <c r="D8" s="6">
        <v>4</v>
      </c>
      <c r="E8" s="6">
        <v>5</v>
      </c>
      <c r="F8" s="6">
        <v>6</v>
      </c>
      <c r="G8" s="6">
        <v>7</v>
      </c>
      <c r="H8" s="6">
        <v>8</v>
      </c>
      <c r="I8" s="6">
        <v>9</v>
      </c>
      <c r="J8" s="6">
        <v>10</v>
      </c>
      <c r="K8" s="6">
        <v>11</v>
      </c>
      <c r="L8" s="6">
        <v>12</v>
      </c>
      <c r="M8" s="6">
        <v>13</v>
      </c>
      <c r="N8" s="6">
        <v>14</v>
      </c>
      <c r="O8" s="6">
        <v>15</v>
      </c>
      <c r="P8" s="6">
        <v>16</v>
      </c>
      <c r="Q8" s="6">
        <v>17</v>
      </c>
      <c r="R8" s="6">
        <v>18</v>
      </c>
      <c r="S8" s="6">
        <v>19</v>
      </c>
      <c r="T8" s="6">
        <v>20</v>
      </c>
      <c r="U8" s="6">
        <v>21</v>
      </c>
      <c r="V8" s="6">
        <v>22</v>
      </c>
      <c r="W8" s="6">
        <v>23</v>
      </c>
      <c r="X8" s="6">
        <v>24</v>
      </c>
      <c r="Y8" s="6">
        <v>25</v>
      </c>
      <c r="Z8" s="6">
        <v>26</v>
      </c>
      <c r="AA8" s="6">
        <v>27</v>
      </c>
      <c r="AB8" s="6">
        <v>28</v>
      </c>
      <c r="AC8" s="6">
        <v>29</v>
      </c>
      <c r="AD8" s="6">
        <v>30</v>
      </c>
      <c r="AE8" s="6">
        <v>31</v>
      </c>
      <c r="AF8" s="6">
        <v>32</v>
      </c>
    </row>
    <row r="9" spans="1:34" s="168" customFormat="1" x14ac:dyDescent="0.3">
      <c r="A9" s="1041" t="s">
        <v>235</v>
      </c>
      <c r="B9" s="1042"/>
      <c r="C9" s="1042"/>
      <c r="D9" s="1042"/>
      <c r="E9" s="1042"/>
      <c r="F9" s="1042"/>
      <c r="G9" s="1042"/>
      <c r="H9" s="1042"/>
      <c r="I9" s="1042"/>
      <c r="J9" s="1042"/>
      <c r="K9" s="1042"/>
      <c r="L9" s="1042"/>
      <c r="M9" s="1042"/>
      <c r="N9" s="1042"/>
      <c r="O9" s="1042"/>
      <c r="P9" s="1042"/>
      <c r="Q9" s="1042"/>
      <c r="R9" s="1042"/>
      <c r="S9" s="1042"/>
      <c r="T9" s="1042"/>
      <c r="U9" s="1042"/>
      <c r="V9" s="1042"/>
      <c r="W9" s="1042"/>
      <c r="X9" s="1042"/>
      <c r="Y9" s="1042"/>
      <c r="Z9" s="1042"/>
      <c r="AA9" s="1042"/>
      <c r="AB9" s="1042"/>
      <c r="AC9" s="1042"/>
      <c r="AD9" s="1042"/>
      <c r="AE9" s="1042"/>
      <c r="AF9" s="1043"/>
    </row>
    <row r="10" spans="1:34" s="168" customFormat="1" x14ac:dyDescent="0.3">
      <c r="A10" s="1041" t="s">
        <v>54</v>
      </c>
      <c r="B10" s="1042"/>
      <c r="C10" s="1042"/>
      <c r="D10" s="1042"/>
      <c r="E10" s="1042"/>
      <c r="F10" s="1042"/>
      <c r="G10" s="1042"/>
      <c r="H10" s="1042"/>
      <c r="I10" s="1042"/>
      <c r="J10" s="1042"/>
      <c r="K10" s="1042"/>
      <c r="L10" s="1042"/>
      <c r="M10" s="1042"/>
      <c r="N10" s="1042"/>
      <c r="O10" s="1042"/>
      <c r="P10" s="1042"/>
      <c r="Q10" s="1042"/>
      <c r="R10" s="1042"/>
      <c r="S10" s="1042"/>
      <c r="T10" s="1042"/>
      <c r="U10" s="1042"/>
      <c r="V10" s="1042"/>
      <c r="W10" s="1042"/>
      <c r="X10" s="1042"/>
      <c r="Y10" s="1042"/>
      <c r="Z10" s="1042"/>
      <c r="AA10" s="1042"/>
      <c r="AB10" s="1042"/>
      <c r="AC10" s="1042"/>
      <c r="AD10" s="1042"/>
      <c r="AE10" s="1042"/>
      <c r="AF10" s="1043"/>
    </row>
    <row r="11" spans="1:34" ht="56.25" x14ac:dyDescent="0.3">
      <c r="A11" s="169" t="s">
        <v>236</v>
      </c>
      <c r="B11" s="170">
        <f t="shared" ref="B11:K11" si="0">B12</f>
        <v>6362.5</v>
      </c>
      <c r="C11" s="171">
        <f t="shared" si="0"/>
        <v>5362.5</v>
      </c>
      <c r="D11" s="171">
        <f>D12</f>
        <v>5362.5</v>
      </c>
      <c r="E11" s="170">
        <f t="shared" si="0"/>
        <v>5362.5</v>
      </c>
      <c r="F11" s="172">
        <f t="shared" si="0"/>
        <v>100</v>
      </c>
      <c r="G11" s="172">
        <f t="shared" si="0"/>
        <v>100</v>
      </c>
      <c r="H11" s="170">
        <f>H12</f>
        <v>5362.5</v>
      </c>
      <c r="I11" s="170">
        <f t="shared" si="0"/>
        <v>5362.5</v>
      </c>
      <c r="J11" s="170">
        <f t="shared" si="0"/>
        <v>0</v>
      </c>
      <c r="K11" s="172">
        <f t="shared" si="0"/>
        <v>0</v>
      </c>
      <c r="L11" s="170">
        <f>L12</f>
        <v>0</v>
      </c>
      <c r="M11" s="172">
        <f>M12</f>
        <v>0</v>
      </c>
      <c r="N11" s="170">
        <f>N12</f>
        <v>0</v>
      </c>
      <c r="O11" s="172">
        <f>O12</f>
        <v>0</v>
      </c>
      <c r="P11" s="170">
        <f>P12</f>
        <v>0</v>
      </c>
      <c r="Q11" s="172">
        <v>0</v>
      </c>
      <c r="R11" s="170">
        <f>R12</f>
        <v>0</v>
      </c>
      <c r="S11" s="172">
        <v>0</v>
      </c>
      <c r="T11" s="170">
        <f>T12</f>
        <v>0</v>
      </c>
      <c r="U11" s="172"/>
      <c r="V11" s="170">
        <f>V12</f>
        <v>0</v>
      </c>
      <c r="W11" s="172"/>
      <c r="X11" s="170">
        <f>X12</f>
        <v>0</v>
      </c>
      <c r="Y11" s="172"/>
      <c r="Z11" s="170">
        <f>Z12</f>
        <v>0</v>
      </c>
      <c r="AA11" s="172"/>
      <c r="AB11" s="170">
        <f>AB12</f>
        <v>1000</v>
      </c>
      <c r="AC11" s="172"/>
      <c r="AD11" s="170">
        <f>AD12</f>
        <v>0</v>
      </c>
      <c r="AE11" s="173"/>
      <c r="AF11" s="174"/>
      <c r="AG11" s="175"/>
      <c r="AH11" s="654"/>
    </row>
    <row r="12" spans="1:34" s="177" customFormat="1" x14ac:dyDescent="0.3">
      <c r="A12" s="176" t="s">
        <v>31</v>
      </c>
      <c r="B12" s="170">
        <f>B13+B14+B15+B16</f>
        <v>6362.5</v>
      </c>
      <c r="C12" s="170">
        <f>C13+C14+C15+C16</f>
        <v>5362.5</v>
      </c>
      <c r="D12" s="170">
        <f>D13+D14+D15+D16</f>
        <v>5362.5</v>
      </c>
      <c r="E12" s="170">
        <f t="shared" ref="E12:J12" si="1">E13+E14+E15+E16</f>
        <v>5362.5</v>
      </c>
      <c r="F12" s="170">
        <f t="shared" si="1"/>
        <v>100</v>
      </c>
      <c r="G12" s="170">
        <f>G15</f>
        <v>100</v>
      </c>
      <c r="H12" s="170">
        <f>H13+H14+H15+H16</f>
        <v>5362.5</v>
      </c>
      <c r="I12" s="170">
        <f t="shared" si="1"/>
        <v>5362.5</v>
      </c>
      <c r="J12" s="170">
        <f t="shared" si="1"/>
        <v>0</v>
      </c>
      <c r="K12" s="170">
        <f>K13+K14+K15+K16</f>
        <v>0</v>
      </c>
      <c r="L12" s="170">
        <f>L13+L14+L15+L16</f>
        <v>0</v>
      </c>
      <c r="M12" s="170">
        <f>M13+M14+M15+M16</f>
        <v>0</v>
      </c>
      <c r="N12" s="170">
        <f>N13+N14+N15+N16</f>
        <v>0</v>
      </c>
      <c r="O12" s="170">
        <v>0</v>
      </c>
      <c r="P12" s="170">
        <f>P13+P14+P15+P16</f>
        <v>0</v>
      </c>
      <c r="Q12" s="170">
        <v>0</v>
      </c>
      <c r="R12" s="170">
        <f>R13+R14+R15+R16</f>
        <v>0</v>
      </c>
      <c r="S12" s="170">
        <v>0</v>
      </c>
      <c r="T12" s="170">
        <f>T13+T14+T15+T16</f>
        <v>0</v>
      </c>
      <c r="U12" s="170"/>
      <c r="V12" s="170">
        <f>V13+V14+V15+V16</f>
        <v>0</v>
      </c>
      <c r="W12" s="170"/>
      <c r="X12" s="170">
        <f>X13+X14+X15+X16</f>
        <v>0</v>
      </c>
      <c r="Y12" s="170"/>
      <c r="Z12" s="170">
        <f>Z13+Z14+Z15+Z16</f>
        <v>0</v>
      </c>
      <c r="AA12" s="170"/>
      <c r="AB12" s="170">
        <f>AB13+AB14+AB15+AB16</f>
        <v>1000</v>
      </c>
      <c r="AC12" s="170"/>
      <c r="AD12" s="170">
        <f>AD13+AD14+AD15+AD16</f>
        <v>0</v>
      </c>
      <c r="AE12" s="170"/>
      <c r="AF12" s="174"/>
      <c r="AG12" s="175"/>
      <c r="AH12" s="654"/>
    </row>
    <row r="13" spans="1:34" x14ac:dyDescent="0.3">
      <c r="A13" s="178" t="s">
        <v>169</v>
      </c>
      <c r="B13" s="179">
        <f>H13+J13+L13+N13+P13+R13+T13+V13+X13+Z13+AB13+AD13</f>
        <v>0</v>
      </c>
      <c r="C13" s="180">
        <f>H13+J13</f>
        <v>0</v>
      </c>
      <c r="D13" s="180">
        <f>I13</f>
        <v>0</v>
      </c>
      <c r="E13" s="179">
        <v>0</v>
      </c>
      <c r="F13" s="181">
        <v>0</v>
      </c>
      <c r="G13" s="179">
        <v>0</v>
      </c>
      <c r="H13" s="179">
        <f>H19+H25</f>
        <v>0</v>
      </c>
      <c r="I13" s="179">
        <f t="shared" ref="I13:AE16" si="2">I19+I25</f>
        <v>0</v>
      </c>
      <c r="J13" s="179">
        <f t="shared" si="2"/>
        <v>0</v>
      </c>
      <c r="K13" s="179">
        <f t="shared" si="2"/>
        <v>0</v>
      </c>
      <c r="L13" s="179">
        <f t="shared" si="2"/>
        <v>0</v>
      </c>
      <c r="M13" s="179">
        <f t="shared" si="2"/>
        <v>0</v>
      </c>
      <c r="N13" s="179">
        <f t="shared" si="2"/>
        <v>0</v>
      </c>
      <c r="O13" s="179">
        <f t="shared" si="2"/>
        <v>0</v>
      </c>
      <c r="P13" s="179">
        <f t="shared" si="2"/>
        <v>0</v>
      </c>
      <c r="Q13" s="179">
        <f t="shared" si="2"/>
        <v>0</v>
      </c>
      <c r="R13" s="179">
        <f t="shared" si="2"/>
        <v>0</v>
      </c>
      <c r="S13" s="179">
        <f t="shared" si="2"/>
        <v>0</v>
      </c>
      <c r="T13" s="179">
        <f t="shared" si="2"/>
        <v>0</v>
      </c>
      <c r="U13" s="179">
        <f t="shared" si="2"/>
        <v>0</v>
      </c>
      <c r="V13" s="179">
        <f t="shared" si="2"/>
        <v>0</v>
      </c>
      <c r="W13" s="179">
        <f t="shared" si="2"/>
        <v>0</v>
      </c>
      <c r="X13" s="179">
        <f t="shared" si="2"/>
        <v>0</v>
      </c>
      <c r="Y13" s="179">
        <f t="shared" si="2"/>
        <v>0</v>
      </c>
      <c r="Z13" s="179">
        <f t="shared" si="2"/>
        <v>0</v>
      </c>
      <c r="AA13" s="179">
        <f t="shared" si="2"/>
        <v>0</v>
      </c>
      <c r="AB13" s="179">
        <f t="shared" si="2"/>
        <v>0</v>
      </c>
      <c r="AC13" s="179">
        <f t="shared" si="2"/>
        <v>0</v>
      </c>
      <c r="AD13" s="179">
        <f t="shared" si="2"/>
        <v>0</v>
      </c>
      <c r="AE13" s="179">
        <f t="shared" si="2"/>
        <v>0</v>
      </c>
      <c r="AF13" s="182"/>
      <c r="AG13" s="175"/>
      <c r="AH13" s="654"/>
    </row>
    <row r="14" spans="1:34" x14ac:dyDescent="0.3">
      <c r="A14" s="178" t="s">
        <v>32</v>
      </c>
      <c r="B14" s="179">
        <f>H14+J14+L14+N14+P14+R14+T14+V14+X14+Z14+AB14+AD14</f>
        <v>0</v>
      </c>
      <c r="C14" s="180">
        <f>H14+J14</f>
        <v>0</v>
      </c>
      <c r="D14" s="180">
        <f>I14</f>
        <v>0</v>
      </c>
      <c r="E14" s="179">
        <v>0</v>
      </c>
      <c r="F14" s="181">
        <v>0</v>
      </c>
      <c r="G14" s="179">
        <v>0</v>
      </c>
      <c r="H14" s="179">
        <f>H20+H26</f>
        <v>0</v>
      </c>
      <c r="I14" s="179">
        <f t="shared" ref="I14:W14" si="3">I20+I26</f>
        <v>0</v>
      </c>
      <c r="J14" s="179">
        <f t="shared" si="3"/>
        <v>0</v>
      </c>
      <c r="K14" s="179">
        <f t="shared" si="3"/>
        <v>0</v>
      </c>
      <c r="L14" s="179">
        <f t="shared" si="3"/>
        <v>0</v>
      </c>
      <c r="M14" s="179">
        <f t="shared" si="3"/>
        <v>0</v>
      </c>
      <c r="N14" s="179">
        <f t="shared" si="3"/>
        <v>0</v>
      </c>
      <c r="O14" s="179">
        <f t="shared" si="3"/>
        <v>0</v>
      </c>
      <c r="P14" s="179">
        <f t="shared" si="3"/>
        <v>0</v>
      </c>
      <c r="Q14" s="179">
        <f t="shared" si="3"/>
        <v>0</v>
      </c>
      <c r="R14" s="179">
        <f t="shared" si="3"/>
        <v>0</v>
      </c>
      <c r="S14" s="179">
        <f t="shared" si="3"/>
        <v>0</v>
      </c>
      <c r="T14" s="179">
        <f t="shared" si="3"/>
        <v>0</v>
      </c>
      <c r="U14" s="179">
        <f t="shared" si="3"/>
        <v>0</v>
      </c>
      <c r="V14" s="179">
        <f t="shared" si="3"/>
        <v>0</v>
      </c>
      <c r="W14" s="179">
        <f t="shared" si="3"/>
        <v>0</v>
      </c>
      <c r="X14" s="179">
        <f t="shared" si="2"/>
        <v>0</v>
      </c>
      <c r="Y14" s="179">
        <f t="shared" si="2"/>
        <v>0</v>
      </c>
      <c r="Z14" s="179">
        <f t="shared" si="2"/>
        <v>0</v>
      </c>
      <c r="AA14" s="179">
        <f t="shared" si="2"/>
        <v>0</v>
      </c>
      <c r="AB14" s="179">
        <f t="shared" si="2"/>
        <v>0</v>
      </c>
      <c r="AC14" s="179">
        <f t="shared" si="2"/>
        <v>0</v>
      </c>
      <c r="AD14" s="179">
        <f t="shared" si="2"/>
        <v>0</v>
      </c>
      <c r="AE14" s="179">
        <f t="shared" si="2"/>
        <v>0</v>
      </c>
      <c r="AF14" s="182"/>
      <c r="AG14" s="175"/>
      <c r="AH14" s="654"/>
    </row>
    <row r="15" spans="1:34" x14ac:dyDescent="0.3">
      <c r="A15" s="178" t="s">
        <v>33</v>
      </c>
      <c r="B15" s="179">
        <f>H15+J15+L15+N15+P15+R15+T15+V15+X15+Z15+AB15+AD15</f>
        <v>6362.5</v>
      </c>
      <c r="C15" s="180">
        <f>C21+C27</f>
        <v>5362.5</v>
      </c>
      <c r="D15" s="180">
        <f>I15</f>
        <v>5362.5</v>
      </c>
      <c r="E15" s="181">
        <f>I15</f>
        <v>5362.5</v>
      </c>
      <c r="F15" s="181">
        <f>F24</f>
        <v>100</v>
      </c>
      <c r="G15" s="181">
        <f>G24</f>
        <v>100</v>
      </c>
      <c r="H15" s="179">
        <f>H21+H27</f>
        <v>5362.5</v>
      </c>
      <c r="I15" s="179">
        <v>5362.5</v>
      </c>
      <c r="J15" s="179">
        <f t="shared" si="2"/>
        <v>0</v>
      </c>
      <c r="K15" s="179">
        <f t="shared" si="2"/>
        <v>0</v>
      </c>
      <c r="L15" s="179">
        <f t="shared" si="2"/>
        <v>0</v>
      </c>
      <c r="M15" s="179">
        <f t="shared" si="2"/>
        <v>0</v>
      </c>
      <c r="N15" s="179">
        <f t="shared" si="2"/>
        <v>0</v>
      </c>
      <c r="O15" s="179">
        <f t="shared" si="2"/>
        <v>0</v>
      </c>
      <c r="P15" s="179">
        <f t="shared" si="2"/>
        <v>0</v>
      </c>
      <c r="Q15" s="179">
        <f t="shared" si="2"/>
        <v>0</v>
      </c>
      <c r="R15" s="179">
        <f t="shared" si="2"/>
        <v>0</v>
      </c>
      <c r="S15" s="179">
        <f t="shared" si="2"/>
        <v>0</v>
      </c>
      <c r="T15" s="179">
        <f t="shared" si="2"/>
        <v>0</v>
      </c>
      <c r="U15" s="179">
        <f t="shared" si="2"/>
        <v>0</v>
      </c>
      <c r="V15" s="179">
        <f t="shared" si="2"/>
        <v>0</v>
      </c>
      <c r="W15" s="179">
        <f t="shared" si="2"/>
        <v>0</v>
      </c>
      <c r="X15" s="179">
        <f t="shared" si="2"/>
        <v>0</v>
      </c>
      <c r="Y15" s="179">
        <f t="shared" si="2"/>
        <v>0</v>
      </c>
      <c r="Z15" s="179">
        <f t="shared" si="2"/>
        <v>0</v>
      </c>
      <c r="AA15" s="179">
        <f t="shared" si="2"/>
        <v>0</v>
      </c>
      <c r="AB15" s="179">
        <f t="shared" si="2"/>
        <v>1000</v>
      </c>
      <c r="AC15" s="179">
        <f>AC21+AC27</f>
        <v>0</v>
      </c>
      <c r="AD15" s="179">
        <f t="shared" si="2"/>
        <v>0</v>
      </c>
      <c r="AE15" s="179">
        <f t="shared" si="2"/>
        <v>0</v>
      </c>
      <c r="AF15" s="182"/>
      <c r="AG15" s="175"/>
      <c r="AH15" s="654"/>
    </row>
    <row r="16" spans="1:34" x14ac:dyDescent="0.3">
      <c r="A16" s="178" t="s">
        <v>221</v>
      </c>
      <c r="B16" s="179">
        <f>H16+J16+L16+N16+P16+R16+T16+V16+X16+Z16+AB16+AD16</f>
        <v>0</v>
      </c>
      <c r="C16" s="180">
        <f>H16+J16</f>
        <v>0</v>
      </c>
      <c r="D16" s="180">
        <f>I16</f>
        <v>0</v>
      </c>
      <c r="E16" s="179">
        <v>0</v>
      </c>
      <c r="F16" s="181">
        <v>0</v>
      </c>
      <c r="G16" s="179">
        <v>0</v>
      </c>
      <c r="H16" s="179">
        <f>H22+H28</f>
        <v>0</v>
      </c>
      <c r="I16" s="179">
        <f t="shared" si="2"/>
        <v>0</v>
      </c>
      <c r="J16" s="179">
        <f t="shared" si="2"/>
        <v>0</v>
      </c>
      <c r="K16" s="179">
        <f t="shared" si="2"/>
        <v>0</v>
      </c>
      <c r="L16" s="179">
        <f t="shared" si="2"/>
        <v>0</v>
      </c>
      <c r="M16" s="179">
        <f t="shared" si="2"/>
        <v>0</v>
      </c>
      <c r="N16" s="179">
        <f t="shared" si="2"/>
        <v>0</v>
      </c>
      <c r="O16" s="179">
        <f t="shared" si="2"/>
        <v>0</v>
      </c>
      <c r="P16" s="179">
        <f t="shared" si="2"/>
        <v>0</v>
      </c>
      <c r="Q16" s="179">
        <f t="shared" si="2"/>
        <v>0</v>
      </c>
      <c r="R16" s="179">
        <f t="shared" si="2"/>
        <v>0</v>
      </c>
      <c r="S16" s="179">
        <f t="shared" si="2"/>
        <v>0</v>
      </c>
      <c r="T16" s="179">
        <f t="shared" si="2"/>
        <v>0</v>
      </c>
      <c r="U16" s="179">
        <f t="shared" si="2"/>
        <v>0</v>
      </c>
      <c r="V16" s="179">
        <f t="shared" si="2"/>
        <v>0</v>
      </c>
      <c r="W16" s="179">
        <f t="shared" si="2"/>
        <v>0</v>
      </c>
      <c r="X16" s="179">
        <f t="shared" si="2"/>
        <v>0</v>
      </c>
      <c r="Y16" s="179">
        <f t="shared" si="2"/>
        <v>0</v>
      </c>
      <c r="Z16" s="179">
        <f t="shared" si="2"/>
        <v>0</v>
      </c>
      <c r="AA16" s="179">
        <f t="shared" si="2"/>
        <v>0</v>
      </c>
      <c r="AB16" s="179">
        <f t="shared" si="2"/>
        <v>0</v>
      </c>
      <c r="AC16" s="179">
        <f t="shared" si="2"/>
        <v>0</v>
      </c>
      <c r="AD16" s="179">
        <f t="shared" si="2"/>
        <v>0</v>
      </c>
      <c r="AE16" s="179">
        <f t="shared" si="2"/>
        <v>0</v>
      </c>
      <c r="AF16" s="182"/>
      <c r="AG16" s="175"/>
      <c r="AH16" s="654"/>
    </row>
    <row r="17" spans="1:34" ht="55.9" customHeight="1" x14ac:dyDescent="0.3">
      <c r="A17" s="200" t="s">
        <v>568</v>
      </c>
      <c r="B17" s="191"/>
      <c r="C17" s="191"/>
      <c r="D17" s="191"/>
      <c r="E17" s="192"/>
      <c r="F17" s="193"/>
      <c r="G17" s="193"/>
      <c r="H17" s="191"/>
      <c r="I17" s="192"/>
      <c r="J17" s="191"/>
      <c r="K17" s="192"/>
      <c r="L17" s="191"/>
      <c r="M17" s="192"/>
      <c r="N17" s="191"/>
      <c r="O17" s="192"/>
      <c r="P17" s="191"/>
      <c r="Q17" s="192"/>
      <c r="R17" s="191"/>
      <c r="S17" s="192"/>
      <c r="T17" s="191"/>
      <c r="U17" s="192"/>
      <c r="V17" s="191"/>
      <c r="W17" s="192"/>
      <c r="X17" s="191"/>
      <c r="Y17" s="192"/>
      <c r="Z17" s="191"/>
      <c r="AA17" s="192"/>
      <c r="AB17" s="191"/>
      <c r="AC17" s="192"/>
      <c r="AD17" s="191"/>
      <c r="AE17" s="194"/>
      <c r="AF17" s="201"/>
      <c r="AG17" s="175"/>
      <c r="AH17" s="654"/>
    </row>
    <row r="18" spans="1:34" s="177" customFormat="1" ht="42.6" customHeight="1" x14ac:dyDescent="0.3">
      <c r="A18" s="196" t="s">
        <v>31</v>
      </c>
      <c r="B18" s="197">
        <f>B19+B20+B21+B22</f>
        <v>1000</v>
      </c>
      <c r="C18" s="197">
        <f>C19+C20+C21+C22</f>
        <v>0</v>
      </c>
      <c r="D18" s="197">
        <f>D19+D20+D21+D22</f>
        <v>0</v>
      </c>
      <c r="E18" s="197">
        <f>E19+E20+E21+E22</f>
        <v>0</v>
      </c>
      <c r="F18" s="198">
        <f>IFERROR(E18/B18*100,0)</f>
        <v>0</v>
      </c>
      <c r="G18" s="198">
        <f>IFERROR(E18/C18*100,0)</f>
        <v>0</v>
      </c>
      <c r="H18" s="197">
        <f>H19+H20+H21+H22</f>
        <v>0</v>
      </c>
      <c r="I18" s="197">
        <f>I19+I20+I21+I22</f>
        <v>0</v>
      </c>
      <c r="J18" s="197">
        <f>J19+J20+J21+J22</f>
        <v>0</v>
      </c>
      <c r="K18" s="197">
        <v>0</v>
      </c>
      <c r="L18" s="197">
        <f>L19+L20+L21+L22</f>
        <v>0</v>
      </c>
      <c r="M18" s="197">
        <f>M19</f>
        <v>0</v>
      </c>
      <c r="N18" s="197">
        <f>N19+N20+N21+N22</f>
        <v>0</v>
      </c>
      <c r="O18" s="197">
        <f>O19</f>
        <v>0</v>
      </c>
      <c r="P18" s="197">
        <f>P19+P20+P21+P22</f>
        <v>0</v>
      </c>
      <c r="Q18" s="197">
        <f>Q19</f>
        <v>0</v>
      </c>
      <c r="R18" s="197">
        <f>R19+R20+R21+R22</f>
        <v>0</v>
      </c>
      <c r="S18" s="197">
        <v>0</v>
      </c>
      <c r="T18" s="197">
        <f>T19+T20+T21+T22</f>
        <v>0</v>
      </c>
      <c r="U18" s="197"/>
      <c r="V18" s="197">
        <f>V19+V20+V21+V22</f>
        <v>0</v>
      </c>
      <c r="W18" s="197"/>
      <c r="X18" s="197">
        <f>X19+X20+X21+X22</f>
        <v>0</v>
      </c>
      <c r="Y18" s="197"/>
      <c r="Z18" s="197">
        <f>Z19+Z20+Z21+Z22</f>
        <v>0</v>
      </c>
      <c r="AA18" s="197"/>
      <c r="AB18" s="197">
        <f>AB19+AB20+AB21+AB22</f>
        <v>1000</v>
      </c>
      <c r="AC18" s="197"/>
      <c r="AD18" s="197">
        <f>AD19+AD20+AD21+AD22</f>
        <v>0</v>
      </c>
      <c r="AE18" s="197"/>
      <c r="AF18" s="225" t="s">
        <v>465</v>
      </c>
      <c r="AG18" s="175"/>
      <c r="AH18" s="654"/>
    </row>
    <row r="19" spans="1:34" x14ac:dyDescent="0.3">
      <c r="A19" s="199" t="s">
        <v>169</v>
      </c>
      <c r="B19" s="191">
        <f>H19+J19+L19+N19+P19+R19+T19+V19+X19+Z19+AB19+AD19</f>
        <v>0</v>
      </c>
      <c r="C19" s="191">
        <f>H19+J19</f>
        <v>0</v>
      </c>
      <c r="D19" s="191">
        <f>E19</f>
        <v>0</v>
      </c>
      <c r="E19" s="191">
        <v>0</v>
      </c>
      <c r="F19" s="193">
        <f>IFERROR(E19/B19*100,0)</f>
        <v>0</v>
      </c>
      <c r="G19" s="193">
        <f>IFERROR(E19/C19*100,0)</f>
        <v>0</v>
      </c>
      <c r="H19" s="191">
        <v>0</v>
      </c>
      <c r="I19" s="191">
        <v>0</v>
      </c>
      <c r="J19" s="191">
        <v>0</v>
      </c>
      <c r="K19" s="191">
        <v>0</v>
      </c>
      <c r="L19" s="191">
        <v>0</v>
      </c>
      <c r="M19" s="191">
        <v>0</v>
      </c>
      <c r="N19" s="191">
        <v>0</v>
      </c>
      <c r="O19" s="191">
        <v>0</v>
      </c>
      <c r="P19" s="191">
        <v>0</v>
      </c>
      <c r="Q19" s="191">
        <v>0</v>
      </c>
      <c r="R19" s="191">
        <v>0</v>
      </c>
      <c r="S19" s="191">
        <v>0</v>
      </c>
      <c r="T19" s="191">
        <v>0</v>
      </c>
      <c r="U19" s="191"/>
      <c r="V19" s="191"/>
      <c r="W19" s="191"/>
      <c r="X19" s="191"/>
      <c r="Y19" s="191"/>
      <c r="Z19" s="191"/>
      <c r="AA19" s="191"/>
      <c r="AB19" s="191"/>
      <c r="AC19" s="191"/>
      <c r="AD19" s="191"/>
      <c r="AE19" s="191"/>
      <c r="AF19" s="201"/>
      <c r="AG19" s="175"/>
      <c r="AH19" s="654"/>
    </row>
    <row r="20" spans="1:34" x14ac:dyDescent="0.3">
      <c r="A20" s="199" t="s">
        <v>32</v>
      </c>
      <c r="B20" s="191">
        <f>H20+J20+L20+N20+P20+R20+T20+V20+X20+Z20+AB20+AD20</f>
        <v>0</v>
      </c>
      <c r="C20" s="191">
        <f>H20+J20</f>
        <v>0</v>
      </c>
      <c r="D20" s="191">
        <f>E20</f>
        <v>0</v>
      </c>
      <c r="E20" s="191">
        <v>0</v>
      </c>
      <c r="F20" s="193">
        <f>IFERROR(E20/B20*100,0)</f>
        <v>0</v>
      </c>
      <c r="G20" s="193">
        <f>IFERROR(E20/C20*100,0)</f>
        <v>0</v>
      </c>
      <c r="H20" s="191">
        <v>0</v>
      </c>
      <c r="I20" s="191">
        <v>0</v>
      </c>
      <c r="J20" s="191">
        <v>0</v>
      </c>
      <c r="K20" s="191">
        <v>0</v>
      </c>
      <c r="L20" s="191">
        <v>0</v>
      </c>
      <c r="M20" s="191">
        <v>0</v>
      </c>
      <c r="N20" s="191">
        <v>0</v>
      </c>
      <c r="O20" s="191">
        <v>0</v>
      </c>
      <c r="P20" s="191">
        <v>0</v>
      </c>
      <c r="Q20" s="191">
        <v>0</v>
      </c>
      <c r="R20" s="191">
        <v>0</v>
      </c>
      <c r="S20" s="191">
        <v>0</v>
      </c>
      <c r="T20" s="191">
        <v>0</v>
      </c>
      <c r="U20" s="191"/>
      <c r="V20" s="191"/>
      <c r="W20" s="191"/>
      <c r="X20" s="191"/>
      <c r="Y20" s="191"/>
      <c r="Z20" s="191"/>
      <c r="AA20" s="191"/>
      <c r="AB20" s="191"/>
      <c r="AC20" s="191"/>
      <c r="AD20" s="191"/>
      <c r="AE20" s="191"/>
      <c r="AF20" s="201"/>
      <c r="AG20" s="175"/>
      <c r="AH20" s="654"/>
    </row>
    <row r="21" spans="1:34" s="652" customFormat="1" x14ac:dyDescent="0.3">
      <c r="A21" s="754" t="s">
        <v>33</v>
      </c>
      <c r="B21" s="680">
        <f>H21+J21+L21+N21+P21+R21+T21+V21+X21+Z21+AB21+AD21</f>
        <v>1000</v>
      </c>
      <c r="C21" s="680">
        <f>H21+J21+L21+N21</f>
        <v>0</v>
      </c>
      <c r="D21" s="759">
        <f>E21</f>
        <v>0</v>
      </c>
      <c r="E21" s="755">
        <v>0</v>
      </c>
      <c r="F21" s="680">
        <f>IFERROR(E21/B21*100,0)</f>
        <v>0</v>
      </c>
      <c r="G21" s="680">
        <f>IFERROR(E21/C21*100,0)</f>
        <v>0</v>
      </c>
      <c r="H21" s="680">
        <v>0</v>
      </c>
      <c r="I21" s="680">
        <v>0</v>
      </c>
      <c r="J21" s="680">
        <v>0</v>
      </c>
      <c r="K21" s="680">
        <v>0</v>
      </c>
      <c r="L21" s="680">
        <v>0</v>
      </c>
      <c r="M21" s="680">
        <v>0</v>
      </c>
      <c r="N21" s="680">
        <v>0</v>
      </c>
      <c r="O21" s="680">
        <v>0</v>
      </c>
      <c r="P21" s="680">
        <v>0</v>
      </c>
      <c r="Q21" s="680">
        <v>0</v>
      </c>
      <c r="R21" s="680">
        <v>0</v>
      </c>
      <c r="S21" s="680">
        <v>0</v>
      </c>
      <c r="T21" s="680">
        <v>0</v>
      </c>
      <c r="U21" s="680"/>
      <c r="V21" s="680"/>
      <c r="W21" s="680"/>
      <c r="X21" s="680"/>
      <c r="Y21" s="680"/>
      <c r="Z21" s="680"/>
      <c r="AA21" s="680"/>
      <c r="AB21" s="680">
        <v>1000</v>
      </c>
      <c r="AC21" s="680"/>
      <c r="AD21" s="680"/>
      <c r="AE21" s="680"/>
      <c r="AF21" s="762"/>
      <c r="AG21" s="757"/>
      <c r="AH21" s="758"/>
    </row>
    <row r="22" spans="1:34" x14ac:dyDescent="0.3">
      <c r="A22" s="199" t="s">
        <v>221</v>
      </c>
      <c r="B22" s="191">
        <f>H22+J22+L22+N22+P22+R22+T22+V22+X22+Z22+AB22+AD22</f>
        <v>0</v>
      </c>
      <c r="C22" s="191">
        <f>H22</f>
        <v>0</v>
      </c>
      <c r="D22" s="191">
        <f>E22</f>
        <v>0</v>
      </c>
      <c r="E22" s="191">
        <v>0</v>
      </c>
      <c r="F22" s="193">
        <f>IFERROR(E22/B22*100,0)</f>
        <v>0</v>
      </c>
      <c r="G22" s="193">
        <f>IFERROR(E22/C22*100,0)</f>
        <v>0</v>
      </c>
      <c r="H22" s="191">
        <v>0</v>
      </c>
      <c r="I22" s="191">
        <v>0</v>
      </c>
      <c r="J22" s="191">
        <v>0</v>
      </c>
      <c r="K22" s="191">
        <v>0</v>
      </c>
      <c r="L22" s="191">
        <v>0</v>
      </c>
      <c r="M22" s="191">
        <v>0</v>
      </c>
      <c r="N22" s="191">
        <v>0</v>
      </c>
      <c r="O22" s="191">
        <v>0</v>
      </c>
      <c r="P22" s="191">
        <v>0</v>
      </c>
      <c r="Q22" s="191">
        <v>0</v>
      </c>
      <c r="R22" s="191">
        <v>0</v>
      </c>
      <c r="S22" s="191">
        <v>0</v>
      </c>
      <c r="T22" s="191">
        <v>0</v>
      </c>
      <c r="U22" s="191"/>
      <c r="V22" s="191"/>
      <c r="W22" s="191"/>
      <c r="X22" s="191"/>
      <c r="Y22" s="191"/>
      <c r="Z22" s="191"/>
      <c r="AA22" s="191"/>
      <c r="AB22" s="191"/>
      <c r="AC22" s="191"/>
      <c r="AD22" s="191"/>
      <c r="AE22" s="191"/>
      <c r="AF22" s="201"/>
      <c r="AG22" s="175"/>
      <c r="AH22" s="654"/>
    </row>
    <row r="23" spans="1:34" ht="388.9" customHeight="1" x14ac:dyDescent="0.3">
      <c r="A23" s="200" t="s">
        <v>237</v>
      </c>
      <c r="B23" s="191"/>
      <c r="C23" s="191"/>
      <c r="D23" s="191"/>
      <c r="E23" s="192"/>
      <c r="F23" s="193"/>
      <c r="G23" s="193"/>
      <c r="H23" s="191"/>
      <c r="I23" s="192"/>
      <c r="J23" s="191"/>
      <c r="K23" s="192"/>
      <c r="L23" s="191"/>
      <c r="M23" s="192"/>
      <c r="N23" s="191"/>
      <c r="O23" s="192"/>
      <c r="P23" s="191"/>
      <c r="Q23" s="192"/>
      <c r="R23" s="191"/>
      <c r="S23" s="192"/>
      <c r="T23" s="191"/>
      <c r="U23" s="192"/>
      <c r="V23" s="191"/>
      <c r="W23" s="192"/>
      <c r="X23" s="191"/>
      <c r="Y23" s="192"/>
      <c r="Z23" s="191"/>
      <c r="AA23" s="192"/>
      <c r="AB23" s="191"/>
      <c r="AC23" s="192"/>
      <c r="AD23" s="191"/>
      <c r="AE23" s="194"/>
      <c r="AF23" s="511" t="s">
        <v>654</v>
      </c>
      <c r="AG23" s="175"/>
      <c r="AH23" s="654"/>
    </row>
    <row r="24" spans="1:34" s="761" customFormat="1" x14ac:dyDescent="0.3">
      <c r="A24" s="760" t="s">
        <v>31</v>
      </c>
      <c r="B24" s="679">
        <f>B25+B26+B27+B28</f>
        <v>5362.5</v>
      </c>
      <c r="C24" s="679">
        <f>C25+C26+C27+C28</f>
        <v>5362.5</v>
      </c>
      <c r="D24" s="679">
        <f>D25+D26+D27+D28</f>
        <v>5362.5</v>
      </c>
      <c r="E24" s="679">
        <f>E25+E26+E27+E28</f>
        <v>5362.5</v>
      </c>
      <c r="F24" s="679">
        <f>F25+F26+F27+F28</f>
        <v>100</v>
      </c>
      <c r="G24" s="679">
        <f>E24/C24*100</f>
        <v>100</v>
      </c>
      <c r="H24" s="679">
        <f>H25+H26+H27+H28</f>
        <v>5362.5</v>
      </c>
      <c r="I24" s="679">
        <f>I25+I26+I27+I28</f>
        <v>5362.5</v>
      </c>
      <c r="J24" s="679">
        <f>J25+J26+J27+J28</f>
        <v>0</v>
      </c>
      <c r="K24" s="679">
        <f>K25+K26+K27+K28</f>
        <v>0</v>
      </c>
      <c r="L24" s="679">
        <f>L25+L26+L27+L28</f>
        <v>0</v>
      </c>
      <c r="M24" s="679">
        <f>M25</f>
        <v>0</v>
      </c>
      <c r="N24" s="679">
        <f>N25+N26+N27+N28</f>
        <v>0</v>
      </c>
      <c r="O24" s="679">
        <f>O25</f>
        <v>0</v>
      </c>
      <c r="P24" s="679">
        <f>P25+P26+P27+P28</f>
        <v>0</v>
      </c>
      <c r="Q24" s="679">
        <v>0</v>
      </c>
      <c r="R24" s="679">
        <f>R25+R26+R27+R28</f>
        <v>0</v>
      </c>
      <c r="S24" s="679"/>
      <c r="T24" s="679">
        <f>T25+T26+T27+T28</f>
        <v>0</v>
      </c>
      <c r="U24" s="679"/>
      <c r="V24" s="679">
        <f>V25+V26+V27+V28</f>
        <v>0</v>
      </c>
      <c r="W24" s="679"/>
      <c r="X24" s="679">
        <f>X25+X26+X27+X28</f>
        <v>0</v>
      </c>
      <c r="Y24" s="679"/>
      <c r="Z24" s="679">
        <f>Z25+Z26+Z27+Z28</f>
        <v>0</v>
      </c>
      <c r="AA24" s="679"/>
      <c r="AB24" s="679">
        <f>AB25+AB26+AB27+AB28</f>
        <v>0</v>
      </c>
      <c r="AC24" s="679"/>
      <c r="AD24" s="679">
        <f>AD25+AD26+AD27+AD28</f>
        <v>0</v>
      </c>
      <c r="AE24" s="679"/>
      <c r="AF24" s="762"/>
      <c r="AG24" s="757"/>
      <c r="AH24" s="758"/>
    </row>
    <row r="25" spans="1:34" x14ac:dyDescent="0.3">
      <c r="A25" s="199" t="s">
        <v>169</v>
      </c>
      <c r="B25" s="191">
        <f>H25+J25+L25+N25+P25+R25+T25+V25+X25+Z25+AB25+AD25</f>
        <v>0</v>
      </c>
      <c r="C25" s="191">
        <f>H25+J25</f>
        <v>0</v>
      </c>
      <c r="D25" s="191">
        <f>E25</f>
        <v>0</v>
      </c>
      <c r="E25" s="191">
        <v>0</v>
      </c>
      <c r="F25" s="193">
        <v>0</v>
      </c>
      <c r="G25" s="193">
        <v>0</v>
      </c>
      <c r="H25" s="191">
        <v>0</v>
      </c>
      <c r="I25" s="191">
        <v>0</v>
      </c>
      <c r="J25" s="191">
        <v>0</v>
      </c>
      <c r="K25" s="191">
        <v>0</v>
      </c>
      <c r="L25" s="191">
        <v>0</v>
      </c>
      <c r="M25" s="191">
        <v>0</v>
      </c>
      <c r="N25" s="191">
        <v>0</v>
      </c>
      <c r="O25" s="191">
        <v>0</v>
      </c>
      <c r="P25" s="191">
        <v>0</v>
      </c>
      <c r="Q25" s="191">
        <v>0</v>
      </c>
      <c r="R25" s="191"/>
      <c r="S25" s="191"/>
      <c r="T25" s="191"/>
      <c r="U25" s="191"/>
      <c r="V25" s="191"/>
      <c r="W25" s="191"/>
      <c r="X25" s="191"/>
      <c r="Y25" s="191"/>
      <c r="Z25" s="191"/>
      <c r="AA25" s="191"/>
      <c r="AB25" s="191"/>
      <c r="AC25" s="191"/>
      <c r="AD25" s="191"/>
      <c r="AE25" s="191"/>
      <c r="AF25" s="201" t="e">
        <f>-AF23</f>
        <v>#VALUE!</v>
      </c>
      <c r="AG25" s="175"/>
      <c r="AH25" s="654"/>
    </row>
    <row r="26" spans="1:34" x14ac:dyDescent="0.3">
      <c r="A26" s="199" t="s">
        <v>32</v>
      </c>
      <c r="B26" s="191">
        <f>H26+J26+L26+N26+P26+R26+T26+V26+X26+Z26+AB26+AD26</f>
        <v>0</v>
      </c>
      <c r="C26" s="191">
        <f>H26+J26</f>
        <v>0</v>
      </c>
      <c r="D26" s="191">
        <f>E26</f>
        <v>0</v>
      </c>
      <c r="E26" s="191">
        <v>0</v>
      </c>
      <c r="F26" s="193">
        <v>0</v>
      </c>
      <c r="G26" s="193">
        <v>0</v>
      </c>
      <c r="H26" s="191">
        <v>0</v>
      </c>
      <c r="I26" s="191">
        <v>0</v>
      </c>
      <c r="J26" s="191">
        <v>0</v>
      </c>
      <c r="K26" s="191">
        <v>0</v>
      </c>
      <c r="L26" s="191">
        <v>0</v>
      </c>
      <c r="M26" s="191">
        <v>0</v>
      </c>
      <c r="N26" s="191">
        <v>0</v>
      </c>
      <c r="O26" s="191">
        <v>0</v>
      </c>
      <c r="P26" s="191">
        <v>0</v>
      </c>
      <c r="Q26" s="191">
        <v>0</v>
      </c>
      <c r="R26" s="191"/>
      <c r="S26" s="191"/>
      <c r="T26" s="191"/>
      <c r="U26" s="191"/>
      <c r="V26" s="191"/>
      <c r="W26" s="191"/>
      <c r="X26" s="191"/>
      <c r="Y26" s="191"/>
      <c r="Z26" s="191"/>
      <c r="AA26" s="191"/>
      <c r="AB26" s="191"/>
      <c r="AC26" s="191"/>
      <c r="AD26" s="191"/>
      <c r="AE26" s="191"/>
      <c r="AF26" s="201"/>
      <c r="AG26" s="175"/>
      <c r="AH26" s="654"/>
    </row>
    <row r="27" spans="1:34" s="652" customFormat="1" x14ac:dyDescent="0.3">
      <c r="A27" s="754" t="s">
        <v>33</v>
      </c>
      <c r="B27" s="680">
        <f>H27+J27+L27+N27+P27+R27+T27+V27+X27+Z27+AB27+AD27</f>
        <v>5362.5</v>
      </c>
      <c r="C27" s="680">
        <f>H27+J27+L27+N27</f>
        <v>5362.5</v>
      </c>
      <c r="D27" s="759">
        <f>H27</f>
        <v>5362.5</v>
      </c>
      <c r="E27" s="755">
        <f>I27</f>
        <v>5362.5</v>
      </c>
      <c r="F27" s="680">
        <f>E27/B27*100</f>
        <v>100</v>
      </c>
      <c r="G27" s="680">
        <f>E27/C27*100</f>
        <v>100</v>
      </c>
      <c r="H27" s="680">
        <v>5362.5</v>
      </c>
      <c r="I27" s="680">
        <v>5362.5</v>
      </c>
      <c r="J27" s="680">
        <v>0</v>
      </c>
      <c r="K27" s="680">
        <v>0</v>
      </c>
      <c r="L27" s="680">
        <v>0</v>
      </c>
      <c r="M27" s="680">
        <v>0</v>
      </c>
      <c r="N27" s="680">
        <v>0</v>
      </c>
      <c r="O27" s="680">
        <v>0</v>
      </c>
      <c r="P27" s="680">
        <v>0</v>
      </c>
      <c r="Q27" s="680">
        <v>0</v>
      </c>
      <c r="R27" s="680"/>
      <c r="S27" s="680"/>
      <c r="T27" s="680"/>
      <c r="U27" s="680"/>
      <c r="V27" s="680"/>
      <c r="W27" s="680"/>
      <c r="X27" s="680"/>
      <c r="Y27" s="680"/>
      <c r="Z27" s="680"/>
      <c r="AA27" s="680"/>
      <c r="AB27" s="680"/>
      <c r="AC27" s="680"/>
      <c r="AD27" s="680"/>
      <c r="AE27" s="680"/>
      <c r="AF27" s="762"/>
      <c r="AG27" s="757"/>
      <c r="AH27" s="758"/>
    </row>
    <row r="28" spans="1:34" x14ac:dyDescent="0.3">
      <c r="A28" s="199" t="s">
        <v>221</v>
      </c>
      <c r="B28" s="191">
        <f>H28+J28+L28+N28+P28+R28+T28+V28+X28+Z28+AB28+AD28</f>
        <v>0</v>
      </c>
      <c r="C28" s="191">
        <f>H28</f>
        <v>0</v>
      </c>
      <c r="D28" s="191">
        <f>E28</f>
        <v>0</v>
      </c>
      <c r="E28" s="191">
        <v>0</v>
      </c>
      <c r="F28" s="193">
        <v>0</v>
      </c>
      <c r="G28" s="193">
        <v>0</v>
      </c>
      <c r="H28" s="191">
        <v>0</v>
      </c>
      <c r="I28" s="191">
        <v>0</v>
      </c>
      <c r="J28" s="191">
        <v>0</v>
      </c>
      <c r="K28" s="191">
        <v>0</v>
      </c>
      <c r="L28" s="191">
        <v>0</v>
      </c>
      <c r="M28" s="191">
        <v>0</v>
      </c>
      <c r="N28" s="191">
        <v>0</v>
      </c>
      <c r="O28" s="191">
        <v>0</v>
      </c>
      <c r="P28" s="191">
        <v>0</v>
      </c>
      <c r="Q28" s="191">
        <v>0</v>
      </c>
      <c r="R28" s="191"/>
      <c r="S28" s="191"/>
      <c r="T28" s="191"/>
      <c r="U28" s="191"/>
      <c r="V28" s="191"/>
      <c r="W28" s="191"/>
      <c r="X28" s="191"/>
      <c r="Y28" s="191"/>
      <c r="Z28" s="191"/>
      <c r="AA28" s="191"/>
      <c r="AB28" s="191"/>
      <c r="AC28" s="191"/>
      <c r="AD28" s="191"/>
      <c r="AE28" s="191"/>
      <c r="AF28" s="201"/>
      <c r="AG28" s="175"/>
      <c r="AH28" s="654"/>
    </row>
    <row r="29" spans="1:34" s="168" customFormat="1" x14ac:dyDescent="0.3">
      <c r="A29" s="1041" t="s">
        <v>238</v>
      </c>
      <c r="B29" s="1042"/>
      <c r="C29" s="1042"/>
      <c r="D29" s="1042"/>
      <c r="E29" s="1042"/>
      <c r="F29" s="1042"/>
      <c r="G29" s="1042"/>
      <c r="H29" s="1042"/>
      <c r="I29" s="1042"/>
      <c r="J29" s="1042"/>
      <c r="K29" s="1042"/>
      <c r="L29" s="1042"/>
      <c r="M29" s="1042"/>
      <c r="N29" s="1042"/>
      <c r="O29" s="1042"/>
      <c r="P29" s="1042"/>
      <c r="Q29" s="1042"/>
      <c r="R29" s="1042"/>
      <c r="S29" s="1042"/>
      <c r="T29" s="1042"/>
      <c r="U29" s="1042"/>
      <c r="V29" s="1042"/>
      <c r="W29" s="1042"/>
      <c r="X29" s="1042"/>
      <c r="Y29" s="1042"/>
      <c r="Z29" s="1042"/>
      <c r="AA29" s="1042"/>
      <c r="AB29" s="1042"/>
      <c r="AC29" s="1042"/>
      <c r="AD29" s="1042"/>
      <c r="AE29" s="1042"/>
      <c r="AF29" s="1043"/>
      <c r="AG29" s="175"/>
      <c r="AH29" s="721"/>
    </row>
    <row r="30" spans="1:34" s="168" customFormat="1" x14ac:dyDescent="0.3">
      <c r="A30" s="1041" t="s">
        <v>54</v>
      </c>
      <c r="B30" s="1042"/>
      <c r="C30" s="1042"/>
      <c r="D30" s="1042"/>
      <c r="E30" s="1042"/>
      <c r="F30" s="1042"/>
      <c r="G30" s="1042"/>
      <c r="H30" s="1042"/>
      <c r="I30" s="1042"/>
      <c r="J30" s="1042"/>
      <c r="K30" s="1042"/>
      <c r="L30" s="1042"/>
      <c r="M30" s="1042"/>
      <c r="N30" s="1042"/>
      <c r="O30" s="1042"/>
      <c r="P30" s="1042"/>
      <c r="Q30" s="1042"/>
      <c r="R30" s="1042"/>
      <c r="S30" s="1042"/>
      <c r="T30" s="1042"/>
      <c r="U30" s="1042"/>
      <c r="V30" s="1042"/>
      <c r="W30" s="1042"/>
      <c r="X30" s="1042"/>
      <c r="Y30" s="1042"/>
      <c r="Z30" s="1042"/>
      <c r="AA30" s="1042"/>
      <c r="AB30" s="1042"/>
      <c r="AC30" s="1042"/>
      <c r="AD30" s="1042"/>
      <c r="AE30" s="1042"/>
      <c r="AF30" s="1043"/>
      <c r="AG30" s="175"/>
      <c r="AH30" s="721"/>
    </row>
    <row r="31" spans="1:34" ht="61.9" customHeight="1" x14ac:dyDescent="0.3">
      <c r="A31" s="184" t="s">
        <v>239</v>
      </c>
      <c r="B31" s="170">
        <f t="shared" ref="B31:H31" si="4">B32</f>
        <v>1024</v>
      </c>
      <c r="C31" s="171">
        <f t="shared" si="4"/>
        <v>0</v>
      </c>
      <c r="D31" s="171">
        <f t="shared" si="4"/>
        <v>0</v>
      </c>
      <c r="E31" s="172">
        <f>E32</f>
        <v>0</v>
      </c>
      <c r="F31" s="171">
        <f t="shared" si="4"/>
        <v>0</v>
      </c>
      <c r="G31" s="171">
        <f t="shared" si="4"/>
        <v>0</v>
      </c>
      <c r="H31" s="170">
        <f t="shared" si="4"/>
        <v>0</v>
      </c>
      <c r="I31" s="172">
        <f>I32</f>
        <v>0</v>
      </c>
      <c r="J31" s="170">
        <f>J32</f>
        <v>0</v>
      </c>
      <c r="K31" s="172">
        <v>0</v>
      </c>
      <c r="L31" s="170">
        <f>L32</f>
        <v>0</v>
      </c>
      <c r="M31" s="172">
        <f>M32</f>
        <v>0</v>
      </c>
      <c r="N31" s="170">
        <f>N32</f>
        <v>0</v>
      </c>
      <c r="O31" s="172">
        <f>O32</f>
        <v>0</v>
      </c>
      <c r="P31" s="170">
        <f t="shared" ref="P31:Q36" si="5">N31</f>
        <v>0</v>
      </c>
      <c r="Q31" s="172">
        <f t="shared" si="5"/>
        <v>0</v>
      </c>
      <c r="R31" s="170">
        <f>R32</f>
        <v>0</v>
      </c>
      <c r="S31" s="172">
        <v>0</v>
      </c>
      <c r="T31" s="170">
        <f>T32</f>
        <v>0</v>
      </c>
      <c r="U31" s="172"/>
      <c r="V31" s="170">
        <f>V32</f>
        <v>0</v>
      </c>
      <c r="W31" s="172"/>
      <c r="X31" s="170">
        <f>X32</f>
        <v>924</v>
      </c>
      <c r="Y31" s="172"/>
      <c r="Z31" s="170">
        <f>Z32</f>
        <v>0</v>
      </c>
      <c r="AA31" s="172"/>
      <c r="AB31" s="170">
        <f>AB32</f>
        <v>0</v>
      </c>
      <c r="AC31" s="172"/>
      <c r="AD31" s="170">
        <f>AD32</f>
        <v>100</v>
      </c>
      <c r="AE31" s="173"/>
      <c r="AF31" s="174"/>
      <c r="AG31" s="175"/>
      <c r="AH31" s="654"/>
    </row>
    <row r="32" spans="1:34" s="177" customFormat="1" x14ac:dyDescent="0.3">
      <c r="A32" s="176" t="s">
        <v>31</v>
      </c>
      <c r="B32" s="170">
        <f>B33+B34+B35+B36</f>
        <v>1024</v>
      </c>
      <c r="C32" s="170">
        <f>C33+C34+C35+C36</f>
        <v>0</v>
      </c>
      <c r="D32" s="170">
        <f t="shared" ref="D32:J32" si="6">D33+D34+D35+D36</f>
        <v>0</v>
      </c>
      <c r="E32" s="170">
        <f>E33+E34+E35+E36</f>
        <v>0</v>
      </c>
      <c r="F32" s="170">
        <f t="shared" si="6"/>
        <v>0</v>
      </c>
      <c r="G32" s="170">
        <f t="shared" si="6"/>
        <v>0</v>
      </c>
      <c r="H32" s="170">
        <f t="shared" si="6"/>
        <v>0</v>
      </c>
      <c r="I32" s="170">
        <f t="shared" si="6"/>
        <v>0</v>
      </c>
      <c r="J32" s="170">
        <f t="shared" si="6"/>
        <v>0</v>
      </c>
      <c r="K32" s="170">
        <v>0</v>
      </c>
      <c r="L32" s="170">
        <f>L33+L34+L35+L36</f>
        <v>0</v>
      </c>
      <c r="M32" s="170">
        <f>M35</f>
        <v>0</v>
      </c>
      <c r="N32" s="170">
        <f>N33+N34+N35+N36</f>
        <v>0</v>
      </c>
      <c r="O32" s="170">
        <f>O35</f>
        <v>0</v>
      </c>
      <c r="P32" s="170">
        <f t="shared" si="5"/>
        <v>0</v>
      </c>
      <c r="Q32" s="170">
        <f t="shared" si="5"/>
        <v>0</v>
      </c>
      <c r="R32" s="170">
        <f>R33+R34+R35+R36</f>
        <v>0</v>
      </c>
      <c r="S32" s="170">
        <v>0</v>
      </c>
      <c r="T32" s="170">
        <f>T33+T34+T35+T36</f>
        <v>0</v>
      </c>
      <c r="U32" s="170"/>
      <c r="V32" s="170">
        <f>V33+V34+V35+V36</f>
        <v>0</v>
      </c>
      <c r="W32" s="170"/>
      <c r="X32" s="170">
        <f>X33+X34+X35+X36</f>
        <v>924</v>
      </c>
      <c r="Y32" s="170"/>
      <c r="Z32" s="170">
        <f>Z33+Z34+Z35+Z36</f>
        <v>0</v>
      </c>
      <c r="AA32" s="170"/>
      <c r="AB32" s="170">
        <f>AB33+AB34+AB35+AB36</f>
        <v>0</v>
      </c>
      <c r="AC32" s="170"/>
      <c r="AD32" s="170">
        <f>AD33+AD34+AD35+AD36</f>
        <v>100</v>
      </c>
      <c r="AE32" s="170"/>
      <c r="AF32" s="174"/>
      <c r="AG32" s="175"/>
      <c r="AH32" s="654"/>
    </row>
    <row r="33" spans="1:34" x14ac:dyDescent="0.3">
      <c r="A33" s="178" t="s">
        <v>169</v>
      </c>
      <c r="B33" s="179">
        <f>H33+J33+L33+N33+P33+R33+T33+V33+X33+Z33+AB33+AD33</f>
        <v>0</v>
      </c>
      <c r="C33" s="180">
        <f>H33+J33</f>
        <v>0</v>
      </c>
      <c r="D33" s="179">
        <f>I33</f>
        <v>0</v>
      </c>
      <c r="E33" s="179">
        <v>0</v>
      </c>
      <c r="F33" s="179">
        <v>0</v>
      </c>
      <c r="G33" s="179">
        <v>0</v>
      </c>
      <c r="H33" s="179">
        <v>0</v>
      </c>
      <c r="I33" s="179">
        <v>0</v>
      </c>
      <c r="J33" s="179">
        <v>0</v>
      </c>
      <c r="K33" s="179">
        <v>0</v>
      </c>
      <c r="L33" s="179">
        <v>0</v>
      </c>
      <c r="M33" s="179">
        <v>0</v>
      </c>
      <c r="N33" s="179">
        <v>0</v>
      </c>
      <c r="O33" s="179">
        <v>0</v>
      </c>
      <c r="P33" s="179">
        <f t="shared" si="5"/>
        <v>0</v>
      </c>
      <c r="Q33" s="179">
        <f t="shared" si="5"/>
        <v>0</v>
      </c>
      <c r="R33" s="179">
        <f t="shared" ref="R33:S36" si="7">P33</f>
        <v>0</v>
      </c>
      <c r="S33" s="179">
        <f t="shared" si="7"/>
        <v>0</v>
      </c>
      <c r="T33" s="179"/>
      <c r="U33" s="179"/>
      <c r="V33" s="179"/>
      <c r="W33" s="179"/>
      <c r="X33" s="179"/>
      <c r="Y33" s="179"/>
      <c r="Z33" s="179"/>
      <c r="AA33" s="179"/>
      <c r="AB33" s="179"/>
      <c r="AC33" s="179"/>
      <c r="AD33" s="179"/>
      <c r="AE33" s="179"/>
      <c r="AF33" s="182"/>
      <c r="AG33" s="175"/>
      <c r="AH33" s="654"/>
    </row>
    <row r="34" spans="1:34" x14ac:dyDescent="0.3">
      <c r="A34" s="178" t="s">
        <v>32</v>
      </c>
      <c r="B34" s="179">
        <f>H34+J34+L34+N34+P34+R34+T34+V34+X34+Z34+AB34+AD34</f>
        <v>0</v>
      </c>
      <c r="C34" s="180">
        <f>H34+J34</f>
        <v>0</v>
      </c>
      <c r="D34" s="179">
        <f>I34</f>
        <v>0</v>
      </c>
      <c r="E34" s="179">
        <v>0</v>
      </c>
      <c r="F34" s="179">
        <v>0</v>
      </c>
      <c r="G34" s="179">
        <v>0</v>
      </c>
      <c r="H34" s="179">
        <v>0</v>
      </c>
      <c r="I34" s="179">
        <v>0</v>
      </c>
      <c r="J34" s="179">
        <v>0</v>
      </c>
      <c r="K34" s="179">
        <v>0</v>
      </c>
      <c r="L34" s="179">
        <v>0</v>
      </c>
      <c r="M34" s="179">
        <v>0</v>
      </c>
      <c r="N34" s="179">
        <v>0</v>
      </c>
      <c r="O34" s="179">
        <v>0</v>
      </c>
      <c r="P34" s="179">
        <f t="shared" si="5"/>
        <v>0</v>
      </c>
      <c r="Q34" s="179">
        <f t="shared" si="5"/>
        <v>0</v>
      </c>
      <c r="R34" s="179">
        <f t="shared" si="7"/>
        <v>0</v>
      </c>
      <c r="S34" s="179">
        <f t="shared" si="7"/>
        <v>0</v>
      </c>
      <c r="T34" s="179"/>
      <c r="U34" s="179"/>
      <c r="V34" s="179"/>
      <c r="W34" s="179"/>
      <c r="X34" s="179"/>
      <c r="Y34" s="179"/>
      <c r="Z34" s="179"/>
      <c r="AA34" s="179"/>
      <c r="AB34" s="179"/>
      <c r="AC34" s="179"/>
      <c r="AD34" s="179"/>
      <c r="AE34" s="179"/>
      <c r="AF34" s="182"/>
      <c r="AG34" s="175"/>
      <c r="AH34" s="654"/>
    </row>
    <row r="35" spans="1:34" x14ac:dyDescent="0.3">
      <c r="A35" s="178" t="s">
        <v>33</v>
      </c>
      <c r="B35" s="179">
        <f>H35+J35+L35+N35+P35+R35+T35+V35+X35+Z35+AB35+AD35</f>
        <v>1024</v>
      </c>
      <c r="C35" s="180">
        <f>H35+J35+L35+N35</f>
        <v>0</v>
      </c>
      <c r="D35" s="179">
        <f>I35</f>
        <v>0</v>
      </c>
      <c r="E35" s="181">
        <f>I35</f>
        <v>0</v>
      </c>
      <c r="F35" s="181">
        <v>0</v>
      </c>
      <c r="G35" s="181">
        <v>0</v>
      </c>
      <c r="H35" s="181">
        <v>0</v>
      </c>
      <c r="I35" s="181">
        <v>0</v>
      </c>
      <c r="J35" s="181">
        <v>0</v>
      </c>
      <c r="K35" s="181">
        <v>0</v>
      </c>
      <c r="L35" s="181">
        <v>0</v>
      </c>
      <c r="M35" s="181">
        <v>0</v>
      </c>
      <c r="N35" s="181">
        <v>0</v>
      </c>
      <c r="O35" s="181">
        <v>0</v>
      </c>
      <c r="P35" s="181">
        <f t="shared" si="5"/>
        <v>0</v>
      </c>
      <c r="Q35" s="181">
        <f t="shared" si="5"/>
        <v>0</v>
      </c>
      <c r="R35" s="181">
        <f t="shared" si="7"/>
        <v>0</v>
      </c>
      <c r="S35" s="181">
        <f t="shared" si="7"/>
        <v>0</v>
      </c>
      <c r="T35" s="181"/>
      <c r="U35" s="181"/>
      <c r="V35" s="181"/>
      <c r="W35" s="181"/>
      <c r="X35" s="181">
        <v>924</v>
      </c>
      <c r="Y35" s="181"/>
      <c r="Z35" s="181"/>
      <c r="AA35" s="181"/>
      <c r="AB35" s="181"/>
      <c r="AC35" s="181"/>
      <c r="AD35" s="181">
        <v>100</v>
      </c>
      <c r="AE35" s="183"/>
      <c r="AF35" s="182"/>
      <c r="AG35" s="175"/>
      <c r="AH35" s="654"/>
    </row>
    <row r="36" spans="1:34" x14ac:dyDescent="0.3">
      <c r="A36" s="178" t="s">
        <v>221</v>
      </c>
      <c r="B36" s="179">
        <f>H36+J36+L36+N36+P36+R36+T36+V36+X36+Z36+AB36+AD36</f>
        <v>0</v>
      </c>
      <c r="C36" s="180">
        <f>H36+J36</f>
        <v>0</v>
      </c>
      <c r="D36" s="179">
        <f>I36</f>
        <v>0</v>
      </c>
      <c r="E36" s="179">
        <v>0</v>
      </c>
      <c r="F36" s="179">
        <v>0</v>
      </c>
      <c r="G36" s="179">
        <v>0</v>
      </c>
      <c r="H36" s="179">
        <v>0</v>
      </c>
      <c r="I36" s="179">
        <v>0</v>
      </c>
      <c r="J36" s="179">
        <v>0</v>
      </c>
      <c r="K36" s="179">
        <v>0</v>
      </c>
      <c r="L36" s="179">
        <v>0</v>
      </c>
      <c r="M36" s="179">
        <v>0</v>
      </c>
      <c r="N36" s="179">
        <v>0</v>
      </c>
      <c r="O36" s="179">
        <v>0</v>
      </c>
      <c r="P36" s="179">
        <f t="shared" si="5"/>
        <v>0</v>
      </c>
      <c r="Q36" s="179">
        <f t="shared" si="5"/>
        <v>0</v>
      </c>
      <c r="R36" s="179">
        <f t="shared" si="7"/>
        <v>0</v>
      </c>
      <c r="S36" s="179">
        <f t="shared" si="7"/>
        <v>0</v>
      </c>
      <c r="T36" s="179"/>
      <c r="U36" s="179"/>
      <c r="V36" s="179"/>
      <c r="W36" s="179"/>
      <c r="X36" s="179"/>
      <c r="Y36" s="179"/>
      <c r="Z36" s="179"/>
      <c r="AA36" s="179"/>
      <c r="AB36" s="179"/>
      <c r="AC36" s="179"/>
      <c r="AD36" s="179"/>
      <c r="AE36" s="179"/>
      <c r="AF36" s="182"/>
      <c r="AG36" s="175"/>
      <c r="AH36" s="654"/>
    </row>
    <row r="37" spans="1:34" s="177" customFormat="1" ht="57.6" customHeight="1" x14ac:dyDescent="0.3">
      <c r="A37" s="184" t="s">
        <v>240</v>
      </c>
      <c r="B37" s="170">
        <f>B38</f>
        <v>0</v>
      </c>
      <c r="C37" s="171">
        <f>C38</f>
        <v>0</v>
      </c>
      <c r="D37" s="171">
        <f>D38</f>
        <v>0</v>
      </c>
      <c r="E37" s="170">
        <f>E38</f>
        <v>0</v>
      </c>
      <c r="F37" s="171">
        <f>F38</f>
        <v>0</v>
      </c>
      <c r="G37" s="172">
        <v>0</v>
      </c>
      <c r="H37" s="170">
        <f t="shared" ref="H37:N37" si="8">H38</f>
        <v>0</v>
      </c>
      <c r="I37" s="170">
        <f t="shared" si="8"/>
        <v>0</v>
      </c>
      <c r="J37" s="170">
        <f t="shared" si="8"/>
        <v>0</v>
      </c>
      <c r="K37" s="172">
        <f t="shared" si="8"/>
        <v>0</v>
      </c>
      <c r="L37" s="170">
        <f t="shared" si="8"/>
        <v>0</v>
      </c>
      <c r="M37" s="172">
        <f t="shared" si="8"/>
        <v>0</v>
      </c>
      <c r="N37" s="170">
        <f t="shared" si="8"/>
        <v>0</v>
      </c>
      <c r="O37" s="172">
        <v>0</v>
      </c>
      <c r="P37" s="170">
        <f>P38</f>
        <v>0</v>
      </c>
      <c r="Q37" s="172">
        <v>0</v>
      </c>
      <c r="R37" s="170">
        <f>R38</f>
        <v>0</v>
      </c>
      <c r="S37" s="172">
        <f>S38</f>
        <v>0</v>
      </c>
      <c r="T37" s="170">
        <f>T38</f>
        <v>0</v>
      </c>
      <c r="U37" s="172"/>
      <c r="V37" s="170">
        <f>V38</f>
        <v>0</v>
      </c>
      <c r="W37" s="172"/>
      <c r="X37" s="170">
        <f>X38</f>
        <v>0</v>
      </c>
      <c r="Y37" s="172"/>
      <c r="Z37" s="170">
        <f>Z38</f>
        <v>0</v>
      </c>
      <c r="AA37" s="172"/>
      <c r="AB37" s="170">
        <f>AB38</f>
        <v>0</v>
      </c>
      <c r="AC37" s="172"/>
      <c r="AD37" s="170">
        <f>AD38</f>
        <v>0</v>
      </c>
      <c r="AE37" s="173"/>
      <c r="AF37" s="174"/>
      <c r="AG37" s="175"/>
      <c r="AH37" s="654"/>
    </row>
    <row r="38" spans="1:34" s="177" customFormat="1" ht="30" x14ac:dyDescent="0.3">
      <c r="A38" s="176" t="s">
        <v>31</v>
      </c>
      <c r="B38" s="170">
        <f t="shared" ref="B38:J38" si="9">B39+B40+B41+B42</f>
        <v>0</v>
      </c>
      <c r="C38" s="170">
        <f t="shared" si="9"/>
        <v>0</v>
      </c>
      <c r="D38" s="170">
        <f t="shared" si="9"/>
        <v>0</v>
      </c>
      <c r="E38" s="170">
        <f>E39+E40+E41+E42</f>
        <v>0</v>
      </c>
      <c r="F38" s="170">
        <f t="shared" si="9"/>
        <v>0</v>
      </c>
      <c r="G38" s="170">
        <f t="shared" si="9"/>
        <v>0</v>
      </c>
      <c r="H38" s="170">
        <f t="shared" si="9"/>
        <v>0</v>
      </c>
      <c r="I38" s="170">
        <f t="shared" si="9"/>
        <v>0</v>
      </c>
      <c r="J38" s="170">
        <f t="shared" si="9"/>
        <v>0</v>
      </c>
      <c r="K38" s="170">
        <f>K39+K40+K41+K42</f>
        <v>0</v>
      </c>
      <c r="L38" s="170">
        <f>L39+L40+L41+L42</f>
        <v>0</v>
      </c>
      <c r="M38" s="170">
        <f>M41</f>
        <v>0</v>
      </c>
      <c r="N38" s="170">
        <f>N39+N40+N41+N42</f>
        <v>0</v>
      </c>
      <c r="O38" s="170">
        <v>0</v>
      </c>
      <c r="P38" s="170">
        <f>P39+P40+P41+P42</f>
        <v>0</v>
      </c>
      <c r="Q38" s="170">
        <v>0</v>
      </c>
      <c r="R38" s="170">
        <f>R39+R40+R41+R42</f>
        <v>0</v>
      </c>
      <c r="S38" s="170">
        <f>S39+S40+S41+S42</f>
        <v>0</v>
      </c>
      <c r="T38" s="170">
        <f>T39+T40+T41+T42</f>
        <v>0</v>
      </c>
      <c r="U38" s="170"/>
      <c r="V38" s="170">
        <f>V39+V40+V41+V42</f>
        <v>0</v>
      </c>
      <c r="W38" s="170"/>
      <c r="X38" s="170">
        <f>X39+X40+X41+X42</f>
        <v>0</v>
      </c>
      <c r="Y38" s="170"/>
      <c r="Z38" s="170">
        <f>Z39+Z40+Z41+Z42</f>
        <v>0</v>
      </c>
      <c r="AA38" s="170"/>
      <c r="AB38" s="170">
        <f>AB39+AB40+AB41+AB42</f>
        <v>0</v>
      </c>
      <c r="AC38" s="170"/>
      <c r="AD38" s="170">
        <f>AD39+AD40+AD41+AD42</f>
        <v>0</v>
      </c>
      <c r="AE38" s="170"/>
      <c r="AF38" s="822" t="s">
        <v>488</v>
      </c>
      <c r="AG38" s="175"/>
      <c r="AH38" s="654"/>
    </row>
    <row r="39" spans="1:34" x14ac:dyDescent="0.3">
      <c r="A39" s="178" t="s">
        <v>169</v>
      </c>
      <c r="B39" s="179">
        <f>H39+J39+L39+N39+P39+R39+T39+V39+X39+Z39+AB39+AD39</f>
        <v>0</v>
      </c>
      <c r="C39" s="179">
        <f>H39+J39</f>
        <v>0</v>
      </c>
      <c r="D39" s="185">
        <f>I39</f>
        <v>0</v>
      </c>
      <c r="E39" s="179">
        <v>0</v>
      </c>
      <c r="F39" s="179">
        <v>0</v>
      </c>
      <c r="G39" s="179">
        <v>0</v>
      </c>
      <c r="H39" s="179">
        <v>0</v>
      </c>
      <c r="I39" s="179">
        <v>0</v>
      </c>
      <c r="J39" s="179">
        <v>0</v>
      </c>
      <c r="K39" s="179">
        <v>0</v>
      </c>
      <c r="L39" s="179">
        <v>0</v>
      </c>
      <c r="M39" s="179">
        <v>0</v>
      </c>
      <c r="N39" s="179">
        <v>0</v>
      </c>
      <c r="O39" s="179">
        <v>0</v>
      </c>
      <c r="P39" s="179">
        <v>0</v>
      </c>
      <c r="Q39" s="179">
        <v>0</v>
      </c>
      <c r="R39" s="179">
        <v>0</v>
      </c>
      <c r="S39" s="179">
        <v>0</v>
      </c>
      <c r="T39" s="179">
        <v>0</v>
      </c>
      <c r="U39" s="179"/>
      <c r="V39" s="179">
        <v>0</v>
      </c>
      <c r="W39" s="179"/>
      <c r="X39" s="179">
        <v>0</v>
      </c>
      <c r="Y39" s="179"/>
      <c r="Z39" s="179">
        <v>0</v>
      </c>
      <c r="AA39" s="179"/>
      <c r="AB39" s="179">
        <v>0</v>
      </c>
      <c r="AC39" s="179"/>
      <c r="AD39" s="179">
        <v>0</v>
      </c>
      <c r="AE39" s="179"/>
      <c r="AF39" s="182"/>
      <c r="AG39" s="175"/>
      <c r="AH39" s="654"/>
    </row>
    <row r="40" spans="1:34" x14ac:dyDescent="0.3">
      <c r="A40" s="178" t="s">
        <v>32</v>
      </c>
      <c r="B40" s="179">
        <f>H40+J40+L40+N40+P40+R40+T40+V40+X40+Z40+AB40+AD40</f>
        <v>0</v>
      </c>
      <c r="C40" s="179">
        <f>H40+J40</f>
        <v>0</v>
      </c>
      <c r="D40" s="185">
        <f>I40</f>
        <v>0</v>
      </c>
      <c r="E40" s="179">
        <v>0</v>
      </c>
      <c r="F40" s="179">
        <v>0</v>
      </c>
      <c r="G40" s="179">
        <v>0</v>
      </c>
      <c r="H40" s="179">
        <v>0</v>
      </c>
      <c r="I40" s="179">
        <v>0</v>
      </c>
      <c r="J40" s="179">
        <v>0</v>
      </c>
      <c r="K40" s="179">
        <v>0</v>
      </c>
      <c r="L40" s="179">
        <v>0</v>
      </c>
      <c r="M40" s="179">
        <v>0</v>
      </c>
      <c r="N40" s="179">
        <v>0</v>
      </c>
      <c r="O40" s="179">
        <v>0</v>
      </c>
      <c r="P40" s="179">
        <v>0</v>
      </c>
      <c r="Q40" s="179">
        <v>0</v>
      </c>
      <c r="R40" s="179">
        <v>0</v>
      </c>
      <c r="S40" s="179">
        <v>0</v>
      </c>
      <c r="T40" s="179">
        <v>0</v>
      </c>
      <c r="U40" s="179"/>
      <c r="V40" s="179">
        <v>0</v>
      </c>
      <c r="W40" s="179"/>
      <c r="X40" s="179">
        <v>0</v>
      </c>
      <c r="Y40" s="179"/>
      <c r="Z40" s="179">
        <v>0</v>
      </c>
      <c r="AA40" s="179"/>
      <c r="AB40" s="179">
        <v>0</v>
      </c>
      <c r="AC40" s="179"/>
      <c r="AD40" s="179">
        <v>0</v>
      </c>
      <c r="AE40" s="179"/>
      <c r="AF40" s="182"/>
      <c r="AG40" s="175"/>
      <c r="AH40" s="654"/>
    </row>
    <row r="41" spans="1:34" x14ac:dyDescent="0.3">
      <c r="A41" s="178" t="s">
        <v>33</v>
      </c>
      <c r="B41" s="179">
        <f>H41+J41+L41+N41+P41+R41+T41+V41+X41+Z41+AB41+AD41</f>
        <v>0</v>
      </c>
      <c r="C41" s="179">
        <f>H41+J41</f>
        <v>0</v>
      </c>
      <c r="D41" s="185">
        <f>I41</f>
        <v>0</v>
      </c>
      <c r="E41" s="181">
        <f>I41</f>
        <v>0</v>
      </c>
      <c r="F41" s="181">
        <v>0</v>
      </c>
      <c r="G41" s="181">
        <v>0</v>
      </c>
      <c r="H41" s="181">
        <v>0</v>
      </c>
      <c r="I41" s="181">
        <v>0</v>
      </c>
      <c r="J41" s="181">
        <v>0</v>
      </c>
      <c r="K41" s="181">
        <v>0</v>
      </c>
      <c r="L41" s="181">
        <v>0</v>
      </c>
      <c r="M41" s="181">
        <v>0</v>
      </c>
      <c r="N41" s="181">
        <v>0</v>
      </c>
      <c r="O41" s="181">
        <v>0</v>
      </c>
      <c r="P41" s="181">
        <v>0</v>
      </c>
      <c r="Q41" s="181">
        <v>0</v>
      </c>
      <c r="R41" s="181">
        <v>0</v>
      </c>
      <c r="S41" s="181">
        <v>0</v>
      </c>
      <c r="T41" s="181">
        <v>0</v>
      </c>
      <c r="U41" s="181"/>
      <c r="V41" s="181">
        <v>0</v>
      </c>
      <c r="W41" s="181"/>
      <c r="X41" s="181">
        <v>0</v>
      </c>
      <c r="Y41" s="181"/>
      <c r="Z41" s="181">
        <v>0</v>
      </c>
      <c r="AA41" s="181"/>
      <c r="AB41" s="181">
        <v>0</v>
      </c>
      <c r="AC41" s="181"/>
      <c r="AD41" s="181">
        <v>0</v>
      </c>
      <c r="AE41" s="183"/>
      <c r="AF41" s="182"/>
      <c r="AG41" s="175"/>
      <c r="AH41" s="654"/>
    </row>
    <row r="42" spans="1:34" x14ac:dyDescent="0.3">
      <c r="A42" s="178" t="s">
        <v>221</v>
      </c>
      <c r="B42" s="179">
        <f>H42+J42+L42+N42+P42+R42+T42+V42+X42+Z42+AB42+AD42</f>
        <v>0</v>
      </c>
      <c r="C42" s="179">
        <f>H42+J42</f>
        <v>0</v>
      </c>
      <c r="D42" s="185">
        <f>I42</f>
        <v>0</v>
      </c>
      <c r="E42" s="179">
        <v>0</v>
      </c>
      <c r="F42" s="179">
        <v>0</v>
      </c>
      <c r="G42" s="179">
        <v>0</v>
      </c>
      <c r="H42" s="179">
        <v>0</v>
      </c>
      <c r="I42" s="179">
        <v>0</v>
      </c>
      <c r="J42" s="179">
        <v>0</v>
      </c>
      <c r="K42" s="179">
        <v>0</v>
      </c>
      <c r="L42" s="179">
        <v>0</v>
      </c>
      <c r="M42" s="179">
        <v>0</v>
      </c>
      <c r="N42" s="179">
        <v>0</v>
      </c>
      <c r="O42" s="179">
        <v>0</v>
      </c>
      <c r="P42" s="179">
        <v>0</v>
      </c>
      <c r="Q42" s="179">
        <v>0</v>
      </c>
      <c r="R42" s="179">
        <v>0</v>
      </c>
      <c r="S42" s="179">
        <v>0</v>
      </c>
      <c r="T42" s="179">
        <v>0</v>
      </c>
      <c r="U42" s="179"/>
      <c r="V42" s="179">
        <v>0</v>
      </c>
      <c r="W42" s="179"/>
      <c r="X42" s="179">
        <v>0</v>
      </c>
      <c r="Y42" s="179"/>
      <c r="Z42" s="179">
        <v>0</v>
      </c>
      <c r="AA42" s="179"/>
      <c r="AB42" s="179">
        <v>0</v>
      </c>
      <c r="AC42" s="179"/>
      <c r="AD42" s="179">
        <v>0</v>
      </c>
      <c r="AE42" s="179"/>
      <c r="AF42" s="182"/>
      <c r="AG42" s="175"/>
      <c r="AH42" s="654"/>
    </row>
    <row r="43" spans="1:34" s="168" customFormat="1" x14ac:dyDescent="0.3">
      <c r="A43" s="1041" t="s">
        <v>241</v>
      </c>
      <c r="B43" s="1042"/>
      <c r="C43" s="1042"/>
      <c r="D43" s="1042"/>
      <c r="E43" s="1042"/>
      <c r="F43" s="1042"/>
      <c r="G43" s="1042"/>
      <c r="H43" s="1042"/>
      <c r="I43" s="1042"/>
      <c r="J43" s="1042"/>
      <c r="K43" s="1042"/>
      <c r="L43" s="1042"/>
      <c r="M43" s="1042"/>
      <c r="N43" s="1042"/>
      <c r="O43" s="1042"/>
      <c r="P43" s="1042"/>
      <c r="Q43" s="1042"/>
      <c r="R43" s="1042"/>
      <c r="S43" s="1042"/>
      <c r="T43" s="1042"/>
      <c r="U43" s="1042"/>
      <c r="V43" s="1042"/>
      <c r="W43" s="1042"/>
      <c r="X43" s="1042"/>
      <c r="Y43" s="1042"/>
      <c r="Z43" s="1042"/>
      <c r="AA43" s="1042"/>
      <c r="AB43" s="1042"/>
      <c r="AC43" s="1042"/>
      <c r="AD43" s="1042"/>
      <c r="AE43" s="1042"/>
      <c r="AF43" s="1043"/>
      <c r="AG43" s="175"/>
      <c r="AH43" s="721"/>
    </row>
    <row r="44" spans="1:34" s="168" customFormat="1" x14ac:dyDescent="0.3">
      <c r="A44" s="1041" t="s">
        <v>54</v>
      </c>
      <c r="B44" s="1042"/>
      <c r="C44" s="1042"/>
      <c r="D44" s="1042"/>
      <c r="E44" s="1042"/>
      <c r="F44" s="1042"/>
      <c r="G44" s="1042"/>
      <c r="H44" s="1042"/>
      <c r="I44" s="1042"/>
      <c r="J44" s="1042"/>
      <c r="K44" s="1042"/>
      <c r="L44" s="1042"/>
      <c r="M44" s="1042"/>
      <c r="N44" s="1042"/>
      <c r="O44" s="1042"/>
      <c r="P44" s="1042"/>
      <c r="Q44" s="1042"/>
      <c r="R44" s="1042"/>
      <c r="S44" s="1042"/>
      <c r="T44" s="1042"/>
      <c r="U44" s="1042"/>
      <c r="V44" s="1042"/>
      <c r="W44" s="1042"/>
      <c r="X44" s="1042"/>
      <c r="Y44" s="1042"/>
      <c r="Z44" s="1042"/>
      <c r="AA44" s="1042"/>
      <c r="AB44" s="1042"/>
      <c r="AC44" s="1042"/>
      <c r="AD44" s="1042"/>
      <c r="AE44" s="1042"/>
      <c r="AF44" s="1043"/>
      <c r="AG44" s="175"/>
      <c r="AH44" s="721"/>
    </row>
    <row r="45" spans="1:34" s="177" customFormat="1" ht="56.25" x14ac:dyDescent="0.3">
      <c r="A45" s="98" t="s">
        <v>242</v>
      </c>
      <c r="B45" s="170">
        <f>B46</f>
        <v>18282.495000000003</v>
      </c>
      <c r="C45" s="170">
        <f>C46</f>
        <v>8927.16525</v>
      </c>
      <c r="D45" s="170">
        <f>D46</f>
        <v>7914.5170000000007</v>
      </c>
      <c r="E45" s="170">
        <f>E46</f>
        <v>7914.5170000000007</v>
      </c>
      <c r="F45" s="172">
        <f t="shared" ref="F45:AD45" si="10">F46</f>
        <v>43.290136275163746</v>
      </c>
      <c r="G45" s="172">
        <f t="shared" si="10"/>
        <v>88.656553097860495</v>
      </c>
      <c r="H45" s="170">
        <f t="shared" si="10"/>
        <v>1291.4488099999999</v>
      </c>
      <c r="I45" s="170">
        <f t="shared" si="10"/>
        <v>550.79</v>
      </c>
      <c r="J45" s="170">
        <f t="shared" si="10"/>
        <v>1460.04962</v>
      </c>
      <c r="K45" s="170">
        <f>K46</f>
        <v>1213.0620000000001</v>
      </c>
      <c r="L45" s="170">
        <f t="shared" si="10"/>
        <v>1538.2255400000001</v>
      </c>
      <c r="M45" s="170">
        <f>M46</f>
        <v>1400.625</v>
      </c>
      <c r="N45" s="170">
        <f t="shared" si="10"/>
        <v>1520</v>
      </c>
      <c r="O45" s="170">
        <f>O46</f>
        <v>1520.0149999999999</v>
      </c>
      <c r="P45" s="170">
        <f t="shared" si="10"/>
        <v>1453.73128</v>
      </c>
      <c r="Q45" s="170">
        <f>Q46</f>
        <v>1651.0249999999999</v>
      </c>
      <c r="R45" s="170">
        <f t="shared" si="10"/>
        <v>1663.71</v>
      </c>
      <c r="S45" s="170">
        <f>S46</f>
        <v>1579</v>
      </c>
      <c r="T45" s="170">
        <f t="shared" si="10"/>
        <v>1885.06</v>
      </c>
      <c r="U45" s="170"/>
      <c r="V45" s="170">
        <f t="shared" si="10"/>
        <v>1542.04</v>
      </c>
      <c r="W45" s="170"/>
      <c r="X45" s="170">
        <f t="shared" si="10"/>
        <v>1542.04</v>
      </c>
      <c r="Y45" s="170"/>
      <c r="Z45" s="170">
        <f t="shared" si="10"/>
        <v>1543.415</v>
      </c>
      <c r="AA45" s="170"/>
      <c r="AB45" s="170">
        <f t="shared" si="10"/>
        <v>1382.1949999999999</v>
      </c>
      <c r="AC45" s="170"/>
      <c r="AD45" s="170">
        <f t="shared" si="10"/>
        <v>1460.5797500000001</v>
      </c>
      <c r="AE45" s="170"/>
      <c r="AF45" s="186"/>
      <c r="AG45" s="175"/>
      <c r="AH45" s="654"/>
    </row>
    <row r="46" spans="1:34" s="177" customFormat="1" x14ac:dyDescent="0.3">
      <c r="A46" s="187" t="s">
        <v>31</v>
      </c>
      <c r="B46" s="170">
        <f>H46+J46+L46+N46+P46+R46+T46+V46+X46+Z46+AB46+AD46</f>
        <v>18282.495000000003</v>
      </c>
      <c r="C46" s="170">
        <f>H46+J46+L46+N46+P46+R46</f>
        <v>8927.16525</v>
      </c>
      <c r="D46" s="170">
        <f>E46</f>
        <v>7914.5170000000007</v>
      </c>
      <c r="E46" s="170">
        <f>E55+E61</f>
        <v>7914.5170000000007</v>
      </c>
      <c r="F46" s="170">
        <f>F47+F48+F49+F50</f>
        <v>43.290136275163746</v>
      </c>
      <c r="G46" s="170">
        <f>E46/C46*100</f>
        <v>88.656553097860495</v>
      </c>
      <c r="H46" s="170">
        <f>H47+H48+H49+H50</f>
        <v>1291.4488099999999</v>
      </c>
      <c r="I46" s="170">
        <f>I47+I48+I49+I50</f>
        <v>550.79</v>
      </c>
      <c r="J46" s="170">
        <f t="shared" ref="J46:AD46" si="11">J47+J48+J49+J50</f>
        <v>1460.04962</v>
      </c>
      <c r="K46" s="170">
        <f>K47+K48+K49+K50</f>
        <v>1213.0620000000001</v>
      </c>
      <c r="L46" s="170">
        <f t="shared" si="11"/>
        <v>1538.2255400000001</v>
      </c>
      <c r="M46" s="170">
        <f>M49</f>
        <v>1400.625</v>
      </c>
      <c r="N46" s="170">
        <f t="shared" si="11"/>
        <v>1520</v>
      </c>
      <c r="O46" s="170">
        <f>O49</f>
        <v>1520.0149999999999</v>
      </c>
      <c r="P46" s="170">
        <f t="shared" si="11"/>
        <v>1453.73128</v>
      </c>
      <c r="Q46" s="170">
        <f>Q49</f>
        <v>1651.0249999999999</v>
      </c>
      <c r="R46" s="170">
        <f t="shared" si="11"/>
        <v>1663.71</v>
      </c>
      <c r="S46" s="170">
        <f>S49</f>
        <v>1579</v>
      </c>
      <c r="T46" s="170">
        <f t="shared" si="11"/>
        <v>1885.06</v>
      </c>
      <c r="U46" s="170"/>
      <c r="V46" s="170">
        <f t="shared" si="11"/>
        <v>1542.04</v>
      </c>
      <c r="W46" s="170"/>
      <c r="X46" s="170">
        <f t="shared" si="11"/>
        <v>1542.04</v>
      </c>
      <c r="Y46" s="170"/>
      <c r="Z46" s="170">
        <f t="shared" si="11"/>
        <v>1543.415</v>
      </c>
      <c r="AA46" s="170"/>
      <c r="AB46" s="170">
        <f t="shared" si="11"/>
        <v>1382.1949999999999</v>
      </c>
      <c r="AC46" s="170"/>
      <c r="AD46" s="170">
        <f t="shared" si="11"/>
        <v>1460.5797500000001</v>
      </c>
      <c r="AE46" s="170"/>
      <c r="AF46" s="822" t="s">
        <v>653</v>
      </c>
      <c r="AG46" s="175"/>
      <c r="AH46" s="654"/>
    </row>
    <row r="47" spans="1:34" x14ac:dyDescent="0.3">
      <c r="A47" s="178" t="s">
        <v>169</v>
      </c>
      <c r="B47" s="179">
        <f>H47+J47+L47+N47+P47+R47+T47+V47+X47+Z47+AB47+AD47</f>
        <v>0</v>
      </c>
      <c r="C47" s="179">
        <f>H47+J47</f>
        <v>0</v>
      </c>
      <c r="D47" s="179">
        <f>E47</f>
        <v>0</v>
      </c>
      <c r="E47" s="179">
        <v>0</v>
      </c>
      <c r="F47" s="179">
        <v>0</v>
      </c>
      <c r="G47" s="179">
        <v>0</v>
      </c>
      <c r="H47" s="179">
        <f>H53+H59</f>
        <v>0</v>
      </c>
      <c r="I47" s="179">
        <f t="shared" ref="I47:AE50" si="12">I53+I59</f>
        <v>0</v>
      </c>
      <c r="J47" s="179">
        <f t="shared" si="12"/>
        <v>0</v>
      </c>
      <c r="K47" s="179">
        <f t="shared" si="12"/>
        <v>0</v>
      </c>
      <c r="L47" s="179">
        <f t="shared" si="12"/>
        <v>0</v>
      </c>
      <c r="M47" s="179">
        <f t="shared" si="12"/>
        <v>0</v>
      </c>
      <c r="N47" s="179">
        <f t="shared" si="12"/>
        <v>0</v>
      </c>
      <c r="O47" s="179">
        <f>O53+O59</f>
        <v>0</v>
      </c>
      <c r="P47" s="179">
        <f t="shared" si="12"/>
        <v>0</v>
      </c>
      <c r="Q47" s="179">
        <f t="shared" si="12"/>
        <v>0</v>
      </c>
      <c r="R47" s="179">
        <f t="shared" si="12"/>
        <v>0</v>
      </c>
      <c r="S47" s="179">
        <f t="shared" si="12"/>
        <v>0</v>
      </c>
      <c r="T47" s="179">
        <f t="shared" si="12"/>
        <v>0</v>
      </c>
      <c r="U47" s="179">
        <f t="shared" si="12"/>
        <v>0</v>
      </c>
      <c r="V47" s="179">
        <f t="shared" si="12"/>
        <v>0</v>
      </c>
      <c r="W47" s="179">
        <f t="shared" si="12"/>
        <v>0</v>
      </c>
      <c r="X47" s="179">
        <f t="shared" si="12"/>
        <v>0</v>
      </c>
      <c r="Y47" s="179">
        <f t="shared" si="12"/>
        <v>0</v>
      </c>
      <c r="Z47" s="179">
        <f t="shared" si="12"/>
        <v>0</v>
      </c>
      <c r="AA47" s="179">
        <f t="shared" si="12"/>
        <v>0</v>
      </c>
      <c r="AB47" s="179">
        <f t="shared" si="12"/>
        <v>0</v>
      </c>
      <c r="AC47" s="179">
        <f t="shared" si="12"/>
        <v>0</v>
      </c>
      <c r="AD47" s="179">
        <f t="shared" si="12"/>
        <v>0</v>
      </c>
      <c r="AE47" s="179">
        <f t="shared" si="12"/>
        <v>0</v>
      </c>
      <c r="AF47" s="189"/>
      <c r="AG47" s="175"/>
      <c r="AH47" s="654"/>
    </row>
    <row r="48" spans="1:34" x14ac:dyDescent="0.3">
      <c r="A48" s="178" t="s">
        <v>32</v>
      </c>
      <c r="B48" s="179">
        <f>H48+J48+L48+N48+P48+R48+T48+V48+X48+Z48+AB48+AD48</f>
        <v>0</v>
      </c>
      <c r="C48" s="179">
        <f>H48+J48</f>
        <v>0</v>
      </c>
      <c r="D48" s="179">
        <f>E48</f>
        <v>0</v>
      </c>
      <c r="E48" s="179">
        <v>0</v>
      </c>
      <c r="F48" s="179">
        <v>0</v>
      </c>
      <c r="G48" s="179">
        <v>0</v>
      </c>
      <c r="H48" s="179">
        <f>H54+H60</f>
        <v>0</v>
      </c>
      <c r="I48" s="179">
        <f t="shared" ref="I48:N48" si="13">I54+I60</f>
        <v>0</v>
      </c>
      <c r="J48" s="179">
        <f t="shared" si="13"/>
        <v>0</v>
      </c>
      <c r="K48" s="179">
        <f t="shared" si="13"/>
        <v>0</v>
      </c>
      <c r="L48" s="179">
        <f t="shared" si="13"/>
        <v>0</v>
      </c>
      <c r="M48" s="179">
        <f t="shared" si="13"/>
        <v>0</v>
      </c>
      <c r="N48" s="179">
        <f t="shared" si="13"/>
        <v>0</v>
      </c>
      <c r="O48" s="179">
        <f>O54+O60</f>
        <v>0</v>
      </c>
      <c r="P48" s="179">
        <f t="shared" ref="P48:W48" si="14">P54+P60</f>
        <v>0</v>
      </c>
      <c r="Q48" s="179">
        <f t="shared" si="14"/>
        <v>0</v>
      </c>
      <c r="R48" s="179">
        <f t="shared" si="14"/>
        <v>0</v>
      </c>
      <c r="S48" s="179">
        <f t="shared" si="14"/>
        <v>0</v>
      </c>
      <c r="T48" s="179">
        <f t="shared" si="14"/>
        <v>0</v>
      </c>
      <c r="U48" s="179">
        <f t="shared" si="14"/>
        <v>0</v>
      </c>
      <c r="V48" s="179">
        <f t="shared" si="14"/>
        <v>0</v>
      </c>
      <c r="W48" s="179">
        <f t="shared" si="14"/>
        <v>0</v>
      </c>
      <c r="X48" s="179">
        <f t="shared" si="12"/>
        <v>0</v>
      </c>
      <c r="Y48" s="179">
        <f t="shared" si="12"/>
        <v>0</v>
      </c>
      <c r="Z48" s="179">
        <f t="shared" si="12"/>
        <v>0</v>
      </c>
      <c r="AA48" s="179">
        <f t="shared" si="12"/>
        <v>0</v>
      </c>
      <c r="AB48" s="179">
        <f t="shared" si="12"/>
        <v>0</v>
      </c>
      <c r="AC48" s="179">
        <f t="shared" si="12"/>
        <v>0</v>
      </c>
      <c r="AD48" s="179">
        <f t="shared" si="12"/>
        <v>0</v>
      </c>
      <c r="AE48" s="179">
        <f t="shared" si="12"/>
        <v>0</v>
      </c>
      <c r="AF48" s="189"/>
      <c r="AG48" s="175"/>
      <c r="AH48" s="654"/>
    </row>
    <row r="49" spans="1:35" x14ac:dyDescent="0.3">
      <c r="A49" s="178" t="s">
        <v>33</v>
      </c>
      <c r="B49" s="179">
        <f>H49+J49+L49+N49+P49+R49+T49+V49+X49+Z49+AB49+AD49</f>
        <v>18282.495000000003</v>
      </c>
      <c r="C49" s="179">
        <f>C55+C61</f>
        <v>8927.16525</v>
      </c>
      <c r="D49" s="179">
        <f>E49</f>
        <v>7914.5169999999998</v>
      </c>
      <c r="E49" s="179">
        <f>I49+K49+M49+O49+Q49+S49</f>
        <v>7914.5169999999998</v>
      </c>
      <c r="F49" s="179">
        <f>E49/B49*100</f>
        <v>43.290136275163746</v>
      </c>
      <c r="G49" s="179">
        <f>E49/C49*100</f>
        <v>88.656553097860495</v>
      </c>
      <c r="H49" s="179">
        <f>H55+H61</f>
        <v>1291.4488099999999</v>
      </c>
      <c r="I49" s="179">
        <f t="shared" si="12"/>
        <v>550.79</v>
      </c>
      <c r="J49" s="179">
        <f t="shared" si="12"/>
        <v>1460.04962</v>
      </c>
      <c r="K49" s="179">
        <f t="shared" si="12"/>
        <v>1213.0620000000001</v>
      </c>
      <c r="L49" s="179">
        <f t="shared" si="12"/>
        <v>1538.2255400000001</v>
      </c>
      <c r="M49" s="179">
        <f t="shared" si="12"/>
        <v>1400.625</v>
      </c>
      <c r="N49" s="179">
        <f t="shared" si="12"/>
        <v>1520</v>
      </c>
      <c r="O49" s="179">
        <f t="shared" si="12"/>
        <v>1520.0149999999999</v>
      </c>
      <c r="P49" s="179">
        <f t="shared" si="12"/>
        <v>1453.73128</v>
      </c>
      <c r="Q49" s="179">
        <f t="shared" si="12"/>
        <v>1651.0249999999999</v>
      </c>
      <c r="R49" s="179">
        <f t="shared" si="12"/>
        <v>1663.71</v>
      </c>
      <c r="S49" s="179">
        <f t="shared" si="12"/>
        <v>1579</v>
      </c>
      <c r="T49" s="179">
        <f t="shared" si="12"/>
        <v>1885.06</v>
      </c>
      <c r="U49" s="179">
        <f t="shared" si="12"/>
        <v>0</v>
      </c>
      <c r="V49" s="179">
        <f t="shared" si="12"/>
        <v>1542.04</v>
      </c>
      <c r="W49" s="179">
        <f t="shared" si="12"/>
        <v>0</v>
      </c>
      <c r="X49" s="179">
        <f t="shared" si="12"/>
        <v>1542.04</v>
      </c>
      <c r="Y49" s="179">
        <f t="shared" si="12"/>
        <v>0</v>
      </c>
      <c r="Z49" s="179">
        <f t="shared" si="12"/>
        <v>1543.415</v>
      </c>
      <c r="AA49" s="179">
        <f t="shared" si="12"/>
        <v>0</v>
      </c>
      <c r="AB49" s="179">
        <f t="shared" si="12"/>
        <v>1382.1949999999999</v>
      </c>
      <c r="AC49" s="179">
        <f t="shared" si="12"/>
        <v>0</v>
      </c>
      <c r="AD49" s="179">
        <f t="shared" si="12"/>
        <v>1460.5797500000001</v>
      </c>
      <c r="AE49" s="179">
        <f t="shared" si="12"/>
        <v>0</v>
      </c>
      <c r="AF49" s="189"/>
      <c r="AG49" s="175"/>
      <c r="AH49" s="654"/>
    </row>
    <row r="50" spans="1:35" x14ac:dyDescent="0.3">
      <c r="A50" s="178" t="s">
        <v>221</v>
      </c>
      <c r="B50" s="179">
        <f>H50+J50+L50+N50+P50+R50+T50+V50+X50+Z50+AB50+AD50</f>
        <v>0</v>
      </c>
      <c r="C50" s="179">
        <f>H50+J50</f>
        <v>0</v>
      </c>
      <c r="D50" s="179">
        <f>E50</f>
        <v>0</v>
      </c>
      <c r="E50" s="179">
        <v>0</v>
      </c>
      <c r="F50" s="179">
        <v>0</v>
      </c>
      <c r="G50" s="179">
        <v>0</v>
      </c>
      <c r="H50" s="179">
        <f>H56+H62</f>
        <v>0</v>
      </c>
      <c r="I50" s="179">
        <f t="shared" si="12"/>
        <v>0</v>
      </c>
      <c r="J50" s="179">
        <f t="shared" si="12"/>
        <v>0</v>
      </c>
      <c r="K50" s="179">
        <f t="shared" si="12"/>
        <v>0</v>
      </c>
      <c r="L50" s="179">
        <f t="shared" si="12"/>
        <v>0</v>
      </c>
      <c r="M50" s="179">
        <f t="shared" si="12"/>
        <v>0</v>
      </c>
      <c r="N50" s="179">
        <f t="shared" si="12"/>
        <v>0</v>
      </c>
      <c r="O50" s="179">
        <f t="shared" si="12"/>
        <v>0</v>
      </c>
      <c r="P50" s="179">
        <f t="shared" si="12"/>
        <v>0</v>
      </c>
      <c r="Q50" s="179">
        <f t="shared" si="12"/>
        <v>0</v>
      </c>
      <c r="R50" s="179">
        <f t="shared" si="12"/>
        <v>0</v>
      </c>
      <c r="S50" s="179">
        <f t="shared" si="12"/>
        <v>0</v>
      </c>
      <c r="T50" s="179">
        <f t="shared" si="12"/>
        <v>0</v>
      </c>
      <c r="U50" s="179">
        <f t="shared" si="12"/>
        <v>0</v>
      </c>
      <c r="V50" s="179">
        <f t="shared" si="12"/>
        <v>0</v>
      </c>
      <c r="W50" s="179">
        <f t="shared" si="12"/>
        <v>0</v>
      </c>
      <c r="X50" s="179">
        <f t="shared" si="12"/>
        <v>0</v>
      </c>
      <c r="Y50" s="179">
        <f t="shared" si="12"/>
        <v>0</v>
      </c>
      <c r="Z50" s="179">
        <f t="shared" si="12"/>
        <v>0</v>
      </c>
      <c r="AA50" s="179">
        <f t="shared" si="12"/>
        <v>0</v>
      </c>
      <c r="AB50" s="179">
        <f t="shared" si="12"/>
        <v>0</v>
      </c>
      <c r="AC50" s="179">
        <f t="shared" si="12"/>
        <v>0</v>
      </c>
      <c r="AD50" s="179">
        <f t="shared" si="12"/>
        <v>0</v>
      </c>
      <c r="AE50" s="179">
        <f t="shared" si="12"/>
        <v>0</v>
      </c>
      <c r="AF50" s="189"/>
      <c r="AG50" s="175"/>
      <c r="AH50" s="654"/>
    </row>
    <row r="51" spans="1:35" ht="61.15" customHeight="1" x14ac:dyDescent="0.3">
      <c r="A51" s="190" t="s">
        <v>243</v>
      </c>
      <c r="B51" s="191">
        <f>B52</f>
        <v>1926.6000000000004</v>
      </c>
      <c r="C51" s="191">
        <f>C52</f>
        <v>926.44025000000011</v>
      </c>
      <c r="D51" s="191">
        <f>D52</f>
        <v>782.077</v>
      </c>
      <c r="E51" s="192">
        <f>E52</f>
        <v>782.077</v>
      </c>
      <c r="F51" s="193">
        <v>0</v>
      </c>
      <c r="G51" s="193">
        <v>0</v>
      </c>
      <c r="H51" s="191">
        <f t="shared" ref="H51:N51" si="15">H52</f>
        <v>70.140249999999995</v>
      </c>
      <c r="I51" s="192">
        <f t="shared" si="15"/>
        <v>70.14</v>
      </c>
      <c r="J51" s="191">
        <f t="shared" si="15"/>
        <v>279.5</v>
      </c>
      <c r="K51" s="192">
        <f t="shared" si="15"/>
        <v>82.662000000000006</v>
      </c>
      <c r="L51" s="191">
        <f t="shared" si="15"/>
        <v>144.19999999999999</v>
      </c>
      <c r="M51" s="192">
        <f t="shared" si="15"/>
        <v>144.67500000000001</v>
      </c>
      <c r="N51" s="191">
        <f t="shared" si="15"/>
        <v>144.19999999999999</v>
      </c>
      <c r="O51" s="192">
        <f t="shared" ref="O51:T51" si="16">O52</f>
        <v>144.67500000000001</v>
      </c>
      <c r="P51" s="191">
        <f t="shared" si="16"/>
        <v>144.19999999999999</v>
      </c>
      <c r="Q51" s="192">
        <f t="shared" si="16"/>
        <v>239.92500000000001</v>
      </c>
      <c r="R51" s="191">
        <f t="shared" si="16"/>
        <v>144.19999999999999</v>
      </c>
      <c r="S51" s="192">
        <f t="shared" si="16"/>
        <v>100</v>
      </c>
      <c r="T51" s="191">
        <f t="shared" si="16"/>
        <v>144.19999999999999</v>
      </c>
      <c r="U51" s="192"/>
      <c r="V51" s="191">
        <f>V52</f>
        <v>144.19999999999999</v>
      </c>
      <c r="W51" s="192"/>
      <c r="X51" s="191">
        <f>X52</f>
        <v>144.19999999999999</v>
      </c>
      <c r="Y51" s="192"/>
      <c r="Z51" s="191">
        <f>Z52</f>
        <v>144.19999999999999</v>
      </c>
      <c r="AA51" s="192"/>
      <c r="AB51" s="191">
        <f>AB52</f>
        <v>144.19999999999999</v>
      </c>
      <c r="AC51" s="192"/>
      <c r="AD51" s="191">
        <f>AD52</f>
        <v>279.15974999999997</v>
      </c>
      <c r="AE51" s="194"/>
      <c r="AF51" s="753" t="s">
        <v>650</v>
      </c>
      <c r="AG51" s="175"/>
      <c r="AH51" s="654"/>
    </row>
    <row r="52" spans="1:35" s="761" customFormat="1" x14ac:dyDescent="0.3">
      <c r="A52" s="760" t="s">
        <v>31</v>
      </c>
      <c r="B52" s="679">
        <f>B53+B54+B55+B56</f>
        <v>1926.6000000000004</v>
      </c>
      <c r="C52" s="679">
        <f>C53+C54+C55+C56</f>
        <v>926.44025000000011</v>
      </c>
      <c r="D52" s="679">
        <f>D53+D54+D55+D56</f>
        <v>782.077</v>
      </c>
      <c r="E52" s="679">
        <f>E53+E54+E55+E56</f>
        <v>782.077</v>
      </c>
      <c r="F52" s="679">
        <v>0</v>
      </c>
      <c r="G52" s="679">
        <f>E52/C52*100</f>
        <v>84.41742465312791</v>
      </c>
      <c r="H52" s="679">
        <f>H53+H54+H55+H56</f>
        <v>70.140249999999995</v>
      </c>
      <c r="I52" s="679">
        <f>I55</f>
        <v>70.14</v>
      </c>
      <c r="J52" s="679">
        <f>J53+J54+J55+J56</f>
        <v>279.5</v>
      </c>
      <c r="K52" s="679">
        <f>K55</f>
        <v>82.662000000000006</v>
      </c>
      <c r="L52" s="679">
        <f>L53+L54+L55+L56</f>
        <v>144.19999999999999</v>
      </c>
      <c r="M52" s="679">
        <f>M55</f>
        <v>144.67500000000001</v>
      </c>
      <c r="N52" s="679">
        <f>N53+N54+N55+N56</f>
        <v>144.19999999999999</v>
      </c>
      <c r="O52" s="679">
        <f>O55</f>
        <v>144.67500000000001</v>
      </c>
      <c r="P52" s="679">
        <f>P53+P54+P55+P56</f>
        <v>144.19999999999999</v>
      </c>
      <c r="Q52" s="679">
        <f>Q55</f>
        <v>239.92500000000001</v>
      </c>
      <c r="R52" s="679">
        <f>R53+R54+R55+R56</f>
        <v>144.19999999999999</v>
      </c>
      <c r="S52" s="679">
        <f>S55</f>
        <v>100</v>
      </c>
      <c r="T52" s="679">
        <f>T53+T54+T55+T56</f>
        <v>144.19999999999999</v>
      </c>
      <c r="U52" s="679"/>
      <c r="V52" s="679">
        <f>V53+V54+V55+V56</f>
        <v>144.19999999999999</v>
      </c>
      <c r="W52" s="679"/>
      <c r="X52" s="679">
        <f>X53+X54+X55+X56</f>
        <v>144.19999999999999</v>
      </c>
      <c r="Y52" s="679"/>
      <c r="Z52" s="679">
        <f>Z53+Z54+Z55+Z56</f>
        <v>144.19999999999999</v>
      </c>
      <c r="AA52" s="679"/>
      <c r="AB52" s="679">
        <f>AB53+AB54+AB55+AB56</f>
        <v>144.19999999999999</v>
      </c>
      <c r="AC52" s="679"/>
      <c r="AD52" s="679">
        <f>AD53+AD54+AD55+AD56</f>
        <v>279.15974999999997</v>
      </c>
      <c r="AE52" s="679"/>
      <c r="AF52" s="756"/>
      <c r="AG52" s="757"/>
      <c r="AH52" s="758"/>
    </row>
    <row r="53" spans="1:35" x14ac:dyDescent="0.3">
      <c r="A53" s="199" t="s">
        <v>169</v>
      </c>
      <c r="B53" s="191">
        <f>H53+J53+L53+N53+P53+R53+T53+V53+X53+Z53+AB53+AD53</f>
        <v>0</v>
      </c>
      <c r="C53" s="191">
        <f>H53+J53</f>
        <v>0</v>
      </c>
      <c r="D53" s="191">
        <f t="shared" ref="D53:D71" si="17">E53</f>
        <v>0</v>
      </c>
      <c r="E53" s="191">
        <v>0</v>
      </c>
      <c r="F53" s="193">
        <v>0</v>
      </c>
      <c r="G53" s="193">
        <v>0</v>
      </c>
      <c r="H53" s="191">
        <v>0</v>
      </c>
      <c r="I53" s="191">
        <v>0</v>
      </c>
      <c r="J53" s="191">
        <v>0</v>
      </c>
      <c r="K53" s="191">
        <v>0</v>
      </c>
      <c r="L53" s="191">
        <v>0</v>
      </c>
      <c r="M53" s="191">
        <v>0</v>
      </c>
      <c r="N53" s="191">
        <v>0</v>
      </c>
      <c r="O53" s="191">
        <v>0</v>
      </c>
      <c r="P53" s="191">
        <v>0</v>
      </c>
      <c r="Q53" s="191">
        <v>0</v>
      </c>
      <c r="R53" s="191">
        <v>0</v>
      </c>
      <c r="S53" s="191">
        <v>0</v>
      </c>
      <c r="T53" s="191"/>
      <c r="U53" s="191"/>
      <c r="V53" s="191"/>
      <c r="W53" s="191"/>
      <c r="X53" s="191"/>
      <c r="Y53" s="191"/>
      <c r="Z53" s="191"/>
      <c r="AA53" s="191"/>
      <c r="AB53" s="191"/>
      <c r="AC53" s="191"/>
      <c r="AD53" s="191"/>
      <c r="AE53" s="191"/>
      <c r="AF53" s="195"/>
      <c r="AG53" s="175"/>
      <c r="AH53" s="654"/>
    </row>
    <row r="54" spans="1:35" x14ac:dyDescent="0.3">
      <c r="A54" s="199" t="s">
        <v>32</v>
      </c>
      <c r="B54" s="191">
        <f>H54+J54+L54+N54+P54+R54+T54+V54+X54+Z54+AB54+AD54</f>
        <v>0</v>
      </c>
      <c r="C54" s="191">
        <f>H54+J54</f>
        <v>0</v>
      </c>
      <c r="D54" s="191">
        <f t="shared" si="17"/>
        <v>0</v>
      </c>
      <c r="E54" s="191">
        <v>0</v>
      </c>
      <c r="F54" s="193">
        <v>0</v>
      </c>
      <c r="G54" s="193">
        <v>0</v>
      </c>
      <c r="H54" s="191">
        <v>0</v>
      </c>
      <c r="I54" s="191">
        <v>0</v>
      </c>
      <c r="J54" s="191">
        <v>0</v>
      </c>
      <c r="K54" s="191">
        <v>0</v>
      </c>
      <c r="L54" s="191">
        <v>0</v>
      </c>
      <c r="M54" s="191">
        <v>0</v>
      </c>
      <c r="N54" s="191">
        <v>0</v>
      </c>
      <c r="O54" s="191">
        <v>0</v>
      </c>
      <c r="P54" s="191">
        <v>0</v>
      </c>
      <c r="Q54" s="191">
        <v>0</v>
      </c>
      <c r="R54" s="191">
        <v>0</v>
      </c>
      <c r="S54" s="191">
        <v>0</v>
      </c>
      <c r="T54" s="191"/>
      <c r="U54" s="191"/>
      <c r="V54" s="191"/>
      <c r="W54" s="191"/>
      <c r="X54" s="191"/>
      <c r="Y54" s="191"/>
      <c r="Z54" s="191"/>
      <c r="AA54" s="191"/>
      <c r="AB54" s="191"/>
      <c r="AC54" s="191"/>
      <c r="AD54" s="191"/>
      <c r="AE54" s="191"/>
      <c r="AF54" s="195"/>
      <c r="AG54" s="175"/>
      <c r="AH54" s="654"/>
    </row>
    <row r="55" spans="1:35" s="652" customFormat="1" x14ac:dyDescent="0.3">
      <c r="A55" s="754" t="s">
        <v>33</v>
      </c>
      <c r="B55" s="680">
        <f>H55+J55+L55+N55+P55+R55+T55+V55+X55+Z55+AB55+AD55</f>
        <v>1926.6000000000004</v>
      </c>
      <c r="C55" s="680">
        <f>H55+J55+L55+N55+P55+R55</f>
        <v>926.44025000000011</v>
      </c>
      <c r="D55" s="759">
        <f>E55</f>
        <v>782.077</v>
      </c>
      <c r="E55" s="755">
        <f>I55+K55+M55+O55+Q55+S55</f>
        <v>782.077</v>
      </c>
      <c r="F55" s="680">
        <v>0</v>
      </c>
      <c r="G55" s="680">
        <v>0</v>
      </c>
      <c r="H55" s="680">
        <v>70.140249999999995</v>
      </c>
      <c r="I55" s="680">
        <v>70.14</v>
      </c>
      <c r="J55" s="680">
        <v>279.5</v>
      </c>
      <c r="K55" s="680">
        <v>82.662000000000006</v>
      </c>
      <c r="L55" s="680">
        <v>144.19999999999999</v>
      </c>
      <c r="M55" s="680">
        <v>144.67500000000001</v>
      </c>
      <c r="N55" s="680">
        <v>144.19999999999999</v>
      </c>
      <c r="O55" s="680">
        <v>144.67500000000001</v>
      </c>
      <c r="P55" s="680">
        <v>144.19999999999999</v>
      </c>
      <c r="Q55" s="192">
        <v>239.92500000000001</v>
      </c>
      <c r="R55" s="680">
        <v>144.19999999999999</v>
      </c>
      <c r="S55" s="680">
        <v>100</v>
      </c>
      <c r="T55" s="680">
        <v>144.19999999999999</v>
      </c>
      <c r="U55" s="680"/>
      <c r="V55" s="680">
        <v>144.19999999999999</v>
      </c>
      <c r="W55" s="680"/>
      <c r="X55" s="680">
        <v>144.19999999999999</v>
      </c>
      <c r="Y55" s="680"/>
      <c r="Z55" s="680">
        <v>144.19999999999999</v>
      </c>
      <c r="AA55" s="680"/>
      <c r="AB55" s="680">
        <v>144.19999999999999</v>
      </c>
      <c r="AC55" s="680"/>
      <c r="AD55" s="680">
        <v>279.15974999999997</v>
      </c>
      <c r="AE55" s="680"/>
      <c r="AF55" s="756"/>
      <c r="AG55" s="757"/>
      <c r="AH55" s="758"/>
      <c r="AI55" s="758"/>
    </row>
    <row r="56" spans="1:35" x14ac:dyDescent="0.3">
      <c r="A56" s="199" t="s">
        <v>221</v>
      </c>
      <c r="B56" s="191">
        <f>H56+J56+L56+N56+P56+R56+T56+V56+X56+Z56+AB56+AD56</f>
        <v>0</v>
      </c>
      <c r="C56" s="191">
        <f>H56+J56</f>
        <v>0</v>
      </c>
      <c r="D56" s="191">
        <f t="shared" si="17"/>
        <v>0</v>
      </c>
      <c r="E56" s="191">
        <v>0</v>
      </c>
      <c r="F56" s="193">
        <v>0</v>
      </c>
      <c r="G56" s="193">
        <v>0</v>
      </c>
      <c r="H56" s="191">
        <v>0</v>
      </c>
      <c r="I56" s="191">
        <v>0</v>
      </c>
      <c r="J56" s="191">
        <v>0</v>
      </c>
      <c r="K56" s="191">
        <v>0</v>
      </c>
      <c r="L56" s="191">
        <v>0</v>
      </c>
      <c r="M56" s="191">
        <v>0</v>
      </c>
      <c r="N56" s="191">
        <v>0</v>
      </c>
      <c r="O56" s="191">
        <v>0</v>
      </c>
      <c r="P56" s="191">
        <v>0</v>
      </c>
      <c r="Q56" s="191">
        <v>0</v>
      </c>
      <c r="R56" s="191">
        <v>0</v>
      </c>
      <c r="S56" s="191">
        <v>0</v>
      </c>
      <c r="T56" s="191"/>
      <c r="U56" s="191"/>
      <c r="V56" s="191"/>
      <c r="W56" s="191"/>
      <c r="X56" s="191"/>
      <c r="Y56" s="191"/>
      <c r="Z56" s="191"/>
      <c r="AA56" s="191"/>
      <c r="AB56" s="191"/>
      <c r="AC56" s="191"/>
      <c r="AD56" s="191"/>
      <c r="AE56" s="191"/>
      <c r="AF56" s="195"/>
      <c r="AG56" s="175"/>
      <c r="AH56" s="654"/>
    </row>
    <row r="57" spans="1:35" ht="77.45" customHeight="1" x14ac:dyDescent="0.3">
      <c r="A57" s="924" t="s">
        <v>592</v>
      </c>
      <c r="B57" s="193">
        <f>B58</f>
        <v>16355.895000000002</v>
      </c>
      <c r="C57" s="191">
        <f>C58</f>
        <v>8000.7250000000004</v>
      </c>
      <c r="D57" s="192">
        <f t="shared" ref="D57:K57" si="18">D58</f>
        <v>7132.4400000000005</v>
      </c>
      <c r="E57" s="193">
        <f t="shared" si="18"/>
        <v>7132.4400000000005</v>
      </c>
      <c r="F57" s="193">
        <f t="shared" si="18"/>
        <v>43.607763439420459</v>
      </c>
      <c r="G57" s="191">
        <f t="shared" si="18"/>
        <v>89.147421014970519</v>
      </c>
      <c r="H57" s="192">
        <f t="shared" si="18"/>
        <v>1221.3085599999999</v>
      </c>
      <c r="I57" s="191">
        <f t="shared" si="18"/>
        <v>480.65</v>
      </c>
      <c r="J57" s="192">
        <f t="shared" si="18"/>
        <v>1180.54962</v>
      </c>
      <c r="K57" s="192">
        <f t="shared" si="18"/>
        <v>1130.3900000000001</v>
      </c>
      <c r="L57" s="191">
        <f t="shared" ref="L57:R57" si="19">L58</f>
        <v>1394.0255400000001</v>
      </c>
      <c r="M57" s="192">
        <f t="shared" si="19"/>
        <v>1255.95</v>
      </c>
      <c r="N57" s="191">
        <f t="shared" si="19"/>
        <v>1375.8</v>
      </c>
      <c r="O57" s="192">
        <f t="shared" si="19"/>
        <v>1375.34</v>
      </c>
      <c r="P57" s="191">
        <f t="shared" si="19"/>
        <v>1309.5312799999999</v>
      </c>
      <c r="Q57" s="192">
        <f t="shared" si="19"/>
        <v>1411.1</v>
      </c>
      <c r="R57" s="191">
        <f t="shared" si="19"/>
        <v>1519.51</v>
      </c>
      <c r="S57" s="192">
        <f>S58</f>
        <v>1479</v>
      </c>
      <c r="T57" s="191"/>
      <c r="U57" s="192"/>
      <c r="V57" s="191"/>
      <c r="W57" s="192"/>
      <c r="X57" s="191"/>
      <c r="Y57" s="192"/>
      <c r="Z57" s="191"/>
      <c r="AA57" s="192"/>
      <c r="AB57" s="191"/>
      <c r="AC57" s="192"/>
      <c r="AD57" s="191"/>
      <c r="AE57" s="194"/>
      <c r="AF57" s="195"/>
      <c r="AG57" s="175"/>
      <c r="AH57" s="654"/>
    </row>
    <row r="58" spans="1:35" s="177" customFormat="1" ht="81" customHeight="1" x14ac:dyDescent="0.3">
      <c r="A58" s="196" t="s">
        <v>31</v>
      </c>
      <c r="B58" s="679">
        <f>B59+B60+B61+B62</f>
        <v>16355.895000000002</v>
      </c>
      <c r="C58" s="197">
        <f>C59+C60+C61+C62</f>
        <v>8000.7250000000004</v>
      </c>
      <c r="D58" s="679">
        <f>D59+D60+D61+D62</f>
        <v>7132.4400000000005</v>
      </c>
      <c r="E58" s="197">
        <f>E59+E60+E61+E62</f>
        <v>7132.4400000000005</v>
      </c>
      <c r="F58" s="198">
        <f>F59+F60+F61+F62</f>
        <v>43.607763439420459</v>
      </c>
      <c r="G58" s="198">
        <f>E58/C58*100</f>
        <v>89.147421014970519</v>
      </c>
      <c r="H58" s="198">
        <f>H59+H60+H61+H62</f>
        <v>1221.3085599999999</v>
      </c>
      <c r="I58" s="198">
        <f>I59+I60+I61+I62</f>
        <v>480.65</v>
      </c>
      <c r="J58" s="197">
        <f>J59+J60+J61+J62</f>
        <v>1180.54962</v>
      </c>
      <c r="K58" s="197">
        <v>1130.3900000000001</v>
      </c>
      <c r="L58" s="197">
        <f>L59+L60+L61+L62</f>
        <v>1394.0255400000001</v>
      </c>
      <c r="M58" s="679">
        <f>M61</f>
        <v>1255.95</v>
      </c>
      <c r="N58" s="197">
        <f>N59+N60+N61+N62</f>
        <v>1375.8</v>
      </c>
      <c r="O58" s="197">
        <f>O61</f>
        <v>1375.34</v>
      </c>
      <c r="P58" s="197">
        <f>P59+P60+P61+P62</f>
        <v>1309.5312799999999</v>
      </c>
      <c r="Q58" s="197">
        <f>Q61</f>
        <v>1411.1</v>
      </c>
      <c r="R58" s="197">
        <f>R59+R60+R61+R62</f>
        <v>1519.51</v>
      </c>
      <c r="S58" s="197">
        <f>S61</f>
        <v>1479</v>
      </c>
      <c r="T58" s="197">
        <f>T59+T60+T61+T62</f>
        <v>1740.86</v>
      </c>
      <c r="U58" s="197"/>
      <c r="V58" s="197">
        <f>V59+V60+V61+V62</f>
        <v>1397.84</v>
      </c>
      <c r="W58" s="197"/>
      <c r="X58" s="197">
        <f>X59+X60+X61+X62</f>
        <v>1397.84</v>
      </c>
      <c r="Y58" s="197"/>
      <c r="Z58" s="197">
        <f>Z59+Z60+Z61+Z62</f>
        <v>1399.2149999999999</v>
      </c>
      <c r="AA58" s="197"/>
      <c r="AB58" s="197">
        <f>AB59+AB60+AB61+AB62</f>
        <v>1237.9949999999999</v>
      </c>
      <c r="AC58" s="197"/>
      <c r="AD58" s="197">
        <f>AD59+AD60+AD61+AD62</f>
        <v>1181.42</v>
      </c>
      <c r="AE58" s="197"/>
      <c r="AF58" s="753" t="s">
        <v>652</v>
      </c>
      <c r="AG58" s="175"/>
      <c r="AH58" s="654"/>
    </row>
    <row r="59" spans="1:35" x14ac:dyDescent="0.3">
      <c r="A59" s="199" t="s">
        <v>169</v>
      </c>
      <c r="B59" s="191">
        <f>H59+J59+L59+N59+P59+R59+T59+V59+X59+Z59+AB59+AD59</f>
        <v>0</v>
      </c>
      <c r="C59" s="191">
        <f>H59+J59</f>
        <v>0</v>
      </c>
      <c r="D59" s="191">
        <f t="shared" si="17"/>
        <v>0</v>
      </c>
      <c r="E59" s="191">
        <v>0</v>
      </c>
      <c r="F59" s="193">
        <v>0</v>
      </c>
      <c r="G59" s="193">
        <v>0</v>
      </c>
      <c r="H59" s="191">
        <v>0</v>
      </c>
      <c r="I59" s="192">
        <v>0</v>
      </c>
      <c r="J59" s="191">
        <v>0</v>
      </c>
      <c r="K59" s="191">
        <v>0</v>
      </c>
      <c r="L59" s="191">
        <v>0</v>
      </c>
      <c r="M59" s="680">
        <v>0</v>
      </c>
      <c r="N59" s="191">
        <v>0</v>
      </c>
      <c r="O59" s="191">
        <v>0</v>
      </c>
      <c r="P59" s="191">
        <v>0</v>
      </c>
      <c r="Q59" s="191">
        <v>0</v>
      </c>
      <c r="R59" s="191">
        <v>0</v>
      </c>
      <c r="S59" s="197">
        <v>0</v>
      </c>
      <c r="T59" s="191"/>
      <c r="U59" s="191"/>
      <c r="V59" s="191"/>
      <c r="W59" s="191"/>
      <c r="X59" s="191"/>
      <c r="Y59" s="191"/>
      <c r="Z59" s="191"/>
      <c r="AA59" s="191"/>
      <c r="AB59" s="191"/>
      <c r="AC59" s="191"/>
      <c r="AD59" s="191"/>
      <c r="AE59" s="191"/>
      <c r="AF59" s="195"/>
      <c r="AG59" s="175"/>
      <c r="AH59" s="654"/>
    </row>
    <row r="60" spans="1:35" x14ac:dyDescent="0.3">
      <c r="A60" s="199" t="s">
        <v>32</v>
      </c>
      <c r="B60" s="191">
        <f>H60+J60+L60+N60+P60+R60+T60+V60+X60+Z60+AB60+AD60</f>
        <v>0</v>
      </c>
      <c r="C60" s="191">
        <f>H60+J60</f>
        <v>0</v>
      </c>
      <c r="D60" s="191">
        <f t="shared" si="17"/>
        <v>0</v>
      </c>
      <c r="E60" s="191">
        <v>0</v>
      </c>
      <c r="F60" s="193">
        <v>0</v>
      </c>
      <c r="G60" s="193">
        <v>0</v>
      </c>
      <c r="H60" s="191">
        <v>0</v>
      </c>
      <c r="I60" s="192">
        <v>0</v>
      </c>
      <c r="J60" s="191">
        <v>0</v>
      </c>
      <c r="K60" s="191">
        <v>0</v>
      </c>
      <c r="L60" s="191">
        <v>0</v>
      </c>
      <c r="M60" s="680">
        <v>0</v>
      </c>
      <c r="N60" s="191">
        <v>0</v>
      </c>
      <c r="O60" s="191">
        <v>0</v>
      </c>
      <c r="P60" s="191">
        <v>0</v>
      </c>
      <c r="Q60" s="191">
        <v>0</v>
      </c>
      <c r="R60" s="191">
        <v>0</v>
      </c>
      <c r="S60" s="197">
        <v>0</v>
      </c>
      <c r="T60" s="191"/>
      <c r="U60" s="191"/>
      <c r="V60" s="191"/>
      <c r="W60" s="191"/>
      <c r="X60" s="191"/>
      <c r="Y60" s="191"/>
      <c r="Z60" s="191"/>
      <c r="AA60" s="191"/>
      <c r="AB60" s="191"/>
      <c r="AC60" s="191"/>
      <c r="AD60" s="191"/>
      <c r="AE60" s="191"/>
      <c r="AF60" s="195"/>
      <c r="AG60" s="175"/>
      <c r="AH60" s="654"/>
    </row>
    <row r="61" spans="1:35" s="652" customFormat="1" ht="25.15" customHeight="1" x14ac:dyDescent="0.3">
      <c r="A61" s="754" t="s">
        <v>33</v>
      </c>
      <c r="B61" s="680">
        <f>H61+J61+L61+N61+P61+R61+T61+V61+X61+Z61+AB61+AD61</f>
        <v>16355.895000000002</v>
      </c>
      <c r="C61" s="680">
        <f>H61+J61+L61+N61+P61+R61</f>
        <v>8000.7250000000004</v>
      </c>
      <c r="D61" s="680">
        <f>E61</f>
        <v>7132.4400000000005</v>
      </c>
      <c r="E61" s="680">
        <f>I61+K61+M61+O61+Q61+S61</f>
        <v>7132.4400000000005</v>
      </c>
      <c r="F61" s="680">
        <f>E61/B61*100</f>
        <v>43.607763439420459</v>
      </c>
      <c r="G61" s="680">
        <f>E61/C61*100</f>
        <v>89.147421014970519</v>
      </c>
      <c r="H61" s="191">
        <v>1221.3085599999999</v>
      </c>
      <c r="I61" s="191">
        <v>480.65</v>
      </c>
      <c r="J61" s="191">
        <v>1180.54962</v>
      </c>
      <c r="K61" s="191">
        <v>1130.4000000000001</v>
      </c>
      <c r="L61" s="191">
        <v>1394.0255400000001</v>
      </c>
      <c r="M61" s="191">
        <v>1255.95</v>
      </c>
      <c r="N61" s="191">
        <v>1375.8</v>
      </c>
      <c r="O61" s="191">
        <v>1375.34</v>
      </c>
      <c r="P61" s="191">
        <v>1309.5312799999999</v>
      </c>
      <c r="Q61" s="191">
        <v>1411.1</v>
      </c>
      <c r="R61" s="191">
        <v>1519.51</v>
      </c>
      <c r="S61" s="197">
        <v>1479</v>
      </c>
      <c r="T61" s="680">
        <v>1740.86</v>
      </c>
      <c r="U61" s="680"/>
      <c r="V61" s="680">
        <v>1397.84</v>
      </c>
      <c r="W61" s="680"/>
      <c r="X61" s="680">
        <v>1397.84</v>
      </c>
      <c r="Y61" s="680"/>
      <c r="Z61" s="680">
        <v>1399.2149999999999</v>
      </c>
      <c r="AA61" s="680"/>
      <c r="AB61" s="857">
        <v>1237.9949999999999</v>
      </c>
      <c r="AC61" s="680"/>
      <c r="AD61" s="680">
        <v>1181.42</v>
      </c>
      <c r="AE61" s="680"/>
      <c r="AF61" s="756"/>
      <c r="AG61" s="757"/>
      <c r="AH61" s="758"/>
    </row>
    <row r="62" spans="1:35" x14ac:dyDescent="0.3">
      <c r="A62" s="199" t="s">
        <v>221</v>
      </c>
      <c r="B62" s="191">
        <f>H62+J62+L62+N62+P62+R62+T62+V62+X62+Z62+AB62+AD62</f>
        <v>0</v>
      </c>
      <c r="C62" s="191">
        <f>H62+J62</f>
        <v>0</v>
      </c>
      <c r="D62" s="191">
        <f t="shared" si="17"/>
        <v>0</v>
      </c>
      <c r="E62" s="191">
        <v>0</v>
      </c>
      <c r="F62" s="193">
        <v>0</v>
      </c>
      <c r="G62" s="193">
        <v>0</v>
      </c>
      <c r="H62" s="191">
        <v>0</v>
      </c>
      <c r="I62" s="192">
        <v>0</v>
      </c>
      <c r="J62" s="191">
        <v>0</v>
      </c>
      <c r="K62" s="191">
        <v>0</v>
      </c>
      <c r="L62" s="191">
        <v>0</v>
      </c>
      <c r="M62" s="680">
        <v>0</v>
      </c>
      <c r="N62" s="191">
        <v>0</v>
      </c>
      <c r="O62" s="191">
        <v>0</v>
      </c>
      <c r="P62" s="191">
        <v>0</v>
      </c>
      <c r="Q62" s="191">
        <v>0</v>
      </c>
      <c r="R62" s="191">
        <v>0</v>
      </c>
      <c r="S62" s="197">
        <v>0</v>
      </c>
      <c r="T62" s="191"/>
      <c r="U62" s="191"/>
      <c r="V62" s="191"/>
      <c r="W62" s="191"/>
      <c r="X62" s="191"/>
      <c r="Y62" s="191"/>
      <c r="Z62" s="191"/>
      <c r="AA62" s="191"/>
      <c r="AB62" s="191"/>
      <c r="AC62" s="191"/>
      <c r="AD62" s="191"/>
      <c r="AE62" s="191"/>
      <c r="AF62" s="195"/>
      <c r="AG62" s="175"/>
      <c r="AH62" s="654"/>
    </row>
    <row r="63" spans="1:35" s="168" customFormat="1" x14ac:dyDescent="0.3">
      <c r="A63" s="1044" t="s">
        <v>244</v>
      </c>
      <c r="B63" s="1042"/>
      <c r="C63" s="1042"/>
      <c r="D63" s="1042"/>
      <c r="E63" s="1042"/>
      <c r="F63" s="1042"/>
      <c r="G63" s="1042"/>
      <c r="H63" s="1042"/>
      <c r="I63" s="1042"/>
      <c r="J63" s="1042"/>
      <c r="K63" s="1042"/>
      <c r="L63" s="1042"/>
      <c r="M63" s="1042"/>
      <c r="N63" s="1042"/>
      <c r="O63" s="1042"/>
      <c r="P63" s="1042"/>
      <c r="Q63" s="1042"/>
      <c r="R63" s="1042"/>
      <c r="S63" s="1042"/>
      <c r="T63" s="1042"/>
      <c r="U63" s="1042"/>
      <c r="V63" s="1042"/>
      <c r="W63" s="1042"/>
      <c r="X63" s="1042"/>
      <c r="Y63" s="1042"/>
      <c r="Z63" s="1042"/>
      <c r="AA63" s="1042"/>
      <c r="AB63" s="1042"/>
      <c r="AC63" s="1042"/>
      <c r="AD63" s="1042"/>
      <c r="AE63" s="1042"/>
      <c r="AF63" s="1043"/>
      <c r="AG63" s="175"/>
      <c r="AH63" s="721"/>
    </row>
    <row r="64" spans="1:35" s="168" customFormat="1" x14ac:dyDescent="0.3">
      <c r="A64" s="1041" t="s">
        <v>54</v>
      </c>
      <c r="B64" s="1042"/>
      <c r="C64" s="1042"/>
      <c r="D64" s="1042"/>
      <c r="E64" s="1042"/>
      <c r="F64" s="1042"/>
      <c r="G64" s="1042"/>
      <c r="H64" s="1042"/>
      <c r="I64" s="1042"/>
      <c r="J64" s="1042"/>
      <c r="K64" s="1042"/>
      <c r="L64" s="1042"/>
      <c r="M64" s="1042"/>
      <c r="N64" s="1042"/>
      <c r="O64" s="1042"/>
      <c r="P64" s="1042"/>
      <c r="Q64" s="1042"/>
      <c r="R64" s="1042"/>
      <c r="S64" s="1042"/>
      <c r="T64" s="1042"/>
      <c r="U64" s="1042"/>
      <c r="V64" s="1042"/>
      <c r="W64" s="1042"/>
      <c r="X64" s="1042"/>
      <c r="Y64" s="1042"/>
      <c r="Z64" s="1042"/>
      <c r="AA64" s="1042"/>
      <c r="AB64" s="1042"/>
      <c r="AC64" s="1042"/>
      <c r="AD64" s="1042"/>
      <c r="AE64" s="1042"/>
      <c r="AF64" s="1043"/>
      <c r="AG64" s="175"/>
      <c r="AH64" s="721"/>
    </row>
    <row r="65" spans="1:34" s="177" customFormat="1" ht="56.25" x14ac:dyDescent="0.3">
      <c r="A65" s="202" t="s">
        <v>245</v>
      </c>
      <c r="B65" s="170">
        <f>B66</f>
        <v>27765.079999999998</v>
      </c>
      <c r="C65" s="170">
        <f>C66</f>
        <v>15602.544</v>
      </c>
      <c r="D65" s="170">
        <f>D66</f>
        <v>13600.475999999999</v>
      </c>
      <c r="E65" s="172">
        <f>E66</f>
        <v>13600.475999999999</v>
      </c>
      <c r="F65" s="170">
        <v>0</v>
      </c>
      <c r="G65" s="170">
        <v>0</v>
      </c>
      <c r="H65" s="170">
        <f t="shared" ref="H65:O65" si="20">H66</f>
        <v>3549.9259999999999</v>
      </c>
      <c r="I65" s="172">
        <f t="shared" si="20"/>
        <v>1704.848</v>
      </c>
      <c r="J65" s="170">
        <f t="shared" si="20"/>
        <v>2293.0390000000002</v>
      </c>
      <c r="K65" s="172">
        <f t="shared" si="20"/>
        <v>2351.4690000000001</v>
      </c>
      <c r="L65" s="170">
        <f t="shared" si="20"/>
        <v>1823.9069999999999</v>
      </c>
      <c r="M65" s="172">
        <f t="shared" si="20"/>
        <v>1933.69</v>
      </c>
      <c r="N65" s="170">
        <f t="shared" si="20"/>
        <v>2676.9009999999998</v>
      </c>
      <c r="O65" s="172">
        <f t="shared" si="20"/>
        <v>1813.9850000000001</v>
      </c>
      <c r="P65" s="170">
        <f>P66</f>
        <v>3434.7640000000001</v>
      </c>
      <c r="Q65" s="172">
        <f>Q66</f>
        <v>3813.3690000000001</v>
      </c>
      <c r="R65" s="170">
        <f>R66</f>
        <v>1824.0070000000001</v>
      </c>
      <c r="S65" s="172">
        <f>S66</f>
        <v>2711.9949999999999</v>
      </c>
      <c r="T65" s="170">
        <f>T66</f>
        <v>2713.6010000000001</v>
      </c>
      <c r="U65" s="172"/>
      <c r="V65" s="170">
        <f>V66</f>
        <v>2081.511</v>
      </c>
      <c r="W65" s="172"/>
      <c r="X65" s="170">
        <f>X66</f>
        <v>1823.9070000000002</v>
      </c>
      <c r="Y65" s="172"/>
      <c r="Z65" s="170">
        <f>Z66</f>
        <v>2676.9030000000002</v>
      </c>
      <c r="AA65" s="172"/>
      <c r="AB65" s="170">
        <f>AB66</f>
        <v>2081.5120000000002</v>
      </c>
      <c r="AC65" s="172"/>
      <c r="AD65" s="170">
        <f>AD66</f>
        <v>1513.9750000000001</v>
      </c>
      <c r="AE65" s="173"/>
      <c r="AF65" s="822" t="s">
        <v>676</v>
      </c>
      <c r="AG65" s="175"/>
      <c r="AH65" s="654"/>
    </row>
    <row r="66" spans="1:34" s="177" customFormat="1" x14ac:dyDescent="0.3">
      <c r="A66" s="187" t="s">
        <v>31</v>
      </c>
      <c r="B66" s="170">
        <f>B67+B68+B69+B71</f>
        <v>27765.079999999998</v>
      </c>
      <c r="C66" s="170">
        <f>C67+C68+C69+C70+C71</f>
        <v>15602.544</v>
      </c>
      <c r="D66" s="170">
        <f>D67+D68+D69+D71</f>
        <v>13600.475999999999</v>
      </c>
      <c r="E66" s="170">
        <f>E67+E68+E69+E71</f>
        <v>13600.475999999999</v>
      </c>
      <c r="F66" s="170">
        <f>F67+F68+F69+F71</f>
        <v>48.984105214175507</v>
      </c>
      <c r="G66" s="170">
        <f>E66/C66*100</f>
        <v>87.168323319581717</v>
      </c>
      <c r="H66" s="170">
        <f t="shared" ref="H66:N66" si="21">H67+H68+H69+H71</f>
        <v>3549.9259999999999</v>
      </c>
      <c r="I66" s="170">
        <f t="shared" si="21"/>
        <v>1704.848</v>
      </c>
      <c r="J66" s="170">
        <f t="shared" si="21"/>
        <v>2293.0390000000002</v>
      </c>
      <c r="K66" s="170">
        <f t="shared" si="21"/>
        <v>2351.4690000000001</v>
      </c>
      <c r="L66" s="170">
        <f t="shared" si="21"/>
        <v>1823.9069999999999</v>
      </c>
      <c r="M66" s="170">
        <f t="shared" si="21"/>
        <v>1933.69</v>
      </c>
      <c r="N66" s="170">
        <f t="shared" si="21"/>
        <v>2676.9009999999998</v>
      </c>
      <c r="O66" s="170">
        <f>O67+O68+O69+O71</f>
        <v>1813.9850000000001</v>
      </c>
      <c r="P66" s="170">
        <f>P67+P68+P69+P70+P71</f>
        <v>3434.7640000000001</v>
      </c>
      <c r="Q66" s="170">
        <f>Q67+Q68+Q69+Q70+Q71</f>
        <v>3813.3690000000001</v>
      </c>
      <c r="R66" s="170">
        <f>R67+R68+R69+R71</f>
        <v>1824.0070000000001</v>
      </c>
      <c r="S66" s="170">
        <f>S67+S68+S69+S71</f>
        <v>2711.9949999999999</v>
      </c>
      <c r="T66" s="170">
        <f>T67+T68+T69+T71</f>
        <v>2713.6010000000001</v>
      </c>
      <c r="U66" s="170"/>
      <c r="V66" s="170">
        <f>V67+V68+V69+V71</f>
        <v>2081.511</v>
      </c>
      <c r="W66" s="170"/>
      <c r="X66" s="170">
        <f>X67+X68+X69+X71</f>
        <v>1823.9070000000002</v>
      </c>
      <c r="Y66" s="170"/>
      <c r="Z66" s="170">
        <f>Z67+Z68+Z69+Z71</f>
        <v>2676.9030000000002</v>
      </c>
      <c r="AA66" s="170"/>
      <c r="AB66" s="170">
        <f>AB67+AB68+AB69+AB71</f>
        <v>2081.5120000000002</v>
      </c>
      <c r="AC66" s="170"/>
      <c r="AD66" s="170">
        <f>AD67+AD68+AD69+AD71</f>
        <v>1513.9750000000001</v>
      </c>
      <c r="AE66" s="170"/>
      <c r="AF66" s="174"/>
      <c r="AG66" s="175"/>
      <c r="AH66" s="654"/>
    </row>
    <row r="67" spans="1:34" x14ac:dyDescent="0.3">
      <c r="A67" s="178" t="s">
        <v>169</v>
      </c>
      <c r="B67" s="179">
        <f>H67+J67+L67+N67+P67+R67+T67+V67+X67+Z67+AB67+AD67</f>
        <v>0</v>
      </c>
      <c r="C67" s="179">
        <f>H67+J67</f>
        <v>0</v>
      </c>
      <c r="D67" s="179">
        <f t="shared" si="17"/>
        <v>0</v>
      </c>
      <c r="E67" s="179">
        <v>0</v>
      </c>
      <c r="F67" s="179">
        <v>0</v>
      </c>
      <c r="G67" s="179">
        <v>0</v>
      </c>
      <c r="H67" s="179">
        <f t="shared" ref="H67:AE67" si="22">H74+H81+H88</f>
        <v>0</v>
      </c>
      <c r="I67" s="179">
        <f t="shared" si="22"/>
        <v>0</v>
      </c>
      <c r="J67" s="179">
        <f t="shared" si="22"/>
        <v>0</v>
      </c>
      <c r="K67" s="179">
        <f t="shared" si="22"/>
        <v>0</v>
      </c>
      <c r="L67" s="179">
        <f t="shared" si="22"/>
        <v>0</v>
      </c>
      <c r="M67" s="179">
        <f t="shared" si="22"/>
        <v>0</v>
      </c>
      <c r="N67" s="179">
        <f t="shared" si="22"/>
        <v>0</v>
      </c>
      <c r="O67" s="179">
        <f t="shared" si="22"/>
        <v>0</v>
      </c>
      <c r="P67" s="179">
        <f t="shared" si="22"/>
        <v>0</v>
      </c>
      <c r="Q67" s="179">
        <f t="shared" si="22"/>
        <v>0</v>
      </c>
      <c r="R67" s="179">
        <f t="shared" si="22"/>
        <v>0</v>
      </c>
      <c r="S67" s="179">
        <f t="shared" si="22"/>
        <v>0</v>
      </c>
      <c r="T67" s="179">
        <f t="shared" si="22"/>
        <v>0</v>
      </c>
      <c r="U67" s="179">
        <f t="shared" si="22"/>
        <v>0</v>
      </c>
      <c r="V67" s="179">
        <f t="shared" si="22"/>
        <v>0</v>
      </c>
      <c r="W67" s="179">
        <f t="shared" si="22"/>
        <v>0</v>
      </c>
      <c r="X67" s="179">
        <f t="shared" si="22"/>
        <v>0</v>
      </c>
      <c r="Y67" s="179">
        <f t="shared" si="22"/>
        <v>0</v>
      </c>
      <c r="Z67" s="179">
        <f t="shared" si="22"/>
        <v>0</v>
      </c>
      <c r="AA67" s="179">
        <f t="shared" si="22"/>
        <v>0</v>
      </c>
      <c r="AB67" s="179">
        <f t="shared" si="22"/>
        <v>0</v>
      </c>
      <c r="AC67" s="179">
        <f t="shared" si="22"/>
        <v>0</v>
      </c>
      <c r="AD67" s="179">
        <f t="shared" si="22"/>
        <v>0</v>
      </c>
      <c r="AE67" s="179">
        <f t="shared" si="22"/>
        <v>0</v>
      </c>
      <c r="AF67" s="182"/>
      <c r="AG67" s="175"/>
      <c r="AH67" s="654"/>
    </row>
    <row r="68" spans="1:34" x14ac:dyDescent="0.3">
      <c r="A68" s="178" t="s">
        <v>32</v>
      </c>
      <c r="B68" s="179">
        <f>H68+J68+L68+N68+P68+R68+T68+V68+X68+Z68+AB68+AD68</f>
        <v>0</v>
      </c>
      <c r="C68" s="179">
        <f>H68+J68</f>
        <v>0</v>
      </c>
      <c r="D68" s="179">
        <f t="shared" si="17"/>
        <v>0</v>
      </c>
      <c r="E68" s="179">
        <v>0</v>
      </c>
      <c r="F68" s="179">
        <v>0</v>
      </c>
      <c r="G68" s="179">
        <v>0</v>
      </c>
      <c r="H68" s="179">
        <f t="shared" ref="H68:AE68" si="23">H75+H82+H89</f>
        <v>0</v>
      </c>
      <c r="I68" s="179">
        <f t="shared" si="23"/>
        <v>0</v>
      </c>
      <c r="J68" s="179">
        <f t="shared" si="23"/>
        <v>0</v>
      </c>
      <c r="K68" s="179">
        <f t="shared" si="23"/>
        <v>0</v>
      </c>
      <c r="L68" s="179">
        <f t="shared" si="23"/>
        <v>0</v>
      </c>
      <c r="M68" s="179">
        <f t="shared" si="23"/>
        <v>0</v>
      </c>
      <c r="N68" s="179">
        <f t="shared" si="23"/>
        <v>0</v>
      </c>
      <c r="O68" s="179">
        <f t="shared" si="23"/>
        <v>0</v>
      </c>
      <c r="P68" s="179">
        <f t="shared" si="23"/>
        <v>0</v>
      </c>
      <c r="Q68" s="179">
        <f t="shared" si="23"/>
        <v>0</v>
      </c>
      <c r="R68" s="179">
        <f t="shared" si="23"/>
        <v>0</v>
      </c>
      <c r="S68" s="179">
        <f t="shared" si="23"/>
        <v>0</v>
      </c>
      <c r="T68" s="179">
        <f t="shared" si="23"/>
        <v>0</v>
      </c>
      <c r="U68" s="179">
        <f t="shared" si="23"/>
        <v>0</v>
      </c>
      <c r="V68" s="179">
        <f t="shared" si="23"/>
        <v>0</v>
      </c>
      <c r="W68" s="179">
        <f t="shared" si="23"/>
        <v>0</v>
      </c>
      <c r="X68" s="179">
        <f t="shared" si="23"/>
        <v>0</v>
      </c>
      <c r="Y68" s="179">
        <f t="shared" si="23"/>
        <v>0</v>
      </c>
      <c r="Z68" s="179">
        <f t="shared" si="23"/>
        <v>0</v>
      </c>
      <c r="AA68" s="179">
        <f t="shared" si="23"/>
        <v>0</v>
      </c>
      <c r="AB68" s="179">
        <f t="shared" si="23"/>
        <v>0</v>
      </c>
      <c r="AC68" s="179">
        <f t="shared" si="23"/>
        <v>0</v>
      </c>
      <c r="AD68" s="179">
        <f t="shared" si="23"/>
        <v>0</v>
      </c>
      <c r="AE68" s="179">
        <f t="shared" si="23"/>
        <v>0</v>
      </c>
      <c r="AF68" s="182"/>
      <c r="AG68" s="175"/>
      <c r="AH68" s="654"/>
    </row>
    <row r="69" spans="1:34" x14ac:dyDescent="0.3">
      <c r="A69" s="178" t="s">
        <v>33</v>
      </c>
      <c r="B69" s="179">
        <f>H69+J69+L69+N69+P69+R69+T69+V69+X69+Z69+AB69+AD69</f>
        <v>27765.079999999998</v>
      </c>
      <c r="C69" s="179">
        <f>H69+J69+L69+N69+P69+R69</f>
        <v>14873.671</v>
      </c>
      <c r="D69" s="180">
        <f>E69</f>
        <v>13600.475999999999</v>
      </c>
      <c r="E69" s="181">
        <f>I69+K69+M69+O69+Q69+S69</f>
        <v>13600.475999999999</v>
      </c>
      <c r="F69" s="179">
        <f>E69/B69*100</f>
        <v>48.984105214175507</v>
      </c>
      <c r="G69" s="179">
        <v>0</v>
      </c>
      <c r="H69" s="179">
        <f t="shared" ref="H69:AE69" si="24">H76+H83+H90</f>
        <v>3549.9259999999999</v>
      </c>
      <c r="I69" s="179">
        <f t="shared" si="24"/>
        <v>1704.848</v>
      </c>
      <c r="J69" s="179">
        <f t="shared" si="24"/>
        <v>2293.0390000000002</v>
      </c>
      <c r="K69" s="179">
        <f t="shared" si="24"/>
        <v>2351.4690000000001</v>
      </c>
      <c r="L69" s="179">
        <f t="shared" si="24"/>
        <v>1823.9069999999999</v>
      </c>
      <c r="M69" s="179">
        <f t="shared" si="24"/>
        <v>1933.69</v>
      </c>
      <c r="N69" s="179">
        <f t="shared" si="24"/>
        <v>2676.9009999999998</v>
      </c>
      <c r="O69" s="179">
        <f t="shared" si="24"/>
        <v>1813.9850000000001</v>
      </c>
      <c r="P69" s="179">
        <f t="shared" si="24"/>
        <v>2705.8910000000001</v>
      </c>
      <c r="Q69" s="179">
        <f t="shared" si="24"/>
        <v>3084.489</v>
      </c>
      <c r="R69" s="179">
        <f t="shared" si="24"/>
        <v>1824.0070000000001</v>
      </c>
      <c r="S69" s="179">
        <f t="shared" si="24"/>
        <v>2711.9949999999999</v>
      </c>
      <c r="T69" s="179">
        <f t="shared" si="24"/>
        <v>2713.6010000000001</v>
      </c>
      <c r="U69" s="179">
        <f t="shared" si="24"/>
        <v>0</v>
      </c>
      <c r="V69" s="179">
        <f t="shared" si="24"/>
        <v>2081.511</v>
      </c>
      <c r="W69" s="179">
        <f t="shared" si="24"/>
        <v>0</v>
      </c>
      <c r="X69" s="179">
        <f t="shared" si="24"/>
        <v>1823.9070000000002</v>
      </c>
      <c r="Y69" s="179">
        <f t="shared" si="24"/>
        <v>0</v>
      </c>
      <c r="Z69" s="179">
        <f t="shared" si="24"/>
        <v>2676.9030000000002</v>
      </c>
      <c r="AA69" s="179">
        <f t="shared" si="24"/>
        <v>0</v>
      </c>
      <c r="AB69" s="179">
        <f t="shared" si="24"/>
        <v>2081.5120000000002</v>
      </c>
      <c r="AC69" s="179">
        <f t="shared" si="24"/>
        <v>0</v>
      </c>
      <c r="AD69" s="179">
        <f t="shared" si="24"/>
        <v>1513.9750000000001</v>
      </c>
      <c r="AE69" s="179">
        <f t="shared" si="24"/>
        <v>0</v>
      </c>
      <c r="AF69" s="182"/>
      <c r="AG69" s="175"/>
      <c r="AH69" s="654"/>
    </row>
    <row r="70" spans="1:34" ht="49.5" x14ac:dyDescent="0.3">
      <c r="A70" s="178" t="s">
        <v>570</v>
      </c>
      <c r="B70" s="179">
        <f>B77+B84+B91</f>
        <v>728.87300000000005</v>
      </c>
      <c r="C70" s="179">
        <f>C77+C84+C91</f>
        <v>728.87300000000005</v>
      </c>
      <c r="D70" s="180">
        <f>D77+D84+D91</f>
        <v>728.88</v>
      </c>
      <c r="E70" s="181">
        <f>E77+E84+E91</f>
        <v>728.88</v>
      </c>
      <c r="F70" s="179">
        <f>G70</f>
        <v>728.88</v>
      </c>
      <c r="G70" s="179">
        <f>Q70</f>
        <v>728.88</v>
      </c>
      <c r="H70" s="179"/>
      <c r="I70" s="179"/>
      <c r="J70" s="179"/>
      <c r="K70" s="179"/>
      <c r="L70" s="179"/>
      <c r="M70" s="179"/>
      <c r="N70" s="179"/>
      <c r="O70" s="179"/>
      <c r="P70" s="179">
        <f>P77+P84+P91</f>
        <v>728.87300000000005</v>
      </c>
      <c r="Q70" s="179">
        <f>Q77+Q84+Q91</f>
        <v>728.88</v>
      </c>
      <c r="R70" s="179"/>
      <c r="S70" s="179"/>
      <c r="T70" s="179"/>
      <c r="U70" s="179"/>
      <c r="V70" s="179"/>
      <c r="W70" s="179"/>
      <c r="X70" s="179"/>
      <c r="Y70" s="179"/>
      <c r="Z70" s="179"/>
      <c r="AA70" s="179"/>
      <c r="AB70" s="179"/>
      <c r="AC70" s="179"/>
      <c r="AD70" s="179"/>
      <c r="AE70" s="179"/>
      <c r="AF70" s="182" t="s">
        <v>677</v>
      </c>
      <c r="AG70" s="175"/>
      <c r="AH70" s="654"/>
    </row>
    <row r="71" spans="1:34" x14ac:dyDescent="0.3">
      <c r="A71" s="178" t="s">
        <v>221</v>
      </c>
      <c r="B71" s="179">
        <f>H71+J71+L71+N71+P71+R71+T71+V71+X71+Z71+AB71+AD71</f>
        <v>0</v>
      </c>
      <c r="C71" s="179">
        <f>H71+J71</f>
        <v>0</v>
      </c>
      <c r="D71" s="179">
        <f t="shared" si="17"/>
        <v>0</v>
      </c>
      <c r="E71" s="179">
        <v>0</v>
      </c>
      <c r="F71" s="179">
        <v>0</v>
      </c>
      <c r="G71" s="179">
        <v>0</v>
      </c>
      <c r="H71" s="179">
        <f t="shared" ref="H71:O71" si="25">H78+H85+H92</f>
        <v>0</v>
      </c>
      <c r="I71" s="179">
        <f t="shared" si="25"/>
        <v>0</v>
      </c>
      <c r="J71" s="179">
        <f t="shared" si="25"/>
        <v>0</v>
      </c>
      <c r="K71" s="179">
        <f t="shared" si="25"/>
        <v>0</v>
      </c>
      <c r="L71" s="179">
        <f t="shared" si="25"/>
        <v>0</v>
      </c>
      <c r="M71" s="179">
        <f t="shared" si="25"/>
        <v>0</v>
      </c>
      <c r="N71" s="179">
        <f t="shared" si="25"/>
        <v>0</v>
      </c>
      <c r="O71" s="179">
        <f t="shared" si="25"/>
        <v>0</v>
      </c>
      <c r="P71" s="179">
        <f>P78+P85+P92</f>
        <v>0</v>
      </c>
      <c r="Q71" s="179">
        <f>Q78+Q85+Q92</f>
        <v>0</v>
      </c>
      <c r="R71" s="179">
        <f t="shared" ref="R71:AE71" si="26">R78+R85+R92</f>
        <v>0</v>
      </c>
      <c r="S71" s="179">
        <v>0</v>
      </c>
      <c r="T71" s="179">
        <f t="shared" si="26"/>
        <v>0</v>
      </c>
      <c r="U71" s="179">
        <f t="shared" si="26"/>
        <v>0</v>
      </c>
      <c r="V71" s="179">
        <f t="shared" si="26"/>
        <v>0</v>
      </c>
      <c r="W71" s="179">
        <f t="shared" si="26"/>
        <v>0</v>
      </c>
      <c r="X71" s="179">
        <f t="shared" si="26"/>
        <v>0</v>
      </c>
      <c r="Y71" s="179">
        <f t="shared" si="26"/>
        <v>0</v>
      </c>
      <c r="Z71" s="179">
        <f t="shared" si="26"/>
        <v>0</v>
      </c>
      <c r="AA71" s="179">
        <f t="shared" si="26"/>
        <v>0</v>
      </c>
      <c r="AB71" s="179">
        <f t="shared" si="26"/>
        <v>0</v>
      </c>
      <c r="AC71" s="179">
        <f t="shared" si="26"/>
        <v>0</v>
      </c>
      <c r="AD71" s="179">
        <f t="shared" si="26"/>
        <v>0</v>
      </c>
      <c r="AE71" s="179">
        <f t="shared" si="26"/>
        <v>0</v>
      </c>
      <c r="AF71" s="182"/>
      <c r="AG71" s="175"/>
      <c r="AH71" s="654"/>
    </row>
    <row r="72" spans="1:34" ht="56.25" x14ac:dyDescent="0.3">
      <c r="A72" s="190" t="s">
        <v>246</v>
      </c>
      <c r="B72" s="191">
        <f>B73</f>
        <v>5947.7950000000001</v>
      </c>
      <c r="C72" s="191">
        <f>C73</f>
        <v>3529.1129999999998</v>
      </c>
      <c r="D72" s="191">
        <f>D73</f>
        <v>2825.0860000000002</v>
      </c>
      <c r="E72" s="192">
        <f>E73</f>
        <v>2825.0860000000002</v>
      </c>
      <c r="F72" s="193">
        <v>0</v>
      </c>
      <c r="G72" s="193">
        <v>0</v>
      </c>
      <c r="H72" s="191">
        <f t="shared" ref="H72:O72" si="27">H73</f>
        <v>969.53499999999997</v>
      </c>
      <c r="I72" s="192">
        <f t="shared" si="27"/>
        <v>452.28100000000001</v>
      </c>
      <c r="J72" s="191">
        <f t="shared" si="27"/>
        <v>600.06700000000001</v>
      </c>
      <c r="K72" s="192">
        <f t="shared" si="27"/>
        <v>602.96100000000001</v>
      </c>
      <c r="L72" s="191">
        <f t="shared" si="27"/>
        <v>430.63799999999998</v>
      </c>
      <c r="M72" s="192">
        <f t="shared" si="27"/>
        <v>360.17099999999999</v>
      </c>
      <c r="N72" s="191">
        <f t="shared" si="27"/>
        <v>595.66499999999996</v>
      </c>
      <c r="O72" s="192">
        <f t="shared" si="27"/>
        <v>353.04899999999998</v>
      </c>
      <c r="P72" s="191">
        <f>P73</f>
        <v>576.59299999999996</v>
      </c>
      <c r="Q72" s="192">
        <f>Q73</f>
        <v>586.83000000000004</v>
      </c>
      <c r="R72" s="191">
        <f>R73</f>
        <v>356.61500000000001</v>
      </c>
      <c r="S72" s="192">
        <f>S73</f>
        <v>469.791</v>
      </c>
      <c r="T72" s="191">
        <f>T73</f>
        <v>489.43</v>
      </c>
      <c r="U72" s="192"/>
      <c r="V72" s="191">
        <f>V73</f>
        <v>396.72500000000002</v>
      </c>
      <c r="W72" s="192"/>
      <c r="X72" s="191">
        <f>X73</f>
        <v>356.61500000000001</v>
      </c>
      <c r="Y72" s="192"/>
      <c r="Z72" s="191">
        <f>Z73</f>
        <v>579.88400000000001</v>
      </c>
      <c r="AA72" s="192"/>
      <c r="AB72" s="191">
        <f>AB73</f>
        <v>347.83600000000001</v>
      </c>
      <c r="AC72" s="192"/>
      <c r="AD72" s="191">
        <f>AD73</f>
        <v>248.19200000000001</v>
      </c>
      <c r="AE72" s="194"/>
      <c r="AF72" s="195"/>
      <c r="AG72" s="175"/>
      <c r="AH72" s="654"/>
    </row>
    <row r="73" spans="1:34" s="177" customFormat="1" ht="75" x14ac:dyDescent="0.3">
      <c r="A73" s="196" t="s">
        <v>31</v>
      </c>
      <c r="B73" s="197">
        <f>B74+B75+B76+B77+B78</f>
        <v>5947.7950000000001</v>
      </c>
      <c r="C73" s="197">
        <f>C74+C75+C76+C77+C78</f>
        <v>3529.1129999999998</v>
      </c>
      <c r="D73" s="197">
        <f>D74+D75+D76+D77+D78</f>
        <v>2825.0860000000002</v>
      </c>
      <c r="E73" s="197">
        <f>E74+E75+E76+E77+E78</f>
        <v>2825.0860000000002</v>
      </c>
      <c r="F73" s="198">
        <v>0</v>
      </c>
      <c r="G73" s="198">
        <f>E73/C73*100</f>
        <v>80.050879640294895</v>
      </c>
      <c r="H73" s="197">
        <f>H74+H75+H76+H78</f>
        <v>969.53499999999997</v>
      </c>
      <c r="I73" s="197">
        <f>I74+I75+I76+I78</f>
        <v>452.28100000000001</v>
      </c>
      <c r="J73" s="197">
        <f>J74+J75+J76+J78</f>
        <v>600.06700000000001</v>
      </c>
      <c r="K73" s="197">
        <v>602.96100000000001</v>
      </c>
      <c r="L73" s="197">
        <f>L74+L75+L76+L78</f>
        <v>430.63799999999998</v>
      </c>
      <c r="M73" s="197">
        <f>M76</f>
        <v>360.17099999999999</v>
      </c>
      <c r="N73" s="197">
        <f>N74+N75+N76+N78</f>
        <v>595.66499999999996</v>
      </c>
      <c r="O73" s="197">
        <f>O74+O75+O76+O78</f>
        <v>353.04899999999998</v>
      </c>
      <c r="P73" s="197">
        <f>P76+P77</f>
        <v>576.59299999999996</v>
      </c>
      <c r="Q73" s="197">
        <f>Q76+P77</f>
        <v>586.83000000000004</v>
      </c>
      <c r="R73" s="197">
        <f t="shared" ref="R73:AE73" si="28">R74+R75+R76+R78</f>
        <v>356.61500000000001</v>
      </c>
      <c r="S73" s="197">
        <f t="shared" si="28"/>
        <v>469.791</v>
      </c>
      <c r="T73" s="197">
        <f t="shared" si="28"/>
        <v>489.43</v>
      </c>
      <c r="U73" s="197">
        <f t="shared" si="28"/>
        <v>0</v>
      </c>
      <c r="V73" s="197">
        <f t="shared" si="28"/>
        <v>396.72500000000002</v>
      </c>
      <c r="W73" s="197">
        <f t="shared" si="28"/>
        <v>0</v>
      </c>
      <c r="X73" s="197">
        <f t="shared" si="28"/>
        <v>356.61500000000001</v>
      </c>
      <c r="Y73" s="197">
        <f t="shared" si="28"/>
        <v>0</v>
      </c>
      <c r="Z73" s="197">
        <f t="shared" si="28"/>
        <v>579.88400000000001</v>
      </c>
      <c r="AA73" s="197">
        <f t="shared" si="28"/>
        <v>0</v>
      </c>
      <c r="AB73" s="197">
        <f t="shared" si="28"/>
        <v>347.83600000000001</v>
      </c>
      <c r="AC73" s="197">
        <f t="shared" si="28"/>
        <v>0</v>
      </c>
      <c r="AD73" s="197">
        <f t="shared" si="28"/>
        <v>248.19200000000001</v>
      </c>
      <c r="AE73" s="197">
        <f t="shared" si="28"/>
        <v>0</v>
      </c>
      <c r="AF73" s="753" t="s">
        <v>674</v>
      </c>
      <c r="AG73" s="175"/>
      <c r="AH73" s="654"/>
    </row>
    <row r="74" spans="1:34" x14ac:dyDescent="0.3">
      <c r="A74" s="199" t="s">
        <v>169</v>
      </c>
      <c r="B74" s="191">
        <f>H74+J74+L74+N74+P74+R74+T74+V74+X74+Z74+AB74+AD74</f>
        <v>0</v>
      </c>
      <c r="C74" s="191">
        <f>H74+J74</f>
        <v>0</v>
      </c>
      <c r="D74" s="191">
        <f>E74</f>
        <v>0</v>
      </c>
      <c r="E74" s="191">
        <v>0</v>
      </c>
      <c r="F74" s="193">
        <v>0</v>
      </c>
      <c r="G74" s="193">
        <v>0</v>
      </c>
      <c r="H74" s="191">
        <v>0</v>
      </c>
      <c r="I74" s="191">
        <v>0</v>
      </c>
      <c r="J74" s="191">
        <v>0</v>
      </c>
      <c r="K74" s="191">
        <v>0</v>
      </c>
      <c r="L74" s="191">
        <v>0</v>
      </c>
      <c r="M74" s="191">
        <v>0</v>
      </c>
      <c r="N74" s="191">
        <v>0</v>
      </c>
      <c r="O74" s="191">
        <v>0</v>
      </c>
      <c r="P74" s="191">
        <v>0</v>
      </c>
      <c r="Q74" s="191">
        <v>0</v>
      </c>
      <c r="R74" s="191">
        <v>0</v>
      </c>
      <c r="S74" s="191">
        <v>0</v>
      </c>
      <c r="T74" s="191"/>
      <c r="U74" s="191"/>
      <c r="V74" s="191"/>
      <c r="W74" s="191"/>
      <c r="X74" s="191"/>
      <c r="Y74" s="191"/>
      <c r="Z74" s="191"/>
      <c r="AA74" s="191"/>
      <c r="AB74" s="191"/>
      <c r="AC74" s="191"/>
      <c r="AD74" s="191"/>
      <c r="AE74" s="191"/>
      <c r="AF74" s="195"/>
      <c r="AG74" s="175"/>
      <c r="AH74" s="654"/>
    </row>
    <row r="75" spans="1:34" x14ac:dyDescent="0.3">
      <c r="A75" s="199" t="s">
        <v>32</v>
      </c>
      <c r="B75" s="191">
        <f>H75+J75+L75+N75+P75+R75+T75+V75+X75+Z75+AB75+AD75</f>
        <v>0</v>
      </c>
      <c r="C75" s="191">
        <f>H75+J75</f>
        <v>0</v>
      </c>
      <c r="D75" s="191">
        <f>E75</f>
        <v>0</v>
      </c>
      <c r="E75" s="191">
        <v>0</v>
      </c>
      <c r="F75" s="193">
        <v>0</v>
      </c>
      <c r="G75" s="193">
        <v>0</v>
      </c>
      <c r="H75" s="191">
        <v>0</v>
      </c>
      <c r="I75" s="191">
        <v>0</v>
      </c>
      <c r="J75" s="191">
        <v>0</v>
      </c>
      <c r="K75" s="191">
        <v>0</v>
      </c>
      <c r="L75" s="191">
        <v>0</v>
      </c>
      <c r="M75" s="191">
        <v>0</v>
      </c>
      <c r="N75" s="191">
        <v>0</v>
      </c>
      <c r="O75" s="191">
        <v>0</v>
      </c>
      <c r="P75" s="191">
        <v>0</v>
      </c>
      <c r="Q75" s="191">
        <v>0</v>
      </c>
      <c r="R75" s="191">
        <v>0</v>
      </c>
      <c r="S75" s="191">
        <v>0</v>
      </c>
      <c r="T75" s="191"/>
      <c r="U75" s="191"/>
      <c r="V75" s="191"/>
      <c r="W75" s="191"/>
      <c r="X75" s="191"/>
      <c r="Y75" s="191"/>
      <c r="Z75" s="191"/>
      <c r="AA75" s="191"/>
      <c r="AB75" s="191"/>
      <c r="AC75" s="191"/>
      <c r="AD75" s="191"/>
      <c r="AE75" s="191"/>
      <c r="AF75" s="195"/>
      <c r="AG75" s="175"/>
      <c r="AH75" s="654"/>
    </row>
    <row r="76" spans="1:34" s="652" customFormat="1" x14ac:dyDescent="0.3">
      <c r="A76" s="754" t="s">
        <v>33</v>
      </c>
      <c r="B76" s="680">
        <f>H76+J76+L76+N76+P76+R76+T76+V76+X76+Z76+AB76+AD76</f>
        <v>5871.7979999999998</v>
      </c>
      <c r="C76" s="680">
        <f>H76+J76+L76+N76+P76+R76</f>
        <v>3453.116</v>
      </c>
      <c r="D76" s="759">
        <f>E76</f>
        <v>2749.0860000000002</v>
      </c>
      <c r="E76" s="755">
        <f>I76+K76+M76+O76+Q76+S76</f>
        <v>2749.0860000000002</v>
      </c>
      <c r="F76" s="680">
        <v>0</v>
      </c>
      <c r="G76" s="680">
        <v>0</v>
      </c>
      <c r="H76" s="680">
        <v>969.53499999999997</v>
      </c>
      <c r="I76" s="680">
        <v>452.28100000000001</v>
      </c>
      <c r="J76" s="680">
        <v>600.06700000000001</v>
      </c>
      <c r="K76" s="680">
        <v>602.96100000000001</v>
      </c>
      <c r="L76" s="680">
        <v>430.63799999999998</v>
      </c>
      <c r="M76" s="680">
        <v>360.17099999999999</v>
      </c>
      <c r="N76" s="680">
        <v>595.66499999999996</v>
      </c>
      <c r="O76" s="680">
        <v>353.04899999999998</v>
      </c>
      <c r="P76" s="680">
        <v>500.596</v>
      </c>
      <c r="Q76" s="680">
        <v>510.83300000000003</v>
      </c>
      <c r="R76" s="680">
        <v>356.61500000000001</v>
      </c>
      <c r="S76" s="680">
        <v>469.791</v>
      </c>
      <c r="T76" s="680">
        <v>489.43</v>
      </c>
      <c r="U76" s="680"/>
      <c r="V76" s="680">
        <v>396.72500000000002</v>
      </c>
      <c r="W76" s="680"/>
      <c r="X76" s="680">
        <v>356.61500000000001</v>
      </c>
      <c r="Y76" s="680"/>
      <c r="Z76" s="680">
        <v>579.88400000000001</v>
      </c>
      <c r="AA76" s="680"/>
      <c r="AB76" s="680">
        <v>347.83600000000001</v>
      </c>
      <c r="AC76" s="680"/>
      <c r="AD76" s="680">
        <v>248.19200000000001</v>
      </c>
      <c r="AE76" s="680"/>
      <c r="AF76" s="756"/>
      <c r="AG76" s="757"/>
      <c r="AH76" s="758"/>
    </row>
    <row r="77" spans="1:34" s="652" customFormat="1" ht="49.5" x14ac:dyDescent="0.3">
      <c r="A77" s="754" t="s">
        <v>569</v>
      </c>
      <c r="B77" s="680">
        <f>P77</f>
        <v>75.997</v>
      </c>
      <c r="C77" s="680">
        <f>P77</f>
        <v>75.997</v>
      </c>
      <c r="D77" s="759">
        <f>E77</f>
        <v>76</v>
      </c>
      <c r="E77" s="755">
        <f>Q77</f>
        <v>76</v>
      </c>
      <c r="F77" s="680">
        <v>100</v>
      </c>
      <c r="G77" s="680">
        <v>100</v>
      </c>
      <c r="H77" s="680"/>
      <c r="I77" s="680"/>
      <c r="J77" s="680"/>
      <c r="K77" s="680"/>
      <c r="L77" s="680"/>
      <c r="M77" s="680"/>
      <c r="N77" s="680"/>
      <c r="O77" s="680"/>
      <c r="P77" s="680">
        <v>75.997</v>
      </c>
      <c r="Q77" s="680">
        <v>76</v>
      </c>
      <c r="R77" s="680"/>
      <c r="S77" s="680"/>
      <c r="T77" s="680"/>
      <c r="U77" s="680"/>
      <c r="V77" s="680"/>
      <c r="W77" s="680"/>
      <c r="X77" s="680"/>
      <c r="Y77" s="680"/>
      <c r="Z77" s="680"/>
      <c r="AA77" s="680"/>
      <c r="AB77" s="680"/>
      <c r="AC77" s="680"/>
      <c r="AD77" s="680"/>
      <c r="AE77" s="680"/>
      <c r="AF77" s="756"/>
      <c r="AG77" s="757"/>
      <c r="AH77" s="758"/>
    </row>
    <row r="78" spans="1:34" x14ac:dyDescent="0.3">
      <c r="A78" s="199" t="s">
        <v>221</v>
      </c>
      <c r="B78" s="191">
        <f>H78+J78+L78+N78+P78+R78+T78+V78+X78+Z78+AB78+AD78</f>
        <v>0</v>
      </c>
      <c r="C78" s="191">
        <f>H78+J78</f>
        <v>0</v>
      </c>
      <c r="D78" s="191">
        <f>E78</f>
        <v>0</v>
      </c>
      <c r="E78" s="191">
        <v>0</v>
      </c>
      <c r="F78" s="193">
        <v>0</v>
      </c>
      <c r="G78" s="193">
        <v>0</v>
      </c>
      <c r="H78" s="191">
        <v>0</v>
      </c>
      <c r="I78" s="191">
        <v>0</v>
      </c>
      <c r="J78" s="191">
        <v>0</v>
      </c>
      <c r="K78" s="191">
        <v>0</v>
      </c>
      <c r="L78" s="191">
        <v>0</v>
      </c>
      <c r="M78" s="191">
        <v>0</v>
      </c>
      <c r="N78" s="191">
        <v>0</v>
      </c>
      <c r="O78" s="191">
        <v>0</v>
      </c>
      <c r="P78" s="191">
        <v>0</v>
      </c>
      <c r="Q78" s="191">
        <v>0</v>
      </c>
      <c r="R78" s="191">
        <v>0</v>
      </c>
      <c r="S78" s="191">
        <v>0</v>
      </c>
      <c r="T78" s="191"/>
      <c r="U78" s="191"/>
      <c r="V78" s="191"/>
      <c r="W78" s="191"/>
      <c r="X78" s="191"/>
      <c r="Y78" s="191"/>
      <c r="Z78" s="191"/>
      <c r="AA78" s="191"/>
      <c r="AB78" s="191"/>
      <c r="AC78" s="191"/>
      <c r="AD78" s="191"/>
      <c r="AE78" s="191"/>
      <c r="AF78" s="195"/>
      <c r="AG78" s="175"/>
      <c r="AH78" s="654"/>
    </row>
    <row r="79" spans="1:34" ht="40.15" customHeight="1" x14ac:dyDescent="0.3">
      <c r="A79" s="190" t="s">
        <v>247</v>
      </c>
      <c r="B79" s="191"/>
      <c r="C79" s="191"/>
      <c r="D79" s="191"/>
      <c r="E79" s="192"/>
      <c r="F79" s="193"/>
      <c r="G79" s="193"/>
      <c r="H79" s="191"/>
      <c r="I79" s="192"/>
      <c r="J79" s="191"/>
      <c r="K79" s="192"/>
      <c r="L79" s="191"/>
      <c r="M79" s="192"/>
      <c r="N79" s="191"/>
      <c r="O79" s="192"/>
      <c r="P79" s="191"/>
      <c r="Q79" s="192"/>
      <c r="R79" s="191"/>
      <c r="S79" s="192"/>
      <c r="T79" s="191"/>
      <c r="U79" s="192"/>
      <c r="V79" s="191"/>
      <c r="W79" s="192"/>
      <c r="X79" s="191"/>
      <c r="Y79" s="192"/>
      <c r="Z79" s="191"/>
      <c r="AA79" s="192"/>
      <c r="AB79" s="191"/>
      <c r="AC79" s="192"/>
      <c r="AD79" s="191"/>
      <c r="AE79" s="194"/>
      <c r="AF79" s="195"/>
      <c r="AG79" s="175"/>
      <c r="AH79" s="654"/>
    </row>
    <row r="80" spans="1:34" s="177" customFormat="1" ht="99.6" customHeight="1" x14ac:dyDescent="0.3">
      <c r="A80" s="196" t="s">
        <v>31</v>
      </c>
      <c r="B80" s="197">
        <f>B81+B82+B83+B84+B85</f>
        <v>3817.7949999999996</v>
      </c>
      <c r="C80" s="197">
        <f>C81+C82+C83+C84+C85</f>
        <v>2104.2139999999999</v>
      </c>
      <c r="D80" s="197">
        <f>D81+D82+D83+D85</f>
        <v>1881.3280000000002</v>
      </c>
      <c r="E80" s="197">
        <f>E81+E82+E83+E85</f>
        <v>1881.3280000000002</v>
      </c>
      <c r="F80" s="198">
        <f>F81+F82+F83+F85</f>
        <v>51.321075890665078</v>
      </c>
      <c r="G80" s="198">
        <f>E80/C80*100</f>
        <v>89.407636295547903</v>
      </c>
      <c r="H80" s="197">
        <f>H81+H82+H83+H85</f>
        <v>512.93100000000004</v>
      </c>
      <c r="I80" s="197">
        <f>I81+I82+I83+I85</f>
        <v>205.011</v>
      </c>
      <c r="J80" s="197">
        <f>J81+J82+J83+J85</f>
        <v>308.41800000000001</v>
      </c>
      <c r="K80" s="197">
        <f>K83</f>
        <v>264.72800000000001</v>
      </c>
      <c r="L80" s="197">
        <f>L81+L82+L83+L85</f>
        <v>245.05500000000001</v>
      </c>
      <c r="M80" s="197">
        <f>M83</f>
        <v>267.84399999999999</v>
      </c>
      <c r="N80" s="197">
        <f>N81+N82+N83+N85</f>
        <v>360.76100000000002</v>
      </c>
      <c r="O80" s="197">
        <f>O83</f>
        <v>212.29400000000001</v>
      </c>
      <c r="P80" s="197">
        <f>P83+P84</f>
        <v>431.99400000000003</v>
      </c>
      <c r="Q80" s="197">
        <f>Q83+Q84</f>
        <v>837.16200000000003</v>
      </c>
      <c r="R80" s="197">
        <f>R81+R82+R83+R85</f>
        <v>245.05500000000001</v>
      </c>
      <c r="S80" s="197">
        <f>S83+S84</f>
        <v>246.28899999999999</v>
      </c>
      <c r="T80" s="197">
        <f>T81+T82+T83+T85</f>
        <v>360.76100000000002</v>
      </c>
      <c r="U80" s="197"/>
      <c r="V80" s="197">
        <f>V81+V82+V83+V85</f>
        <v>279.99799999999999</v>
      </c>
      <c r="W80" s="197"/>
      <c r="X80" s="197">
        <f>X81+X82+X83+X85</f>
        <v>245.05500000000001</v>
      </c>
      <c r="Y80" s="197"/>
      <c r="Z80" s="197">
        <f>Z81+Z82+Z83+Z85</f>
        <v>360.76100000000002</v>
      </c>
      <c r="AA80" s="197"/>
      <c r="AB80" s="197">
        <f>AB81+AB82+AB83+AB85</f>
        <v>279.99799999999999</v>
      </c>
      <c r="AC80" s="197"/>
      <c r="AD80" s="197">
        <f>AD81+AD82+AD83+AD85</f>
        <v>187.00800000000001</v>
      </c>
      <c r="AE80" s="197"/>
      <c r="AF80" s="753" t="s">
        <v>651</v>
      </c>
      <c r="AG80" s="175"/>
      <c r="AH80" s="654"/>
    </row>
    <row r="81" spans="1:34" x14ac:dyDescent="0.3">
      <c r="A81" s="199" t="s">
        <v>169</v>
      </c>
      <c r="B81" s="191">
        <f>H81+J81+L81+N81+P81+R81+T81+V81+X81+Z81+AB81+AD81</f>
        <v>0</v>
      </c>
      <c r="C81" s="191">
        <f>H81+J81</f>
        <v>0</v>
      </c>
      <c r="D81" s="191">
        <f>E81</f>
        <v>0</v>
      </c>
      <c r="E81" s="191">
        <v>0</v>
      </c>
      <c r="F81" s="193">
        <v>0</v>
      </c>
      <c r="G81" s="193">
        <v>0</v>
      </c>
      <c r="H81" s="191">
        <v>0</v>
      </c>
      <c r="I81" s="191">
        <v>0</v>
      </c>
      <c r="J81" s="191">
        <v>0</v>
      </c>
      <c r="K81" s="191">
        <v>0</v>
      </c>
      <c r="L81" s="191">
        <v>0</v>
      </c>
      <c r="M81" s="191">
        <v>0</v>
      </c>
      <c r="N81" s="191">
        <v>0</v>
      </c>
      <c r="O81" s="191">
        <v>0</v>
      </c>
      <c r="P81" s="191">
        <v>0</v>
      </c>
      <c r="Q81" s="191">
        <v>0</v>
      </c>
      <c r="R81" s="191">
        <v>0</v>
      </c>
      <c r="S81" s="191">
        <v>0</v>
      </c>
      <c r="T81" s="191"/>
      <c r="U81" s="191"/>
      <c r="V81" s="191"/>
      <c r="W81" s="191"/>
      <c r="X81" s="191"/>
      <c r="Y81" s="191"/>
      <c r="Z81" s="191"/>
      <c r="AA81" s="191"/>
      <c r="AB81" s="191"/>
      <c r="AC81" s="191"/>
      <c r="AD81" s="191"/>
      <c r="AE81" s="191"/>
      <c r="AF81" s="195"/>
      <c r="AG81" s="175"/>
      <c r="AH81" s="654"/>
    </row>
    <row r="82" spans="1:34" x14ac:dyDescent="0.3">
      <c r="A82" s="199" t="s">
        <v>32</v>
      </c>
      <c r="B82" s="191">
        <f>H82+J82+L82+N82+P82+R82+T82+V82+X82+Z82+AB82+AD82</f>
        <v>0</v>
      </c>
      <c r="C82" s="191">
        <f>H82+J82</f>
        <v>0</v>
      </c>
      <c r="D82" s="191">
        <f>E82</f>
        <v>0</v>
      </c>
      <c r="E82" s="191">
        <v>0</v>
      </c>
      <c r="F82" s="193">
        <v>0</v>
      </c>
      <c r="G82" s="193">
        <v>0</v>
      </c>
      <c r="H82" s="191">
        <v>0</v>
      </c>
      <c r="I82" s="191">
        <v>0</v>
      </c>
      <c r="J82" s="191">
        <v>0</v>
      </c>
      <c r="K82" s="191">
        <v>0</v>
      </c>
      <c r="L82" s="191">
        <v>0</v>
      </c>
      <c r="M82" s="191">
        <v>0</v>
      </c>
      <c r="N82" s="191">
        <v>0</v>
      </c>
      <c r="O82" s="191">
        <v>0</v>
      </c>
      <c r="P82" s="191">
        <v>0</v>
      </c>
      <c r="Q82" s="191">
        <v>0</v>
      </c>
      <c r="R82" s="191">
        <v>0</v>
      </c>
      <c r="S82" s="191">
        <v>0</v>
      </c>
      <c r="T82" s="191"/>
      <c r="U82" s="191"/>
      <c r="V82" s="191"/>
      <c r="W82" s="191"/>
      <c r="X82" s="191"/>
      <c r="Y82" s="191"/>
      <c r="Z82" s="191"/>
      <c r="AA82" s="191"/>
      <c r="AB82" s="191"/>
      <c r="AC82" s="191"/>
      <c r="AD82" s="191"/>
      <c r="AE82" s="191"/>
      <c r="AF82" s="195"/>
      <c r="AG82" s="175"/>
      <c r="AH82" s="654"/>
    </row>
    <row r="83" spans="1:34" s="652" customFormat="1" x14ac:dyDescent="0.3">
      <c r="A83" s="754" t="s">
        <v>33</v>
      </c>
      <c r="B83" s="680">
        <f>H83+J83+L83+N83+P83+R83+T83+V83+X83+Z83+AB83+AD83</f>
        <v>3665.7999999999997</v>
      </c>
      <c r="C83" s="680">
        <f>H83+J83+L83+N83+P83+R83</f>
        <v>1952.2190000000001</v>
      </c>
      <c r="D83" s="759">
        <f>E83</f>
        <v>1881.3280000000002</v>
      </c>
      <c r="E83" s="755">
        <f>I83+K83+M83+O83+Q83+S83</f>
        <v>1881.3280000000002</v>
      </c>
      <c r="F83" s="680">
        <f>E83/B83*100</f>
        <v>51.321075890665078</v>
      </c>
      <c r="G83" s="680">
        <f>E83/C83*100</f>
        <v>96.368696339908595</v>
      </c>
      <c r="H83" s="680">
        <v>512.93100000000004</v>
      </c>
      <c r="I83" s="680">
        <v>205.011</v>
      </c>
      <c r="J83" s="680">
        <v>308.41800000000001</v>
      </c>
      <c r="K83" s="680">
        <v>264.72800000000001</v>
      </c>
      <c r="L83" s="680">
        <v>245.05500000000001</v>
      </c>
      <c r="M83" s="680">
        <v>267.84399999999999</v>
      </c>
      <c r="N83" s="680">
        <v>360.76100000000002</v>
      </c>
      <c r="O83" s="680">
        <v>212.29400000000001</v>
      </c>
      <c r="P83" s="680">
        <v>279.99900000000002</v>
      </c>
      <c r="Q83" s="680">
        <v>685.16200000000003</v>
      </c>
      <c r="R83" s="680">
        <v>245.05500000000001</v>
      </c>
      <c r="S83" s="680">
        <v>246.28899999999999</v>
      </c>
      <c r="T83" s="680">
        <v>360.76100000000002</v>
      </c>
      <c r="U83" s="680"/>
      <c r="V83" s="680">
        <v>279.99799999999999</v>
      </c>
      <c r="W83" s="680"/>
      <c r="X83" s="680">
        <v>245.05500000000001</v>
      </c>
      <c r="Y83" s="680"/>
      <c r="Z83" s="680">
        <v>360.76100000000002</v>
      </c>
      <c r="AA83" s="680"/>
      <c r="AB83" s="680">
        <v>279.99799999999999</v>
      </c>
      <c r="AC83" s="680"/>
      <c r="AD83" s="680">
        <v>187.00800000000001</v>
      </c>
      <c r="AE83" s="680"/>
      <c r="AF83" s="925"/>
      <c r="AG83" s="757"/>
      <c r="AH83" s="758"/>
    </row>
    <row r="84" spans="1:34" s="652" customFormat="1" ht="49.5" x14ac:dyDescent="0.3">
      <c r="A84" s="754" t="s">
        <v>569</v>
      </c>
      <c r="B84" s="680">
        <f>P84</f>
        <v>151.995</v>
      </c>
      <c r="C84" s="680">
        <f>P84</f>
        <v>151.995</v>
      </c>
      <c r="D84" s="759">
        <f>E84</f>
        <v>152</v>
      </c>
      <c r="E84" s="755">
        <f>Q84</f>
        <v>152</v>
      </c>
      <c r="F84" s="680">
        <v>100</v>
      </c>
      <c r="G84" s="680">
        <v>100</v>
      </c>
      <c r="H84" s="680"/>
      <c r="I84" s="680"/>
      <c r="J84" s="680"/>
      <c r="K84" s="680"/>
      <c r="L84" s="680"/>
      <c r="M84" s="680"/>
      <c r="N84" s="680"/>
      <c r="O84" s="680"/>
      <c r="P84" s="680">
        <v>151.995</v>
      </c>
      <c r="Q84" s="680">
        <v>152</v>
      </c>
      <c r="R84" s="680"/>
      <c r="S84" s="680"/>
      <c r="T84" s="680"/>
      <c r="U84" s="680"/>
      <c r="V84" s="680"/>
      <c r="W84" s="680"/>
      <c r="X84" s="680"/>
      <c r="Y84" s="680"/>
      <c r="Z84" s="680"/>
      <c r="AA84" s="680"/>
      <c r="AB84" s="680"/>
      <c r="AC84" s="680"/>
      <c r="AD84" s="680"/>
      <c r="AE84" s="680"/>
      <c r="AF84" s="756"/>
      <c r="AG84" s="757"/>
      <c r="AH84" s="758"/>
    </row>
    <row r="85" spans="1:34" x14ac:dyDescent="0.3">
      <c r="A85" s="199" t="s">
        <v>221</v>
      </c>
      <c r="B85" s="191">
        <f>H85+J85+L85+N85+P85+R85+T85+V85+X85+Z85+AB85+AD85</f>
        <v>0</v>
      </c>
      <c r="C85" s="191">
        <f>H85+J85</f>
        <v>0</v>
      </c>
      <c r="D85" s="191">
        <v>0</v>
      </c>
      <c r="E85" s="191">
        <v>0</v>
      </c>
      <c r="F85" s="193">
        <v>0</v>
      </c>
      <c r="G85" s="193">
        <v>0</v>
      </c>
      <c r="H85" s="191">
        <v>0</v>
      </c>
      <c r="I85" s="191">
        <v>0</v>
      </c>
      <c r="J85" s="191">
        <v>0</v>
      </c>
      <c r="K85" s="191">
        <v>0</v>
      </c>
      <c r="L85" s="191">
        <v>0</v>
      </c>
      <c r="M85" s="191">
        <v>0</v>
      </c>
      <c r="N85" s="191">
        <v>0</v>
      </c>
      <c r="O85" s="191">
        <v>0</v>
      </c>
      <c r="P85" s="191">
        <v>0</v>
      </c>
      <c r="Q85" s="191">
        <v>0</v>
      </c>
      <c r="R85" s="191">
        <v>0</v>
      </c>
      <c r="S85" s="191">
        <v>0</v>
      </c>
      <c r="T85" s="191"/>
      <c r="U85" s="191"/>
      <c r="V85" s="191"/>
      <c r="W85" s="191"/>
      <c r="X85" s="191"/>
      <c r="Y85" s="191"/>
      <c r="Z85" s="191"/>
      <c r="AA85" s="191"/>
      <c r="AB85" s="191"/>
      <c r="AC85" s="191"/>
      <c r="AD85" s="191"/>
      <c r="AE85" s="191"/>
      <c r="AF85" s="195"/>
      <c r="AG85" s="175"/>
      <c r="AH85" s="654"/>
    </row>
    <row r="86" spans="1:34" ht="35.450000000000003" customHeight="1" x14ac:dyDescent="0.3">
      <c r="A86" s="190" t="s">
        <v>248</v>
      </c>
      <c r="B86" s="191"/>
      <c r="C86" s="191"/>
      <c r="D86" s="191"/>
      <c r="E86" s="192"/>
      <c r="F86" s="193"/>
      <c r="G86" s="193"/>
      <c r="H86" s="191"/>
      <c r="I86" s="192"/>
      <c r="J86" s="191"/>
      <c r="K86" s="192"/>
      <c r="L86" s="191"/>
      <c r="M86" s="192"/>
      <c r="N86" s="191"/>
      <c r="O86" s="192"/>
      <c r="P86" s="191"/>
      <c r="Q86" s="192"/>
      <c r="R86" s="191"/>
      <c r="S86" s="192"/>
      <c r="T86" s="191"/>
      <c r="U86" s="192"/>
      <c r="V86" s="191"/>
      <c r="W86" s="192"/>
      <c r="X86" s="191"/>
      <c r="Y86" s="192"/>
      <c r="Z86" s="191"/>
      <c r="AA86" s="192"/>
      <c r="AB86" s="191"/>
      <c r="AC86" s="192"/>
      <c r="AD86" s="191"/>
      <c r="AE86" s="194"/>
      <c r="AF86" s="195"/>
      <c r="AG86" s="175"/>
      <c r="AH86" s="654"/>
    </row>
    <row r="87" spans="1:34" s="177" customFormat="1" x14ac:dyDescent="0.3">
      <c r="A87" s="196" t="s">
        <v>31</v>
      </c>
      <c r="B87" s="197">
        <f>B88+B89+B90+B91+B92</f>
        <v>18728.363000000005</v>
      </c>
      <c r="C87" s="197">
        <f>C88+C89+C90+C91+C92</f>
        <v>9969.2169999999987</v>
      </c>
      <c r="D87" s="197">
        <f>D88+D89+D90+D92+D91</f>
        <v>9470.9419999999991</v>
      </c>
      <c r="E87" s="197">
        <f>E88+E89+E90+E91+E92</f>
        <v>9470.9419999999991</v>
      </c>
      <c r="F87" s="198">
        <f>F88+F89+F90+F92</f>
        <v>49.211745209788155</v>
      </c>
      <c r="G87" s="198">
        <f>E87/C87*100</f>
        <v>95.001864238685954</v>
      </c>
      <c r="H87" s="197">
        <f>H88+H89+H90+H92</f>
        <v>2067.46</v>
      </c>
      <c r="I87" s="197">
        <f>I88+I89+I90+I92</f>
        <v>1047.556</v>
      </c>
      <c r="J87" s="197">
        <f>J88+J89+J90+J92</f>
        <v>1384.5540000000001</v>
      </c>
      <c r="K87" s="197">
        <f>K90</f>
        <v>1483.78</v>
      </c>
      <c r="L87" s="197">
        <f>L88+L89+L90+L92</f>
        <v>1148.2139999999999</v>
      </c>
      <c r="M87" s="197">
        <f>M90</f>
        <v>1305.675</v>
      </c>
      <c r="N87" s="197">
        <f>N88+N89+N90+N92</f>
        <v>1720.4749999999999</v>
      </c>
      <c r="O87" s="197">
        <f>O90</f>
        <v>1248.6420000000001</v>
      </c>
      <c r="P87" s="197">
        <f>P90+P91</f>
        <v>2426.1770000000001</v>
      </c>
      <c r="Q87" s="197">
        <f>Q90+Q91</f>
        <v>2389.3739999999998</v>
      </c>
      <c r="R87" s="197">
        <f>R88+R89+R90+R92</f>
        <v>1222.337</v>
      </c>
      <c r="S87" s="197">
        <f>S90+S91</f>
        <v>1995.915</v>
      </c>
      <c r="T87" s="197">
        <f>T88+T89+T90+T92</f>
        <v>1863.41</v>
      </c>
      <c r="U87" s="197"/>
      <c r="V87" s="197">
        <f>V88+V89+V90+V92</f>
        <v>1404.788</v>
      </c>
      <c r="W87" s="197"/>
      <c r="X87" s="197">
        <f>X88+X89+X90+X92</f>
        <v>1222.2370000000001</v>
      </c>
      <c r="Y87" s="197"/>
      <c r="Z87" s="197">
        <f>Z88+Z89+Z90+Z92</f>
        <v>1736.258</v>
      </c>
      <c r="AA87" s="197"/>
      <c r="AB87" s="197">
        <f>AB88+AB89+AB90+AB92</f>
        <v>1453.6780000000001</v>
      </c>
      <c r="AC87" s="197"/>
      <c r="AD87" s="197">
        <f>AD88+AD89+AD90+AD92</f>
        <v>1078.7750000000001</v>
      </c>
      <c r="AE87" s="197"/>
      <c r="AF87" s="195"/>
      <c r="AG87" s="175"/>
      <c r="AH87" s="654"/>
    </row>
    <row r="88" spans="1:34" x14ac:dyDescent="0.3">
      <c r="A88" s="199" t="s">
        <v>169</v>
      </c>
      <c r="B88" s="191">
        <f>H88+J88+L88+N88+P88+R88+T88+V88+X88+Z88+AB88+AD88</f>
        <v>0</v>
      </c>
      <c r="C88" s="191">
        <f>H88+J88</f>
        <v>0</v>
      </c>
      <c r="D88" s="191">
        <f>E88</f>
        <v>0</v>
      </c>
      <c r="E88" s="191">
        <v>0</v>
      </c>
      <c r="F88" s="193">
        <v>0</v>
      </c>
      <c r="G88" s="193">
        <v>0</v>
      </c>
      <c r="H88" s="191">
        <v>0</v>
      </c>
      <c r="I88" s="191">
        <v>0</v>
      </c>
      <c r="J88" s="191">
        <v>0</v>
      </c>
      <c r="K88" s="191">
        <v>0</v>
      </c>
      <c r="L88" s="191">
        <v>0</v>
      </c>
      <c r="M88" s="191">
        <v>0</v>
      </c>
      <c r="N88" s="191">
        <v>0</v>
      </c>
      <c r="O88" s="191">
        <v>0</v>
      </c>
      <c r="P88" s="191">
        <v>0</v>
      </c>
      <c r="Q88" s="191">
        <v>0</v>
      </c>
      <c r="R88" s="191">
        <v>0</v>
      </c>
      <c r="S88" s="191">
        <v>0</v>
      </c>
      <c r="T88" s="191"/>
      <c r="U88" s="191"/>
      <c r="V88" s="191"/>
      <c r="W88" s="191"/>
      <c r="X88" s="191"/>
      <c r="Y88" s="191"/>
      <c r="Z88" s="191"/>
      <c r="AA88" s="191"/>
      <c r="AB88" s="191"/>
      <c r="AC88" s="191"/>
      <c r="AD88" s="191"/>
      <c r="AE88" s="191"/>
      <c r="AF88" s="195"/>
      <c r="AG88" s="175"/>
      <c r="AH88" s="654"/>
    </row>
    <row r="89" spans="1:34" x14ac:dyDescent="0.3">
      <c r="A89" s="199" t="s">
        <v>32</v>
      </c>
      <c r="B89" s="191">
        <f>H89+J89+L89+N89+P89+R89+T89+V89+X89+Z89+AB89+AD89</f>
        <v>0</v>
      </c>
      <c r="C89" s="191">
        <f>H89+J89</f>
        <v>0</v>
      </c>
      <c r="D89" s="191">
        <f>E89</f>
        <v>0</v>
      </c>
      <c r="E89" s="191">
        <v>0</v>
      </c>
      <c r="F89" s="193">
        <v>0</v>
      </c>
      <c r="G89" s="193">
        <v>0</v>
      </c>
      <c r="H89" s="191">
        <v>0</v>
      </c>
      <c r="I89" s="191">
        <v>0</v>
      </c>
      <c r="J89" s="191">
        <v>0</v>
      </c>
      <c r="K89" s="191">
        <v>0</v>
      </c>
      <c r="L89" s="191">
        <v>0</v>
      </c>
      <c r="M89" s="191">
        <v>0</v>
      </c>
      <c r="N89" s="191">
        <v>0</v>
      </c>
      <c r="O89" s="191">
        <v>0</v>
      </c>
      <c r="P89" s="191">
        <v>0</v>
      </c>
      <c r="Q89" s="191">
        <v>0</v>
      </c>
      <c r="R89" s="191">
        <v>0</v>
      </c>
      <c r="S89" s="191">
        <v>0</v>
      </c>
      <c r="T89" s="191"/>
      <c r="U89" s="191"/>
      <c r="V89" s="191"/>
      <c r="W89" s="191"/>
      <c r="X89" s="191"/>
      <c r="Y89" s="191"/>
      <c r="Z89" s="191"/>
      <c r="AA89" s="191"/>
      <c r="AB89" s="191"/>
      <c r="AC89" s="191"/>
      <c r="AD89" s="191"/>
      <c r="AE89" s="191"/>
      <c r="AF89" s="195"/>
      <c r="AG89" s="175"/>
      <c r="AH89" s="654"/>
    </row>
    <row r="90" spans="1:34" s="652" customFormat="1" ht="60" x14ac:dyDescent="0.3">
      <c r="A90" s="754" t="s">
        <v>33</v>
      </c>
      <c r="B90" s="975">
        <f>H90+J90+L90+N90+P90+R90+T90+V90+X90+Z90+AB90+AD90</f>
        <v>18227.482000000004</v>
      </c>
      <c r="C90" s="975">
        <f>H90+J90+L90+N90+P90+R90</f>
        <v>9468.3359999999993</v>
      </c>
      <c r="D90" s="191">
        <f>E90</f>
        <v>8970.0619999999999</v>
      </c>
      <c r="E90" s="975">
        <f>I90+K90+M90+O90+Q90+S90</f>
        <v>8970.0619999999999</v>
      </c>
      <c r="F90" s="191">
        <f>E90/B90*100</f>
        <v>49.211745209788155</v>
      </c>
      <c r="G90" s="191">
        <f>E90/C90*100</f>
        <v>94.737470237642611</v>
      </c>
      <c r="H90" s="191">
        <v>2067.46</v>
      </c>
      <c r="I90" s="191">
        <v>1047.556</v>
      </c>
      <c r="J90" s="191">
        <v>1384.5540000000001</v>
      </c>
      <c r="K90" s="191">
        <v>1483.78</v>
      </c>
      <c r="L90" s="191">
        <v>1148.2139999999999</v>
      </c>
      <c r="M90" s="191">
        <v>1305.675</v>
      </c>
      <c r="N90" s="191">
        <v>1720.4749999999999</v>
      </c>
      <c r="O90" s="191">
        <v>1248.6420000000001</v>
      </c>
      <c r="P90" s="191">
        <v>1925.296</v>
      </c>
      <c r="Q90" s="191">
        <v>1888.4939999999999</v>
      </c>
      <c r="R90" s="191">
        <v>1222.337</v>
      </c>
      <c r="S90" s="191">
        <v>1995.915</v>
      </c>
      <c r="T90" s="191">
        <v>1863.41</v>
      </c>
      <c r="U90" s="191"/>
      <c r="V90" s="191">
        <v>1404.788</v>
      </c>
      <c r="W90" s="191"/>
      <c r="X90" s="191">
        <v>1222.2370000000001</v>
      </c>
      <c r="Y90" s="191"/>
      <c r="Z90" s="191">
        <v>1736.258</v>
      </c>
      <c r="AA90" s="191"/>
      <c r="AB90" s="191">
        <v>1453.6780000000001</v>
      </c>
      <c r="AC90" s="680"/>
      <c r="AD90" s="680">
        <v>1078.7750000000001</v>
      </c>
      <c r="AE90" s="680"/>
      <c r="AF90" s="753" t="s">
        <v>675</v>
      </c>
      <c r="AG90" s="757"/>
      <c r="AH90" s="758"/>
    </row>
    <row r="91" spans="1:34" s="652" customFormat="1" ht="49.5" x14ac:dyDescent="0.3">
      <c r="A91" s="754" t="s">
        <v>569</v>
      </c>
      <c r="B91" s="755">
        <f>P91</f>
        <v>500.88099999999997</v>
      </c>
      <c r="C91" s="755">
        <f>P91</f>
        <v>500.88099999999997</v>
      </c>
      <c r="D91" s="759">
        <f>E91</f>
        <v>500.88</v>
      </c>
      <c r="E91" s="755">
        <f>Q91</f>
        <v>500.88</v>
      </c>
      <c r="F91" s="680">
        <v>100</v>
      </c>
      <c r="G91" s="680">
        <v>100</v>
      </c>
      <c r="H91" s="680"/>
      <c r="I91" s="680"/>
      <c r="J91" s="680"/>
      <c r="K91" s="680"/>
      <c r="L91" s="680"/>
      <c r="M91" s="680"/>
      <c r="N91" s="680"/>
      <c r="O91" s="680"/>
      <c r="P91" s="680">
        <v>500.88099999999997</v>
      </c>
      <c r="Q91" s="680">
        <v>500.88</v>
      </c>
      <c r="R91" s="680"/>
      <c r="S91" s="680"/>
      <c r="T91" s="680"/>
      <c r="U91" s="680"/>
      <c r="V91" s="680"/>
      <c r="W91" s="680"/>
      <c r="X91" s="680"/>
      <c r="Y91" s="680"/>
      <c r="Z91" s="680"/>
      <c r="AA91" s="680"/>
      <c r="AB91" s="680"/>
      <c r="AC91" s="680"/>
      <c r="AD91" s="680"/>
      <c r="AE91" s="680"/>
      <c r="AF91" s="753"/>
      <c r="AG91" s="757"/>
      <c r="AH91" s="758"/>
    </row>
    <row r="92" spans="1:34" x14ac:dyDescent="0.3">
      <c r="A92" s="199" t="s">
        <v>221</v>
      </c>
      <c r="B92" s="191">
        <f>H92+J92+L92+N92+P92+R92+T92+V92+X92+Z92+AB92+AD92</f>
        <v>0</v>
      </c>
      <c r="C92" s="191">
        <f>H92+J92</f>
        <v>0</v>
      </c>
      <c r="D92" s="191">
        <f>E92</f>
        <v>0</v>
      </c>
      <c r="E92" s="191">
        <v>0</v>
      </c>
      <c r="F92" s="193">
        <v>0</v>
      </c>
      <c r="G92" s="193">
        <v>0</v>
      </c>
      <c r="H92" s="191">
        <v>0</v>
      </c>
      <c r="I92" s="191">
        <v>0</v>
      </c>
      <c r="J92" s="191">
        <v>0</v>
      </c>
      <c r="K92" s="191">
        <v>0</v>
      </c>
      <c r="L92" s="191">
        <v>0</v>
      </c>
      <c r="M92" s="191">
        <v>0</v>
      </c>
      <c r="N92" s="191">
        <v>0</v>
      </c>
      <c r="O92" s="191">
        <v>0</v>
      </c>
      <c r="P92" s="191">
        <v>0</v>
      </c>
      <c r="Q92" s="191">
        <v>0</v>
      </c>
      <c r="R92" s="191">
        <v>0</v>
      </c>
      <c r="S92" s="191" t="s">
        <v>466</v>
      </c>
      <c r="T92" s="191"/>
      <c r="U92" s="191"/>
      <c r="V92" s="191"/>
      <c r="W92" s="191"/>
      <c r="X92" s="191"/>
      <c r="Y92" s="191"/>
      <c r="Z92" s="191"/>
      <c r="AA92" s="191"/>
      <c r="AB92" s="191"/>
      <c r="AC92" s="191"/>
      <c r="AD92" s="191"/>
      <c r="AE92" s="191"/>
      <c r="AF92" s="195"/>
      <c r="AG92" s="175"/>
      <c r="AH92" s="654"/>
    </row>
    <row r="93" spans="1:34" s="177" customFormat="1" x14ac:dyDescent="0.3">
      <c r="A93" s="148" t="s">
        <v>233</v>
      </c>
      <c r="B93" s="206">
        <f>B94+B95+B96+B97+B98</f>
        <v>54162.947999999997</v>
      </c>
      <c r="C93" s="206">
        <f>C94+C95+C96+C97+C98</f>
        <v>29892.20925</v>
      </c>
      <c r="D93" s="206">
        <f>D96</f>
        <v>26877.492999999999</v>
      </c>
      <c r="E93" s="206">
        <f>E94+E95+E96+E98</f>
        <v>26877.492999999999</v>
      </c>
      <c r="F93" s="206">
        <f>F96</f>
        <v>14.42</v>
      </c>
      <c r="G93" s="206">
        <f>G96</f>
        <v>74.66</v>
      </c>
      <c r="H93" s="206">
        <f>H94+H95+H96+H98</f>
        <v>10203.874809999999</v>
      </c>
      <c r="I93" s="206">
        <f>I96</f>
        <v>7618.1379999999999</v>
      </c>
      <c r="J93" s="206">
        <f>J94+J95+J96+J98</f>
        <v>3753.0886200000004</v>
      </c>
      <c r="K93" s="206">
        <f>K96</f>
        <v>3564.5309999999999</v>
      </c>
      <c r="L93" s="206">
        <f t="shared" ref="L93:AD93" si="29">L94+L95+L96+L98</f>
        <v>3362.1325400000001</v>
      </c>
      <c r="M93" s="206">
        <f>M96</f>
        <v>3334.3150000000001</v>
      </c>
      <c r="N93" s="206">
        <f t="shared" si="29"/>
        <v>4196.9009999999998</v>
      </c>
      <c r="O93" s="206">
        <f t="shared" si="29"/>
        <v>3334</v>
      </c>
      <c r="P93" s="206">
        <f t="shared" si="29"/>
        <v>4159.6222799999996</v>
      </c>
      <c r="Q93" s="206">
        <f>Q96</f>
        <v>4735.5140000000001</v>
      </c>
      <c r="R93" s="206">
        <f t="shared" si="29"/>
        <v>3487.7170000000001</v>
      </c>
      <c r="S93" s="206">
        <f>S94+S95+S96+S98</f>
        <v>4290.9949999999999</v>
      </c>
      <c r="T93" s="206">
        <f t="shared" si="29"/>
        <v>4598.6610000000001</v>
      </c>
      <c r="U93" s="206"/>
      <c r="V93" s="206">
        <f t="shared" si="29"/>
        <v>3623.5509999999999</v>
      </c>
      <c r="W93" s="206"/>
      <c r="X93" s="206">
        <f t="shared" si="29"/>
        <v>4289.9470000000001</v>
      </c>
      <c r="Y93" s="206"/>
      <c r="Z93" s="206">
        <f t="shared" si="29"/>
        <v>4220.3180000000002</v>
      </c>
      <c r="AA93" s="206"/>
      <c r="AB93" s="206">
        <f t="shared" si="29"/>
        <v>4463.7070000000003</v>
      </c>
      <c r="AC93" s="206"/>
      <c r="AD93" s="206">
        <f t="shared" si="29"/>
        <v>3074.5547500000002</v>
      </c>
      <c r="AE93" s="206"/>
      <c r="AF93" s="207"/>
      <c r="AG93" s="175"/>
      <c r="AH93" s="654"/>
    </row>
    <row r="94" spans="1:34" s="177" customFormat="1" ht="34.15" customHeight="1" x14ac:dyDescent="0.3">
      <c r="A94" s="150" t="s">
        <v>169</v>
      </c>
      <c r="B94" s="208">
        <f t="shared" ref="B94:AE94" si="30">B13+B33+B39+B47+B67</f>
        <v>0</v>
      </c>
      <c r="C94" s="208">
        <f t="shared" si="30"/>
        <v>0</v>
      </c>
      <c r="D94" s="208">
        <f t="shared" si="30"/>
        <v>0</v>
      </c>
      <c r="E94" s="208">
        <f t="shared" si="30"/>
        <v>0</v>
      </c>
      <c r="F94" s="208">
        <f t="shared" si="30"/>
        <v>0</v>
      </c>
      <c r="G94" s="208">
        <f t="shared" si="30"/>
        <v>0</v>
      </c>
      <c r="H94" s="208">
        <f t="shared" si="30"/>
        <v>0</v>
      </c>
      <c r="I94" s="208">
        <f t="shared" si="30"/>
        <v>0</v>
      </c>
      <c r="J94" s="208">
        <f t="shared" si="30"/>
        <v>0</v>
      </c>
      <c r="K94" s="208">
        <f t="shared" si="30"/>
        <v>0</v>
      </c>
      <c r="L94" s="208">
        <f t="shared" si="30"/>
        <v>0</v>
      </c>
      <c r="M94" s="208">
        <f t="shared" si="30"/>
        <v>0</v>
      </c>
      <c r="N94" s="208">
        <f t="shared" si="30"/>
        <v>0</v>
      </c>
      <c r="O94" s="208">
        <f t="shared" si="30"/>
        <v>0</v>
      </c>
      <c r="P94" s="208">
        <f t="shared" si="30"/>
        <v>0</v>
      </c>
      <c r="Q94" s="208">
        <f t="shared" si="30"/>
        <v>0</v>
      </c>
      <c r="R94" s="208">
        <f t="shared" si="30"/>
        <v>0</v>
      </c>
      <c r="S94" s="208">
        <f t="shared" si="30"/>
        <v>0</v>
      </c>
      <c r="T94" s="208">
        <f t="shared" si="30"/>
        <v>0</v>
      </c>
      <c r="U94" s="208">
        <f t="shared" si="30"/>
        <v>0</v>
      </c>
      <c r="V94" s="208">
        <f t="shared" si="30"/>
        <v>0</v>
      </c>
      <c r="W94" s="208">
        <f t="shared" si="30"/>
        <v>0</v>
      </c>
      <c r="X94" s="208">
        <f t="shared" si="30"/>
        <v>0</v>
      </c>
      <c r="Y94" s="208">
        <f t="shared" si="30"/>
        <v>0</v>
      </c>
      <c r="Z94" s="208">
        <f t="shared" si="30"/>
        <v>0</v>
      </c>
      <c r="AA94" s="208">
        <f t="shared" si="30"/>
        <v>0</v>
      </c>
      <c r="AB94" s="208">
        <f t="shared" si="30"/>
        <v>0</v>
      </c>
      <c r="AC94" s="208">
        <f t="shared" si="30"/>
        <v>0</v>
      </c>
      <c r="AD94" s="208">
        <f t="shared" si="30"/>
        <v>0</v>
      </c>
      <c r="AE94" s="208">
        <f t="shared" si="30"/>
        <v>0</v>
      </c>
      <c r="AF94" s="209"/>
      <c r="AG94" s="175"/>
      <c r="AH94" s="654"/>
    </row>
    <row r="95" spans="1:34" s="177" customFormat="1" x14ac:dyDescent="0.3">
      <c r="A95" s="150" t="s">
        <v>32</v>
      </c>
      <c r="B95" s="208">
        <f>B14+B34+B40+B48+B68</f>
        <v>0</v>
      </c>
      <c r="C95" s="208">
        <f>C14+C34+C40+C48+C68</f>
        <v>0</v>
      </c>
      <c r="D95" s="208">
        <f>D14+D34+D40+D48+D68</f>
        <v>0</v>
      </c>
      <c r="E95" s="208">
        <f>E14+E34+E40+E48+E68</f>
        <v>0</v>
      </c>
      <c r="F95" s="208">
        <f t="shared" ref="F95:F104" si="31">IFERROR(E95/B95*100,0)</f>
        <v>0</v>
      </c>
      <c r="G95" s="208">
        <f>IFERROR(E95/C95*100,0)</f>
        <v>0</v>
      </c>
      <c r="H95" s="208">
        <f t="shared" ref="H95:AE95" si="32">H14+H34+H40+H48+H68</f>
        <v>0</v>
      </c>
      <c r="I95" s="208">
        <f t="shared" si="32"/>
        <v>0</v>
      </c>
      <c r="J95" s="208">
        <f t="shared" si="32"/>
        <v>0</v>
      </c>
      <c r="K95" s="208">
        <f t="shared" si="32"/>
        <v>0</v>
      </c>
      <c r="L95" s="208">
        <f t="shared" si="32"/>
        <v>0</v>
      </c>
      <c r="M95" s="208">
        <f t="shared" si="32"/>
        <v>0</v>
      </c>
      <c r="N95" s="208">
        <f t="shared" si="32"/>
        <v>0</v>
      </c>
      <c r="O95" s="208">
        <f t="shared" si="32"/>
        <v>0</v>
      </c>
      <c r="P95" s="208">
        <f t="shared" si="32"/>
        <v>0</v>
      </c>
      <c r="Q95" s="208">
        <f t="shared" si="32"/>
        <v>0</v>
      </c>
      <c r="R95" s="208">
        <f t="shared" si="32"/>
        <v>0</v>
      </c>
      <c r="S95" s="208">
        <f t="shared" si="32"/>
        <v>0</v>
      </c>
      <c r="T95" s="208">
        <f t="shared" si="32"/>
        <v>0</v>
      </c>
      <c r="U95" s="208">
        <f t="shared" si="32"/>
        <v>0</v>
      </c>
      <c r="V95" s="208">
        <f t="shared" si="32"/>
        <v>0</v>
      </c>
      <c r="W95" s="208">
        <f t="shared" si="32"/>
        <v>0</v>
      </c>
      <c r="X95" s="208">
        <f t="shared" si="32"/>
        <v>0</v>
      </c>
      <c r="Y95" s="208">
        <f t="shared" si="32"/>
        <v>0</v>
      </c>
      <c r="Z95" s="208">
        <f t="shared" si="32"/>
        <v>0</v>
      </c>
      <c r="AA95" s="208">
        <f t="shared" si="32"/>
        <v>0</v>
      </c>
      <c r="AB95" s="208">
        <f t="shared" si="32"/>
        <v>0</v>
      </c>
      <c r="AC95" s="208">
        <f t="shared" si="32"/>
        <v>0</v>
      </c>
      <c r="AD95" s="208">
        <f t="shared" si="32"/>
        <v>0</v>
      </c>
      <c r="AE95" s="208">
        <f t="shared" si="32"/>
        <v>0</v>
      </c>
      <c r="AF95" s="210"/>
      <c r="AG95" s="175"/>
      <c r="AH95" s="654"/>
    </row>
    <row r="96" spans="1:34" s="177" customFormat="1" x14ac:dyDescent="0.3">
      <c r="A96" s="150" t="s">
        <v>33</v>
      </c>
      <c r="B96" s="208">
        <f>B15+B35+B41+B49+B69</f>
        <v>53434.074999999997</v>
      </c>
      <c r="C96" s="208">
        <f>C15+C35+C41+C49+C69</f>
        <v>29163.33625</v>
      </c>
      <c r="D96" s="208">
        <f>D15+D35+D49+D69</f>
        <v>26877.492999999999</v>
      </c>
      <c r="E96" s="208">
        <f>E15+E35+E41+E49+E69</f>
        <v>26877.492999999999</v>
      </c>
      <c r="F96" s="208">
        <f>F99</f>
        <v>14.42</v>
      </c>
      <c r="G96" s="208">
        <f>G99</f>
        <v>74.66</v>
      </c>
      <c r="H96" s="208">
        <f>H98+H99+H100+H101</f>
        <v>10203.874809999999</v>
      </c>
      <c r="I96" s="208">
        <f>I15+I35+I49+I69</f>
        <v>7618.1379999999999</v>
      </c>
      <c r="J96" s="208">
        <f t="shared" ref="J96:AE96" si="33">J15+J35+J41+J49+J69</f>
        <v>3753.0886200000004</v>
      </c>
      <c r="K96" s="208">
        <f t="shared" si="33"/>
        <v>3564.5309999999999</v>
      </c>
      <c r="L96" s="208">
        <f t="shared" si="33"/>
        <v>3362.1325400000001</v>
      </c>
      <c r="M96" s="208">
        <f t="shared" si="33"/>
        <v>3334.3150000000001</v>
      </c>
      <c r="N96" s="208">
        <f t="shared" si="33"/>
        <v>4196.9009999999998</v>
      </c>
      <c r="O96" s="208">
        <f t="shared" si="33"/>
        <v>3334</v>
      </c>
      <c r="P96" s="208">
        <f t="shared" si="33"/>
        <v>4159.6222799999996</v>
      </c>
      <c r="Q96" s="208">
        <f t="shared" si="33"/>
        <v>4735.5140000000001</v>
      </c>
      <c r="R96" s="208">
        <f t="shared" si="33"/>
        <v>3487.7170000000001</v>
      </c>
      <c r="S96" s="208">
        <f t="shared" si="33"/>
        <v>4290.9949999999999</v>
      </c>
      <c r="T96" s="208">
        <f t="shared" si="33"/>
        <v>4598.6610000000001</v>
      </c>
      <c r="U96" s="208">
        <f t="shared" si="33"/>
        <v>0</v>
      </c>
      <c r="V96" s="208">
        <f t="shared" si="33"/>
        <v>3623.5509999999999</v>
      </c>
      <c r="W96" s="208">
        <f t="shared" si="33"/>
        <v>0</v>
      </c>
      <c r="X96" s="208">
        <f t="shared" si="33"/>
        <v>4289.9470000000001</v>
      </c>
      <c r="Y96" s="208">
        <f t="shared" si="33"/>
        <v>0</v>
      </c>
      <c r="Z96" s="208">
        <f t="shared" si="33"/>
        <v>4220.3180000000002</v>
      </c>
      <c r="AA96" s="208">
        <f t="shared" si="33"/>
        <v>0</v>
      </c>
      <c r="AB96" s="208">
        <f t="shared" si="33"/>
        <v>4463.7070000000003</v>
      </c>
      <c r="AC96" s="208">
        <f t="shared" si="33"/>
        <v>0</v>
      </c>
      <c r="AD96" s="208">
        <f t="shared" si="33"/>
        <v>3074.5547500000002</v>
      </c>
      <c r="AE96" s="208">
        <f t="shared" si="33"/>
        <v>0</v>
      </c>
      <c r="AF96" s="210"/>
      <c r="AG96" s="175"/>
      <c r="AH96" s="654"/>
    </row>
    <row r="97" spans="1:35" s="177" customFormat="1" ht="56.25" x14ac:dyDescent="0.3">
      <c r="A97" s="150" t="s">
        <v>569</v>
      </c>
      <c r="B97" s="208">
        <f>B70</f>
        <v>728.87300000000005</v>
      </c>
      <c r="C97" s="208">
        <f>C70</f>
        <v>728.87300000000005</v>
      </c>
      <c r="D97" s="208">
        <f>D70</f>
        <v>728.88</v>
      </c>
      <c r="E97" s="208">
        <f>E70</f>
        <v>728.88</v>
      </c>
      <c r="F97" s="208"/>
      <c r="G97" s="208"/>
      <c r="H97" s="208"/>
      <c r="I97" s="208"/>
      <c r="J97" s="208"/>
      <c r="K97" s="208"/>
      <c r="L97" s="208"/>
      <c r="M97" s="208"/>
      <c r="N97" s="208"/>
      <c r="O97" s="208"/>
      <c r="P97" s="208">
        <f>P70</f>
        <v>728.87300000000005</v>
      </c>
      <c r="Q97" s="208">
        <f>Q70</f>
        <v>728.88</v>
      </c>
      <c r="R97" s="208"/>
      <c r="S97" s="208"/>
      <c r="T97" s="208"/>
      <c r="U97" s="208"/>
      <c r="V97" s="208"/>
      <c r="W97" s="208"/>
      <c r="X97" s="208"/>
      <c r="Y97" s="208"/>
      <c r="Z97" s="208"/>
      <c r="AA97" s="208"/>
      <c r="AB97" s="208"/>
      <c r="AC97" s="208"/>
      <c r="AD97" s="208"/>
      <c r="AE97" s="208"/>
      <c r="AF97" s="210"/>
      <c r="AG97" s="175"/>
      <c r="AH97" s="654"/>
    </row>
    <row r="98" spans="1:35" s="177" customFormat="1" x14ac:dyDescent="0.3">
      <c r="A98" s="152" t="s">
        <v>221</v>
      </c>
      <c r="B98" s="208">
        <f>B16+B36+B42+B50+B71</f>
        <v>0</v>
      </c>
      <c r="C98" s="208">
        <f>C16+C36+C42+C50+C71</f>
        <v>0</v>
      </c>
      <c r="D98" s="208">
        <f>D16+D36+D42+D50+D71</f>
        <v>0</v>
      </c>
      <c r="E98" s="208">
        <f>E16+E36+E42+E50+E71</f>
        <v>0</v>
      </c>
      <c r="F98" s="208">
        <f t="shared" si="31"/>
        <v>0</v>
      </c>
      <c r="G98" s="208">
        <f>IFERROR(E98/C98*100,0)</f>
        <v>0</v>
      </c>
      <c r="H98" s="208">
        <f t="shared" ref="H98:AE98" si="34">H16+H36+H42+H50+H71</f>
        <v>0</v>
      </c>
      <c r="I98" s="208">
        <f t="shared" si="34"/>
        <v>0</v>
      </c>
      <c r="J98" s="208">
        <f t="shared" si="34"/>
        <v>0</v>
      </c>
      <c r="K98" s="208">
        <f t="shared" si="34"/>
        <v>0</v>
      </c>
      <c r="L98" s="208">
        <f t="shared" si="34"/>
        <v>0</v>
      </c>
      <c r="M98" s="208">
        <f t="shared" si="34"/>
        <v>0</v>
      </c>
      <c r="N98" s="208">
        <f t="shared" si="34"/>
        <v>0</v>
      </c>
      <c r="O98" s="208">
        <f t="shared" si="34"/>
        <v>0</v>
      </c>
      <c r="P98" s="208">
        <f t="shared" si="34"/>
        <v>0</v>
      </c>
      <c r="Q98" s="208">
        <f t="shared" si="34"/>
        <v>0</v>
      </c>
      <c r="R98" s="208">
        <f t="shared" si="34"/>
        <v>0</v>
      </c>
      <c r="S98" s="208">
        <f t="shared" si="34"/>
        <v>0</v>
      </c>
      <c r="T98" s="208">
        <f t="shared" si="34"/>
        <v>0</v>
      </c>
      <c r="U98" s="208">
        <f t="shared" si="34"/>
        <v>0</v>
      </c>
      <c r="V98" s="208">
        <f t="shared" si="34"/>
        <v>0</v>
      </c>
      <c r="W98" s="208">
        <f t="shared" si="34"/>
        <v>0</v>
      </c>
      <c r="X98" s="208">
        <f t="shared" si="34"/>
        <v>0</v>
      </c>
      <c r="Y98" s="208">
        <f t="shared" si="34"/>
        <v>0</v>
      </c>
      <c r="Z98" s="208">
        <f t="shared" si="34"/>
        <v>0</v>
      </c>
      <c r="AA98" s="208">
        <f t="shared" si="34"/>
        <v>0</v>
      </c>
      <c r="AB98" s="208">
        <f t="shared" si="34"/>
        <v>0</v>
      </c>
      <c r="AC98" s="208">
        <f t="shared" si="34"/>
        <v>0</v>
      </c>
      <c r="AD98" s="208">
        <f t="shared" si="34"/>
        <v>0</v>
      </c>
      <c r="AE98" s="208">
        <f t="shared" si="34"/>
        <v>0</v>
      </c>
      <c r="AF98" s="210"/>
      <c r="AG98" s="175"/>
      <c r="AH98" s="654"/>
    </row>
    <row r="99" spans="1:35" s="177" customFormat="1" ht="37.5" x14ac:dyDescent="0.3">
      <c r="A99" s="148" t="s">
        <v>64</v>
      </c>
      <c r="B99" s="206">
        <f>B100+B101+B102+B103+B104</f>
        <v>54162.947999999997</v>
      </c>
      <c r="C99" s="206">
        <f>C96</f>
        <v>29163.33625</v>
      </c>
      <c r="D99" s="206">
        <f>D102</f>
        <v>27606.373</v>
      </c>
      <c r="E99" s="206">
        <f>E100+E101+E102+E104</f>
        <v>26877.492999999999</v>
      </c>
      <c r="F99" s="206">
        <v>14.42</v>
      </c>
      <c r="G99" s="206">
        <f>G102</f>
        <v>74.66</v>
      </c>
      <c r="H99" s="206">
        <f>H100+H101+H102+H104</f>
        <v>10203.874809999999</v>
      </c>
      <c r="I99" s="206">
        <f>I102</f>
        <v>7618.1379999999999</v>
      </c>
      <c r="J99" s="206">
        <f>J100+J101+J102+J104</f>
        <v>3753.0886200000004</v>
      </c>
      <c r="K99" s="206">
        <f>K102</f>
        <v>3564.5309999999999</v>
      </c>
      <c r="L99" s="206">
        <f>L100+L101+L102+L104</f>
        <v>3362.1325400000001</v>
      </c>
      <c r="M99" s="206">
        <f>M102</f>
        <v>3334.3150000000001</v>
      </c>
      <c r="N99" s="206">
        <f>N100+N101+N102+N104</f>
        <v>4196.9009999999998</v>
      </c>
      <c r="O99" s="206">
        <f>O102</f>
        <v>3334</v>
      </c>
      <c r="P99" s="206">
        <f>P100+P101+P102+P104</f>
        <v>4159.6222799999996</v>
      </c>
      <c r="Q99" s="206">
        <f>Q102</f>
        <v>4735.5140000000001</v>
      </c>
      <c r="R99" s="206">
        <f>R100+R101+R102+R104</f>
        <v>3487.7170000000001</v>
      </c>
      <c r="S99" s="206">
        <f>S102</f>
        <v>4290.9949999999999</v>
      </c>
      <c r="T99" s="206">
        <f>T100+T101+T102+T104</f>
        <v>4598.6610000000001</v>
      </c>
      <c r="U99" s="206"/>
      <c r="V99" s="206">
        <f>V100+V101+V102+V104</f>
        <v>3623.5509999999999</v>
      </c>
      <c r="W99" s="206"/>
      <c r="X99" s="206">
        <f>X100+X101+X102+X104</f>
        <v>4289.9470000000001</v>
      </c>
      <c r="Y99" s="206"/>
      <c r="Z99" s="206">
        <f>Z100+Z101+Z102+Z104</f>
        <v>4220.3180000000002</v>
      </c>
      <c r="AA99" s="206"/>
      <c r="AB99" s="206">
        <f>AB100+AB101+AB102+AB104</f>
        <v>4463.7070000000003</v>
      </c>
      <c r="AC99" s="206"/>
      <c r="AD99" s="206">
        <f>AD100+AD101+AD102+AD104</f>
        <v>3074.5547500000002</v>
      </c>
      <c r="AE99" s="206"/>
      <c r="AF99" s="207"/>
      <c r="AG99" s="175"/>
      <c r="AH99" s="654"/>
    </row>
    <row r="100" spans="1:35" s="177" customFormat="1" x14ac:dyDescent="0.3">
      <c r="A100" s="150" t="s">
        <v>169</v>
      </c>
      <c r="B100" s="208">
        <f t="shared" ref="B100:E101" si="35">B13+B33+B39+B47+B67</f>
        <v>0</v>
      </c>
      <c r="C100" s="208">
        <f t="shared" si="35"/>
        <v>0</v>
      </c>
      <c r="D100" s="208">
        <f t="shared" si="35"/>
        <v>0</v>
      </c>
      <c r="E100" s="208">
        <f t="shared" si="35"/>
        <v>0</v>
      </c>
      <c r="F100" s="208">
        <f t="shared" si="31"/>
        <v>0</v>
      </c>
      <c r="G100" s="208" t="s">
        <v>466</v>
      </c>
      <c r="H100" s="208">
        <f t="shared" ref="H100:AE100" si="36">H13+H33+H39+H47+H67</f>
        <v>0</v>
      </c>
      <c r="I100" s="208">
        <f t="shared" si="36"/>
        <v>0</v>
      </c>
      <c r="J100" s="208">
        <f t="shared" si="36"/>
        <v>0</v>
      </c>
      <c r="K100" s="208">
        <f t="shared" si="36"/>
        <v>0</v>
      </c>
      <c r="L100" s="208">
        <f t="shared" si="36"/>
        <v>0</v>
      </c>
      <c r="M100" s="208">
        <f t="shared" si="36"/>
        <v>0</v>
      </c>
      <c r="N100" s="208">
        <f t="shared" si="36"/>
        <v>0</v>
      </c>
      <c r="O100" s="208">
        <f t="shared" si="36"/>
        <v>0</v>
      </c>
      <c r="P100" s="208">
        <f t="shared" si="36"/>
        <v>0</v>
      </c>
      <c r="Q100" s="208">
        <f t="shared" si="36"/>
        <v>0</v>
      </c>
      <c r="R100" s="208">
        <f t="shared" si="36"/>
        <v>0</v>
      </c>
      <c r="S100" s="208">
        <f t="shared" si="36"/>
        <v>0</v>
      </c>
      <c r="T100" s="208">
        <f t="shared" si="36"/>
        <v>0</v>
      </c>
      <c r="U100" s="208">
        <f t="shared" si="36"/>
        <v>0</v>
      </c>
      <c r="V100" s="208">
        <f t="shared" si="36"/>
        <v>0</v>
      </c>
      <c r="W100" s="208">
        <f t="shared" si="36"/>
        <v>0</v>
      </c>
      <c r="X100" s="208">
        <f t="shared" si="36"/>
        <v>0</v>
      </c>
      <c r="Y100" s="208">
        <f t="shared" si="36"/>
        <v>0</v>
      </c>
      <c r="Z100" s="208">
        <f t="shared" si="36"/>
        <v>0</v>
      </c>
      <c r="AA100" s="208">
        <f t="shared" si="36"/>
        <v>0</v>
      </c>
      <c r="AB100" s="208">
        <f t="shared" si="36"/>
        <v>0</v>
      </c>
      <c r="AC100" s="208">
        <f t="shared" si="36"/>
        <v>0</v>
      </c>
      <c r="AD100" s="208">
        <f t="shared" si="36"/>
        <v>0</v>
      </c>
      <c r="AE100" s="208">
        <f t="shared" si="36"/>
        <v>0</v>
      </c>
      <c r="AF100" s="209"/>
      <c r="AG100" s="175"/>
      <c r="AH100" s="654"/>
    </row>
    <row r="101" spans="1:35" s="177" customFormat="1" x14ac:dyDescent="0.3">
      <c r="A101" s="150" t="s">
        <v>32</v>
      </c>
      <c r="B101" s="208">
        <f t="shared" si="35"/>
        <v>0</v>
      </c>
      <c r="C101" s="208">
        <f t="shared" si="35"/>
        <v>0</v>
      </c>
      <c r="D101" s="208">
        <f t="shared" si="35"/>
        <v>0</v>
      </c>
      <c r="E101" s="208">
        <f t="shared" si="35"/>
        <v>0</v>
      </c>
      <c r="F101" s="208">
        <f t="shared" si="31"/>
        <v>0</v>
      </c>
      <c r="G101" s="208">
        <f>IFERROR(E101/C101*100,0)</f>
        <v>0</v>
      </c>
      <c r="H101" s="208">
        <f t="shared" ref="H101:AE101" si="37">H14+H34+H40+H48+H68</f>
        <v>0</v>
      </c>
      <c r="I101" s="208">
        <f t="shared" si="37"/>
        <v>0</v>
      </c>
      <c r="J101" s="208">
        <f t="shared" si="37"/>
        <v>0</v>
      </c>
      <c r="K101" s="208">
        <f t="shared" si="37"/>
        <v>0</v>
      </c>
      <c r="L101" s="208">
        <f t="shared" si="37"/>
        <v>0</v>
      </c>
      <c r="M101" s="208">
        <f t="shared" si="37"/>
        <v>0</v>
      </c>
      <c r="N101" s="208">
        <f t="shared" si="37"/>
        <v>0</v>
      </c>
      <c r="O101" s="208">
        <f t="shared" si="37"/>
        <v>0</v>
      </c>
      <c r="P101" s="208">
        <f t="shared" si="37"/>
        <v>0</v>
      </c>
      <c r="Q101" s="208">
        <f t="shared" si="37"/>
        <v>0</v>
      </c>
      <c r="R101" s="208">
        <f t="shared" si="37"/>
        <v>0</v>
      </c>
      <c r="S101" s="208">
        <f t="shared" si="37"/>
        <v>0</v>
      </c>
      <c r="T101" s="208">
        <f t="shared" si="37"/>
        <v>0</v>
      </c>
      <c r="U101" s="208">
        <f t="shared" si="37"/>
        <v>0</v>
      </c>
      <c r="V101" s="208">
        <f t="shared" si="37"/>
        <v>0</v>
      </c>
      <c r="W101" s="208">
        <f t="shared" si="37"/>
        <v>0</v>
      </c>
      <c r="X101" s="208">
        <f t="shared" si="37"/>
        <v>0</v>
      </c>
      <c r="Y101" s="208">
        <f t="shared" si="37"/>
        <v>0</v>
      </c>
      <c r="Z101" s="208">
        <f t="shared" si="37"/>
        <v>0</v>
      </c>
      <c r="AA101" s="208">
        <f t="shared" si="37"/>
        <v>0</v>
      </c>
      <c r="AB101" s="208">
        <f t="shared" si="37"/>
        <v>0</v>
      </c>
      <c r="AC101" s="208">
        <f t="shared" si="37"/>
        <v>0</v>
      </c>
      <c r="AD101" s="208">
        <f t="shared" si="37"/>
        <v>0</v>
      </c>
      <c r="AE101" s="208">
        <f t="shared" si="37"/>
        <v>0</v>
      </c>
      <c r="AF101" s="210"/>
      <c r="AG101" s="175"/>
      <c r="AH101" s="654"/>
    </row>
    <row r="102" spans="1:35" s="177" customFormat="1" x14ac:dyDescent="0.3">
      <c r="A102" s="150" t="s">
        <v>33</v>
      </c>
      <c r="B102" s="208">
        <f>B15+B35+B41+B49+B69</f>
        <v>53434.074999999997</v>
      </c>
      <c r="C102" s="208">
        <f>C99</f>
        <v>29163.33625</v>
      </c>
      <c r="D102" s="208">
        <f>D15+D35+D41+D49+D69+D70</f>
        <v>27606.373</v>
      </c>
      <c r="E102" s="208">
        <f>E15+E35+E41+E49+E69</f>
        <v>26877.492999999999</v>
      </c>
      <c r="F102" s="208">
        <v>14.42</v>
      </c>
      <c r="G102" s="208">
        <v>74.66</v>
      </c>
      <c r="H102" s="208">
        <f t="shared" ref="H102:AE102" si="38">H15+H35+H41+H49+H69</f>
        <v>10203.874809999999</v>
      </c>
      <c r="I102" s="208">
        <f t="shared" si="38"/>
        <v>7618.1379999999999</v>
      </c>
      <c r="J102" s="208">
        <f t="shared" si="38"/>
        <v>3753.0886200000004</v>
      </c>
      <c r="K102" s="208">
        <f t="shared" si="38"/>
        <v>3564.5309999999999</v>
      </c>
      <c r="L102" s="208">
        <f t="shared" si="38"/>
        <v>3362.1325400000001</v>
      </c>
      <c r="M102" s="208">
        <f t="shared" si="38"/>
        <v>3334.3150000000001</v>
      </c>
      <c r="N102" s="208">
        <f t="shared" si="38"/>
        <v>4196.9009999999998</v>
      </c>
      <c r="O102" s="208">
        <f t="shared" si="38"/>
        <v>3334</v>
      </c>
      <c r="P102" s="208">
        <f t="shared" si="38"/>
        <v>4159.6222799999996</v>
      </c>
      <c r="Q102" s="208">
        <f t="shared" si="38"/>
        <v>4735.5140000000001</v>
      </c>
      <c r="R102" s="208">
        <f t="shared" si="38"/>
        <v>3487.7170000000001</v>
      </c>
      <c r="S102" s="208">
        <f t="shared" si="38"/>
        <v>4290.9949999999999</v>
      </c>
      <c r="T102" s="208">
        <f t="shared" si="38"/>
        <v>4598.6610000000001</v>
      </c>
      <c r="U102" s="208">
        <f t="shared" si="38"/>
        <v>0</v>
      </c>
      <c r="V102" s="208">
        <f t="shared" si="38"/>
        <v>3623.5509999999999</v>
      </c>
      <c r="W102" s="208">
        <f t="shared" si="38"/>
        <v>0</v>
      </c>
      <c r="X102" s="208">
        <f t="shared" si="38"/>
        <v>4289.9470000000001</v>
      </c>
      <c r="Y102" s="208">
        <f t="shared" si="38"/>
        <v>0</v>
      </c>
      <c r="Z102" s="208">
        <f t="shared" si="38"/>
        <v>4220.3180000000002</v>
      </c>
      <c r="AA102" s="208">
        <f t="shared" si="38"/>
        <v>0</v>
      </c>
      <c r="AB102" s="208">
        <f t="shared" si="38"/>
        <v>4463.7070000000003</v>
      </c>
      <c r="AC102" s="208">
        <f t="shared" si="38"/>
        <v>0</v>
      </c>
      <c r="AD102" s="208">
        <f t="shared" si="38"/>
        <v>3074.5547500000002</v>
      </c>
      <c r="AE102" s="208">
        <f t="shared" si="38"/>
        <v>0</v>
      </c>
      <c r="AF102" s="209"/>
      <c r="AG102" s="175"/>
      <c r="AH102" s="654"/>
    </row>
    <row r="103" spans="1:35" s="177" customFormat="1" ht="56.25" x14ac:dyDescent="0.3">
      <c r="A103" s="150" t="s">
        <v>569</v>
      </c>
      <c r="B103" s="208">
        <f>B97</f>
        <v>728.87300000000005</v>
      </c>
      <c r="C103" s="208">
        <f>C97</f>
        <v>728.87300000000005</v>
      </c>
      <c r="D103" s="208">
        <f>D97</f>
        <v>728.88</v>
      </c>
      <c r="E103" s="208">
        <f>F103</f>
        <v>728.88</v>
      </c>
      <c r="F103" s="208">
        <f>F70</f>
        <v>728.88</v>
      </c>
      <c r="G103" s="208"/>
      <c r="H103" s="208"/>
      <c r="I103" s="208"/>
      <c r="J103" s="208"/>
      <c r="K103" s="208"/>
      <c r="L103" s="208"/>
      <c r="M103" s="208"/>
      <c r="N103" s="208"/>
      <c r="O103" s="208"/>
      <c r="P103" s="208">
        <f>P84+P91+P77</f>
        <v>728.87299999999993</v>
      </c>
      <c r="Q103" s="208">
        <f>Q97</f>
        <v>728.88</v>
      </c>
      <c r="R103" s="208"/>
      <c r="S103" s="208"/>
      <c r="T103" s="208"/>
      <c r="U103" s="208"/>
      <c r="V103" s="208"/>
      <c r="W103" s="208"/>
      <c r="X103" s="208"/>
      <c r="Y103" s="208"/>
      <c r="Z103" s="208"/>
      <c r="AA103" s="208"/>
      <c r="AB103" s="208"/>
      <c r="AC103" s="208"/>
      <c r="AD103" s="208"/>
      <c r="AE103" s="208"/>
      <c r="AF103" s="210"/>
      <c r="AG103" s="175"/>
      <c r="AH103" s="654"/>
    </row>
    <row r="104" spans="1:35" s="177" customFormat="1" x14ac:dyDescent="0.3">
      <c r="A104" s="152" t="s">
        <v>221</v>
      </c>
      <c r="B104" s="208">
        <f>B16+B36+B42+B50+B71</f>
        <v>0</v>
      </c>
      <c r="C104" s="208">
        <f>C16+C36+C42+C50+C71</f>
        <v>0</v>
      </c>
      <c r="D104" s="208">
        <f>D16+D36+D42+D50+D71</f>
        <v>0</v>
      </c>
      <c r="E104" s="208">
        <f>E16+E36+E42+E50+E71</f>
        <v>0</v>
      </c>
      <c r="F104" s="208">
        <f t="shared" si="31"/>
        <v>0</v>
      </c>
      <c r="G104" s="208">
        <f>IFERROR(E104/C104*100,0)</f>
        <v>0</v>
      </c>
      <c r="H104" s="208">
        <f t="shared" ref="H104:AE104" si="39">H16+H36+H42+H50+H71</f>
        <v>0</v>
      </c>
      <c r="I104" s="208">
        <f t="shared" si="39"/>
        <v>0</v>
      </c>
      <c r="J104" s="208">
        <f t="shared" si="39"/>
        <v>0</v>
      </c>
      <c r="K104" s="208">
        <f t="shared" si="39"/>
        <v>0</v>
      </c>
      <c r="L104" s="208">
        <f t="shared" si="39"/>
        <v>0</v>
      </c>
      <c r="M104" s="208">
        <f t="shared" si="39"/>
        <v>0</v>
      </c>
      <c r="N104" s="208">
        <f t="shared" si="39"/>
        <v>0</v>
      </c>
      <c r="O104" s="208">
        <f t="shared" si="39"/>
        <v>0</v>
      </c>
      <c r="P104" s="208">
        <f t="shared" si="39"/>
        <v>0</v>
      </c>
      <c r="Q104" s="208">
        <f t="shared" si="39"/>
        <v>0</v>
      </c>
      <c r="R104" s="208">
        <f t="shared" si="39"/>
        <v>0</v>
      </c>
      <c r="S104" s="208">
        <f t="shared" si="39"/>
        <v>0</v>
      </c>
      <c r="T104" s="208">
        <f t="shared" si="39"/>
        <v>0</v>
      </c>
      <c r="U104" s="208">
        <f t="shared" si="39"/>
        <v>0</v>
      </c>
      <c r="V104" s="208">
        <f t="shared" si="39"/>
        <v>0</v>
      </c>
      <c r="W104" s="208">
        <f t="shared" si="39"/>
        <v>0</v>
      </c>
      <c r="X104" s="208">
        <f t="shared" si="39"/>
        <v>0</v>
      </c>
      <c r="Y104" s="208">
        <f t="shared" si="39"/>
        <v>0</v>
      </c>
      <c r="Z104" s="208">
        <f t="shared" si="39"/>
        <v>0</v>
      </c>
      <c r="AA104" s="208">
        <f t="shared" si="39"/>
        <v>0</v>
      </c>
      <c r="AB104" s="208">
        <f t="shared" si="39"/>
        <v>0</v>
      </c>
      <c r="AC104" s="208">
        <f t="shared" si="39"/>
        <v>0</v>
      </c>
      <c r="AD104" s="208">
        <f t="shared" si="39"/>
        <v>0</v>
      </c>
      <c r="AE104" s="208">
        <f t="shared" si="39"/>
        <v>0</v>
      </c>
      <c r="AF104" s="210"/>
      <c r="AG104" s="175"/>
      <c r="AH104" s="654"/>
    </row>
    <row r="105" spans="1:35" s="159" customFormat="1" x14ac:dyDescent="0.3">
      <c r="B105" s="175"/>
      <c r="C105" s="757"/>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G105" s="175"/>
      <c r="AI105" s="175"/>
    </row>
    <row r="106" spans="1:35" s="159" customFormat="1" x14ac:dyDescent="0.3">
      <c r="B106" s="175"/>
      <c r="AH106" s="823"/>
      <c r="AI106" s="824"/>
    </row>
    <row r="107" spans="1:35" x14ac:dyDescent="0.3">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5"/>
    </row>
    <row r="108" spans="1:35" x14ac:dyDescent="0.3">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c r="AA108" s="155"/>
      <c r="AB108" s="155"/>
      <c r="AC108" s="155"/>
      <c r="AD108" s="155"/>
      <c r="AE108" s="155"/>
    </row>
    <row r="109" spans="1:35" x14ac:dyDescent="0.3">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c r="AA109" s="155"/>
      <c r="AB109" s="155"/>
      <c r="AC109" s="155"/>
      <c r="AD109" s="155"/>
      <c r="AE109" s="155"/>
    </row>
    <row r="110" spans="1:35" x14ac:dyDescent="0.3">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c r="AA110" s="155"/>
      <c r="AB110" s="155"/>
      <c r="AC110" s="155"/>
      <c r="AD110" s="155"/>
      <c r="AE110" s="155"/>
    </row>
    <row r="114" spans="1:21" ht="26.25" x14ac:dyDescent="0.4">
      <c r="A114" s="856"/>
      <c r="B114" s="856"/>
      <c r="C114" s="856"/>
      <c r="D114" s="856"/>
      <c r="E114" s="856"/>
      <c r="F114" s="856"/>
      <c r="G114" s="856"/>
      <c r="H114" s="856"/>
      <c r="I114" s="856"/>
      <c r="J114" s="856"/>
      <c r="K114" s="856"/>
      <c r="L114" s="856"/>
      <c r="M114" s="856"/>
      <c r="N114" s="856"/>
      <c r="O114" s="856"/>
      <c r="P114" s="856"/>
      <c r="Q114" s="856"/>
      <c r="R114" s="856"/>
      <c r="S114" s="856"/>
      <c r="T114" s="856"/>
      <c r="U114" s="856"/>
    </row>
    <row r="159" spans="6:7" x14ac:dyDescent="0.3">
      <c r="F159" s="10">
        <v>0</v>
      </c>
      <c r="G159" s="10" t="e">
        <f>E159/C159*100</f>
        <v>#DIV/0!</v>
      </c>
    </row>
    <row r="162" spans="6:7" x14ac:dyDescent="0.3">
      <c r="F162" s="10">
        <v>0</v>
      </c>
      <c r="G162" s="10">
        <v>0</v>
      </c>
    </row>
  </sheetData>
  <customSheetViews>
    <customSheetView guid="{7C130984-112A-4861-AA43-E2940708E3DC}" scale="50" state="hidden">
      <pane xSplit="2" ySplit="10" topLeftCell="Q69" activePane="bottomRight" state="frozen"/>
      <selection pane="bottomRight" activeCell="AD78" sqref="AD78"/>
      <pageMargins left="0.7" right="0.7" top="0.75" bottom="0.75" header="0.3" footer="0.3"/>
      <pageSetup paperSize="9" orientation="portrait" r:id="rId1"/>
    </customSheetView>
    <customSheetView guid="{4F41B9CC-959D-442C-80B0-1F0DB2C76D27}" scale="65">
      <pane xSplit="2" ySplit="9" topLeftCell="X23" activePane="bottomRight" state="frozen"/>
      <selection pane="bottomRight" activeCell="AF23" sqref="AF23"/>
      <pageMargins left="0.7" right="0.7" top="0.75" bottom="0.75" header="0.3" footer="0.3"/>
      <pageSetup paperSize="9" orientation="portrait" r:id="rId2"/>
    </customSheetView>
    <customSheetView guid="{391AB76E-B386-49C1-800F-016A48AA1A46}" scale="65">
      <pane xSplit="2" ySplit="10" topLeftCell="X61" activePane="bottomRight" state="frozen"/>
      <selection pane="bottomRight" activeCell="AB73" sqref="AB73"/>
      <pageMargins left="0.7" right="0.7" top="0.75" bottom="0.75" header="0.3" footer="0.3"/>
      <pageSetup paperSize="9" orientation="portrait" r:id="rId3"/>
    </customSheetView>
    <customSheetView guid="{D01FA037-9AEC-4167-ADB8-2F327C01ECE6}" scale="65">
      <pane xSplit="2" ySplit="10" topLeftCell="X61" activePane="bottomRight" state="frozen"/>
      <selection pane="bottomRight" activeCell="AB73" sqref="AB73"/>
      <pageMargins left="0.7" right="0.7" top="0.75" bottom="0.75" header="0.3" footer="0.3"/>
      <pageSetup paperSize="9" orientation="portrait" r:id="rId4"/>
    </customSheetView>
    <customSheetView guid="{6A602CB8-B24C-4ED4-B378-B27354BE0A1A}" scale="65">
      <pane xSplit="2" ySplit="10" topLeftCell="X61" activePane="bottomRight" state="frozen"/>
      <selection pane="bottomRight" activeCell="AB73" sqref="AB73"/>
      <pageMargins left="0.7" right="0.7" top="0.75" bottom="0.75" header="0.3" footer="0.3"/>
      <pageSetup paperSize="9" orientation="portrait" r:id="rId5"/>
    </customSheetView>
    <customSheetView guid="{DAA8A688-7558-4B5B-8DBD-E2629BD9E9A8}" scale="65">
      <pane xSplit="2" ySplit="10" topLeftCell="X61" activePane="bottomRight" state="frozen"/>
      <selection pane="bottomRight" activeCell="AB73" sqref="AB73"/>
      <pageMargins left="0.7" right="0.7" top="0.75" bottom="0.75" header="0.3" footer="0.3"/>
      <pageSetup paperSize="9" orientation="portrait" r:id="rId6"/>
    </customSheetView>
    <customSheetView guid="{0C2B9C2A-7B94-41EF-A2E6-F8AC9A67DE25}" scale="65">
      <pane xSplit="2" ySplit="10" topLeftCell="X61" activePane="bottomRight" state="frozen"/>
      <selection pane="bottomRight" activeCell="AB73" sqref="AB73"/>
      <pageMargins left="0.7" right="0.7" top="0.75" bottom="0.75" header="0.3" footer="0.3"/>
      <pageSetup paperSize="9" orientation="portrait" r:id="rId7"/>
    </customSheetView>
    <customSheetView guid="{87218168-6C8E-4D5B-A5E5-DCCC26803AA3}" scale="75">
      <pane xSplit="2" ySplit="10" topLeftCell="D71" activePane="bottomRight" state="frozen"/>
      <selection pane="bottomRight" activeCell="M8" sqref="M8"/>
      <pageMargins left="0.7" right="0.7" top="0.75" bottom="0.75" header="0.3" footer="0.3"/>
      <pageSetup paperSize="9" orientation="portrait" r:id="rId8"/>
    </customSheetView>
    <customSheetView guid="{533DC55B-6AD4-4674-9488-685EF2039F3E}" scale="55">
      <pane xSplit="2" ySplit="10" topLeftCell="C62" activePane="bottomRight" state="frozen"/>
      <selection pane="bottomRight" activeCell="AF87" sqref="AF87"/>
      <pageMargins left="0.7" right="0.7" top="0.75" bottom="0.75" header="0.3" footer="0.3"/>
      <pageSetup paperSize="9" orientation="portrait" r:id="rId9"/>
    </customSheetView>
    <customSheetView guid="{69DABE6F-6182-4403-A4A2-969F10F1C13A}" scale="55">
      <pane xSplit="2" ySplit="10" topLeftCell="C62" activePane="bottomRight" state="frozen"/>
      <selection pane="bottomRight" activeCell="AF87" sqref="AF87"/>
      <pageMargins left="0.7" right="0.7" top="0.75" bottom="0.75" header="0.3" footer="0.3"/>
      <pageSetup paperSize="9" orientation="portrait" r:id="rId10"/>
    </customSheetView>
    <customSheetView guid="{84867370-1F3E-4368-AF79-FBCE46FFFE92}" scale="55">
      <pane xSplit="2" ySplit="10" topLeftCell="C62" activePane="bottomRight" state="frozen"/>
      <selection pane="bottomRight" activeCell="AF87" sqref="AF87"/>
      <pageMargins left="0.7" right="0.7" top="0.75" bottom="0.75" header="0.3" footer="0.3"/>
      <pageSetup paperSize="9" orientation="portrait" r:id="rId11"/>
    </customSheetView>
    <customSheetView guid="{47B983AB-FE5F-4725-860C-A2F29420596D}" scale="55">
      <pane xSplit="2" ySplit="10" topLeftCell="C38" activePane="bottomRight" state="frozen"/>
      <selection pane="bottomRight" activeCell="C61" sqref="C61"/>
      <pageMargins left="0.7" right="0.7" top="0.75" bottom="0.75" header="0.3" footer="0.3"/>
      <pageSetup paperSize="9" orientation="portrait" r:id="rId12"/>
    </customSheetView>
    <customSheetView guid="{959E901C-5DDE-42EE-AE94-AB8976B5E00B}" scale="50">
      <pane xSplit="2" ySplit="10" topLeftCell="Z59" activePane="bottomRight" state="frozen"/>
      <selection pane="bottomRight" activeCell="AA71" sqref="AA71"/>
      <pageMargins left="0.7" right="0.7" top="0.75" bottom="0.75" header="0.3" footer="0.3"/>
      <pageSetup paperSize="9" orientation="portrait" r:id="rId13"/>
    </customSheetView>
    <customSheetView guid="{F679EF4A-C5FD-4B86-B87B-D85968E0F2CA}" scale="50">
      <pane xSplit="2" ySplit="10" topLeftCell="C50" activePane="bottomRight" state="frozen"/>
      <selection pane="bottomRight" activeCell="C61" sqref="C61"/>
      <pageMargins left="0.7" right="0.7" top="0.75" bottom="0.75" header="0.3" footer="0.3"/>
      <pageSetup paperSize="9" orientation="portrait" r:id="rId14"/>
    </customSheetView>
    <customSheetView guid="{009B3074-D8EC-4952-BF50-43CD64449612}" scale="70">
      <pane xSplit="2" ySplit="10" topLeftCell="T11" activePane="bottomRight" state="frozen"/>
      <selection pane="bottomRight" activeCell="AF23" sqref="AF23"/>
      <pageMargins left="0.7" right="0.7" top="0.75" bottom="0.75" header="0.3" footer="0.3"/>
      <pageSetup paperSize="9" orientation="portrait" r:id="rId15"/>
    </customSheetView>
    <customSheetView guid="{770624BF-07F3-44B6-94C3-4CC447CDD45C}" scale="70">
      <pane xSplit="2" ySplit="10" topLeftCell="C11" activePane="bottomRight" state="frozen"/>
      <selection pane="bottomRight" activeCell="E23" sqref="E23"/>
      <pageMargins left="0.7" right="0.7" top="0.75" bottom="0.75" header="0.3" footer="0.3"/>
      <pageSetup paperSize="9" orientation="portrait" r:id="rId16"/>
    </customSheetView>
    <customSheetView guid="{B82BA08A-1A30-4F4D-A478-74A6BD09EA97}" scale="70">
      <pane xSplit="2" ySplit="10" topLeftCell="F83" activePane="bottomRight" state="frozen"/>
      <selection pane="bottomRight" activeCell="J98" sqref="J98"/>
      <pageMargins left="0.7" right="0.7" top="0.75" bottom="0.75" header="0.3" footer="0.3"/>
      <pageSetup paperSize="9" orientation="portrait" r:id="rId17"/>
    </customSheetView>
    <customSheetView guid="{874882D1-E741-4CCA-BF0D-E72FA60B771D}" scale="70">
      <pane xSplit="2" ySplit="10" topLeftCell="F83" activePane="bottomRight" state="frozen"/>
      <selection pane="bottomRight" activeCell="J98" sqref="J98"/>
      <pageMargins left="0.7" right="0.7" top="0.75" bottom="0.75" header="0.3" footer="0.3"/>
      <pageSetup paperSize="9" orientation="portrait" r:id="rId18"/>
    </customSheetView>
    <customSheetView guid="{C236B307-BD63-48C4-A75F-B3F3717BF55C}" scale="70">
      <pane xSplit="2" ySplit="10" topLeftCell="C11" activePane="bottomRight" state="frozen"/>
      <selection pane="bottomRight" activeCell="Q27" sqref="Q27"/>
      <pageMargins left="0.7" right="0.7" top="0.75" bottom="0.75" header="0.3" footer="0.3"/>
      <pageSetup paperSize="9" orientation="portrait" r:id="rId19"/>
    </customSheetView>
    <customSheetView guid="{BCD82A82-B724-4763-8580-D765356E09BA}" scale="70">
      <pane xSplit="2" ySplit="10" topLeftCell="C11" activePane="bottomRight" state="frozen"/>
      <selection pane="bottomRight" activeCell="A4" sqref="A4:AD4"/>
      <pageMargins left="0.7" right="0.7" top="0.75" bottom="0.75" header="0.3" footer="0.3"/>
      <pageSetup paperSize="9" orientation="portrait" r:id="rId20"/>
    </customSheetView>
    <customSheetView guid="{B1BF08D1-D416-4B47-ADD0-4F59132DC9E8}" scale="50">
      <pane xSplit="2" ySplit="10" topLeftCell="Z59" activePane="bottomRight" state="frozen"/>
      <selection pane="bottomRight" activeCell="AA71" sqref="AA71"/>
      <pageMargins left="0.7" right="0.7" top="0.75" bottom="0.75" header="0.3" footer="0.3"/>
      <pageSetup paperSize="9" orientation="portrait" r:id="rId21"/>
    </customSheetView>
    <customSheetView guid="{85F4575B-DBC5-482A-9916-255D8F0BC94E}" scale="50">
      <pane xSplit="2" ySplit="10" topLeftCell="Z59" activePane="bottomRight" state="frozen"/>
      <selection pane="bottomRight" activeCell="AA71" sqref="AA71"/>
      <pageMargins left="0.7" right="0.7" top="0.75" bottom="0.75" header="0.3" footer="0.3"/>
      <pageSetup paperSize="9" orientation="portrait" r:id="rId22"/>
    </customSheetView>
    <customSheetView guid="{74870EE6-26B9-40F7-9DC9-260EF16D8959}" scale="55">
      <pane xSplit="2" ySplit="10" topLeftCell="C62" activePane="bottomRight" state="frozen"/>
      <selection pane="bottomRight" activeCell="AF87" sqref="AF87"/>
      <pageMargins left="0.7" right="0.7" top="0.75" bottom="0.75" header="0.3" footer="0.3"/>
      <pageSetup paperSize="9" orientation="portrait" r:id="rId23"/>
    </customSheetView>
    <customSheetView guid="{E508E171-4ED9-4B07-84DF-DA28C60E1969}" scale="75">
      <pane xSplit="2" ySplit="10" topLeftCell="D71" activePane="bottomRight" state="frozen"/>
      <selection pane="bottomRight" activeCell="M8" sqref="M8"/>
      <pageMargins left="0.7" right="0.7" top="0.75" bottom="0.75" header="0.3" footer="0.3"/>
      <pageSetup paperSize="9" orientation="portrait" r:id="rId24"/>
    </customSheetView>
    <customSheetView guid="{4D0DFB57-2CBA-42F2-9A97-C453A6851FBA}" scale="75">
      <pane xSplit="2" ySplit="10" topLeftCell="D71" activePane="bottomRight" state="frozen"/>
      <selection pane="bottomRight" activeCell="M8" sqref="M8"/>
      <pageMargins left="0.7" right="0.7" top="0.75" bottom="0.75" header="0.3" footer="0.3"/>
      <pageSetup paperSize="9" orientation="portrait" r:id="rId25"/>
    </customSheetView>
    <customSheetView guid="{CE1CCA00-200D-4EAA-9FBE-F8EE7C5F82FE}" scale="65">
      <pane xSplit="2" ySplit="10" topLeftCell="X61" activePane="bottomRight" state="frozen"/>
      <selection pane="bottomRight" activeCell="AB73" sqref="AB73"/>
      <pageMargins left="0.7" right="0.7" top="0.75" bottom="0.75" header="0.3" footer="0.3"/>
      <pageSetup paperSize="9" orientation="portrait" r:id="rId26"/>
    </customSheetView>
    <customSheetView guid="{442F2C94-DD1B-4A01-8694-513D4D6F3BD9}" scale="65">
      <pane xSplit="2" ySplit="10" topLeftCell="X61" activePane="bottomRight" state="frozen"/>
      <selection pane="bottomRight" activeCell="AB73" sqref="AB73"/>
      <pageMargins left="0.7" right="0.7" top="0.75" bottom="0.75" header="0.3" footer="0.3"/>
      <pageSetup paperSize="9" orientation="portrait" r:id="rId27"/>
    </customSheetView>
    <customSheetView guid="{AC2D5927-4079-4C74-AF69-1BFAC505648F}" scale="65">
      <pane xSplit="2" ySplit="10" topLeftCell="X61" activePane="bottomRight" state="frozen"/>
      <selection pane="bottomRight" activeCell="AB73" sqref="AB73"/>
      <pageMargins left="0.7" right="0.7" top="0.75" bottom="0.75" header="0.3" footer="0.3"/>
      <pageSetup paperSize="9" orientation="portrait" r:id="rId28"/>
    </customSheetView>
    <customSheetView guid="{602C8EDB-B9EF-4C85-B0D5-0558C3A0ABAB}" scale="65">
      <pane xSplit="2" ySplit="10" topLeftCell="X61" activePane="bottomRight" state="frozen"/>
      <selection pane="bottomRight" activeCell="AB73" sqref="AB73"/>
      <pageMargins left="0.7" right="0.7" top="0.75" bottom="0.75" header="0.3" footer="0.3"/>
      <pageSetup paperSize="9" orientation="portrait" r:id="rId29"/>
    </customSheetView>
    <customSheetView guid="{09C3E205-981E-4A4E-BE89-8B7044192060}" scale="50">
      <pane xSplit="2" ySplit="10" topLeftCell="C11" activePane="bottomRight" state="frozen"/>
      <selection pane="bottomRight" activeCell="L14" sqref="L14"/>
      <pageMargins left="0.7" right="0.7" top="0.75" bottom="0.75" header="0.3" footer="0.3"/>
      <pageSetup paperSize="9" orientation="portrait" r:id="rId30"/>
    </customSheetView>
  </customSheetViews>
  <mergeCells count="28">
    <mergeCell ref="A29:AF29"/>
    <mergeCell ref="A30:AF30"/>
    <mergeCell ref="A43:AF43"/>
    <mergeCell ref="A44:AF44"/>
    <mergeCell ref="A63:AF63"/>
    <mergeCell ref="A64:AF64"/>
    <mergeCell ref="Z6:AA6"/>
    <mergeCell ref="AB6:AC6"/>
    <mergeCell ref="AD6:AE6"/>
    <mergeCell ref="AF6:AF7"/>
    <mergeCell ref="A9:AF9"/>
    <mergeCell ref="A10:AF10"/>
    <mergeCell ref="N6:O6"/>
    <mergeCell ref="P6:Q6"/>
    <mergeCell ref="R6:S6"/>
    <mergeCell ref="T6:U6"/>
    <mergeCell ref="V6:W6"/>
    <mergeCell ref="X6:Y6"/>
    <mergeCell ref="A6:A7"/>
    <mergeCell ref="F6:G6"/>
    <mergeCell ref="H6:I6"/>
    <mergeCell ref="J6:K6"/>
    <mergeCell ref="L6:M6"/>
    <mergeCell ref="A1:AD1"/>
    <mergeCell ref="A2:AD2"/>
    <mergeCell ref="A3:AD3"/>
    <mergeCell ref="A4:AD4"/>
    <mergeCell ref="AB5:AD5"/>
  </mergeCells>
  <hyperlinks>
    <hyperlink ref="A4:AD4" location="Оглавление!A1" display="Комплексный план (сетевой график) по реализации муниципальной программы &quot;Развитие институтов гражданского общества города Когалыма&quot;"/>
  </hyperlinks>
  <pageMargins left="0.7" right="0.7" top="0.75" bottom="0.75" header="0.3" footer="0.3"/>
  <pageSetup paperSize="9" orientation="portrait" r:id="rId3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AI166"/>
  <sheetViews>
    <sheetView zoomScale="55" zoomScaleNormal="55" workbookViewId="0">
      <pane xSplit="7" ySplit="10" topLeftCell="H11" activePane="bottomRight" state="frozen"/>
      <selection pane="topRight" activeCell="H1" sqref="H1"/>
      <selection pane="bottomLeft" activeCell="A11" sqref="A11"/>
      <selection pane="bottomRight" activeCell="C109" sqref="C109"/>
    </sheetView>
  </sheetViews>
  <sheetFormatPr defaultColWidth="9.140625" defaultRowHeight="18.75" x14ac:dyDescent="0.3"/>
  <cols>
    <col min="1" max="1" width="55" style="33" customWidth="1"/>
    <col min="2" max="5" width="16.7109375" style="33" customWidth="1"/>
    <col min="6" max="7" width="16.42578125" style="33" customWidth="1"/>
    <col min="8" max="10" width="13.42578125" style="33" customWidth="1"/>
    <col min="11" max="11" width="15.7109375" style="33" customWidth="1"/>
    <col min="12" max="16" width="13.42578125" style="33" customWidth="1"/>
    <col min="17" max="17" width="13.7109375" style="33" customWidth="1"/>
    <col min="18" max="31" width="13.42578125" style="33" customWidth="1"/>
    <col min="32" max="32" width="27.5703125" style="33" customWidth="1"/>
    <col min="33" max="33" width="10.7109375" style="33" customWidth="1"/>
    <col min="34" max="34" width="16.7109375" style="33" bestFit="1" customWidth="1"/>
    <col min="35" max="35" width="12.7109375" style="33" bestFit="1" customWidth="1"/>
    <col min="36" max="16384" width="9.140625" style="33"/>
  </cols>
  <sheetData>
    <row r="4" spans="1:35" x14ac:dyDescent="0.3">
      <c r="A4" s="1026" t="s">
        <v>249</v>
      </c>
      <c r="B4" s="1026"/>
      <c r="C4" s="1026"/>
      <c r="D4" s="1026"/>
      <c r="E4" s="1026"/>
      <c r="F4" s="1026"/>
      <c r="G4" s="1026"/>
      <c r="H4" s="1026"/>
      <c r="I4" s="1026"/>
      <c r="J4" s="1026"/>
      <c r="K4" s="1026"/>
      <c r="L4" s="1026"/>
      <c r="M4" s="1026"/>
      <c r="N4" s="1026"/>
      <c r="O4" s="1026"/>
      <c r="P4" s="1026"/>
      <c r="Q4" s="1026"/>
      <c r="R4" s="1026"/>
      <c r="S4" s="1026"/>
      <c r="T4" s="1026"/>
      <c r="U4" s="1026"/>
      <c r="V4" s="1026"/>
      <c r="W4" s="1026"/>
      <c r="X4" s="1026"/>
      <c r="Y4" s="1026"/>
      <c r="Z4" s="1026"/>
      <c r="AA4" s="1026"/>
      <c r="AB4" s="1026"/>
      <c r="AC4" s="1026"/>
      <c r="AD4" s="1026"/>
      <c r="AE4" s="1026"/>
      <c r="AF4" s="1026"/>
    </row>
    <row r="6" spans="1:35" ht="50.25" customHeight="1" x14ac:dyDescent="0.3">
      <c r="A6" s="1027" t="s">
        <v>163</v>
      </c>
      <c r="B6" s="95" t="s">
        <v>3</v>
      </c>
      <c r="C6" s="95" t="s">
        <v>3</v>
      </c>
      <c r="D6" s="95" t="s">
        <v>4</v>
      </c>
      <c r="E6" s="95" t="s">
        <v>5</v>
      </c>
      <c r="F6" s="1028" t="s">
        <v>6</v>
      </c>
      <c r="G6" s="1029"/>
      <c r="H6" s="1028" t="s">
        <v>7</v>
      </c>
      <c r="I6" s="1030"/>
      <c r="J6" s="1028" t="s">
        <v>8</v>
      </c>
      <c r="K6" s="1030"/>
      <c r="L6" s="1028" t="s">
        <v>9</v>
      </c>
      <c r="M6" s="1030"/>
      <c r="N6" s="1028" t="s">
        <v>10</v>
      </c>
      <c r="O6" s="1030"/>
      <c r="P6" s="1028" t="s">
        <v>11</v>
      </c>
      <c r="Q6" s="1030"/>
      <c r="R6" s="1028" t="s">
        <v>12</v>
      </c>
      <c r="S6" s="1030"/>
      <c r="T6" s="1028" t="s">
        <v>13</v>
      </c>
      <c r="U6" s="1030"/>
      <c r="V6" s="1028" t="s">
        <v>14</v>
      </c>
      <c r="W6" s="1030"/>
      <c r="X6" s="1028" t="s">
        <v>15</v>
      </c>
      <c r="Y6" s="1030"/>
      <c r="Z6" s="1028" t="s">
        <v>16</v>
      </c>
      <c r="AA6" s="1030"/>
      <c r="AB6" s="1028" t="s">
        <v>17</v>
      </c>
      <c r="AC6" s="1030"/>
      <c r="AD6" s="1031" t="s">
        <v>18</v>
      </c>
      <c r="AE6" s="1031"/>
      <c r="AF6" s="1019" t="s">
        <v>19</v>
      </c>
    </row>
    <row r="7" spans="1:35" ht="56.25" x14ac:dyDescent="0.3">
      <c r="A7" s="1027"/>
      <c r="B7" s="3">
        <v>2024</v>
      </c>
      <c r="C7" s="4">
        <v>45444</v>
      </c>
      <c r="D7" s="4">
        <v>45444</v>
      </c>
      <c r="E7" s="4">
        <v>45444</v>
      </c>
      <c r="F7" s="5" t="s">
        <v>20</v>
      </c>
      <c r="G7" s="5" t="s">
        <v>21</v>
      </c>
      <c r="H7" s="96" t="s">
        <v>22</v>
      </c>
      <c r="I7" s="96" t="s">
        <v>164</v>
      </c>
      <c r="J7" s="96" t="s">
        <v>22</v>
      </c>
      <c r="K7" s="96" t="s">
        <v>164</v>
      </c>
      <c r="L7" s="96" t="s">
        <v>22</v>
      </c>
      <c r="M7" s="96" t="s">
        <v>164</v>
      </c>
      <c r="N7" s="96" t="s">
        <v>22</v>
      </c>
      <c r="O7" s="96" t="s">
        <v>164</v>
      </c>
      <c r="P7" s="96" t="s">
        <v>22</v>
      </c>
      <c r="Q7" s="96" t="s">
        <v>164</v>
      </c>
      <c r="R7" s="96" t="s">
        <v>22</v>
      </c>
      <c r="S7" s="96" t="s">
        <v>164</v>
      </c>
      <c r="T7" s="96" t="s">
        <v>22</v>
      </c>
      <c r="U7" s="96" t="s">
        <v>164</v>
      </c>
      <c r="V7" s="96" t="s">
        <v>22</v>
      </c>
      <c r="W7" s="96" t="s">
        <v>164</v>
      </c>
      <c r="X7" s="96" t="s">
        <v>22</v>
      </c>
      <c r="Y7" s="96" t="s">
        <v>164</v>
      </c>
      <c r="Z7" s="96" t="s">
        <v>22</v>
      </c>
      <c r="AA7" s="96" t="s">
        <v>164</v>
      </c>
      <c r="AB7" s="96" t="s">
        <v>22</v>
      </c>
      <c r="AC7" s="96" t="s">
        <v>164</v>
      </c>
      <c r="AD7" s="96" t="s">
        <v>165</v>
      </c>
      <c r="AE7" s="96" t="s">
        <v>164</v>
      </c>
      <c r="AF7" s="1020"/>
    </row>
    <row r="8" spans="1:35" x14ac:dyDescent="0.3">
      <c r="A8" s="6">
        <v>1</v>
      </c>
      <c r="B8" s="6">
        <v>2</v>
      </c>
      <c r="C8" s="6">
        <v>3</v>
      </c>
      <c r="D8" s="6">
        <v>4</v>
      </c>
      <c r="E8" s="6">
        <v>5</v>
      </c>
      <c r="F8" s="6">
        <v>6</v>
      </c>
      <c r="G8" s="6">
        <v>7</v>
      </c>
      <c r="H8" s="6">
        <v>8</v>
      </c>
      <c r="I8" s="6">
        <v>9</v>
      </c>
      <c r="J8" s="6">
        <v>10</v>
      </c>
      <c r="K8" s="6">
        <v>11</v>
      </c>
      <c r="L8" s="6">
        <v>12</v>
      </c>
      <c r="M8" s="6">
        <v>13</v>
      </c>
      <c r="N8" s="6">
        <v>14</v>
      </c>
      <c r="O8" s="6">
        <v>15</v>
      </c>
      <c r="P8" s="6">
        <v>16</v>
      </c>
      <c r="Q8" s="6">
        <v>17</v>
      </c>
      <c r="R8" s="6">
        <v>18</v>
      </c>
      <c r="S8" s="6">
        <v>19</v>
      </c>
      <c r="T8" s="6">
        <v>20</v>
      </c>
      <c r="U8" s="6">
        <v>21</v>
      </c>
      <c r="V8" s="6">
        <v>22</v>
      </c>
      <c r="W8" s="6">
        <v>23</v>
      </c>
      <c r="X8" s="6">
        <v>24</v>
      </c>
      <c r="Y8" s="6">
        <v>25</v>
      </c>
      <c r="Z8" s="6">
        <v>26</v>
      </c>
      <c r="AA8" s="6">
        <v>27</v>
      </c>
      <c r="AB8" s="6">
        <v>28</v>
      </c>
      <c r="AC8" s="6">
        <v>29</v>
      </c>
      <c r="AD8" s="6">
        <v>30</v>
      </c>
      <c r="AE8" s="6">
        <v>31</v>
      </c>
      <c r="AF8" s="6">
        <v>32</v>
      </c>
    </row>
    <row r="9" spans="1:35" s="97" customFormat="1" x14ac:dyDescent="0.3">
      <c r="A9" s="1032" t="s">
        <v>250</v>
      </c>
      <c r="B9" s="1033"/>
      <c r="C9" s="1033"/>
      <c r="D9" s="1033"/>
      <c r="E9" s="1033"/>
      <c r="F9" s="1033"/>
      <c r="G9" s="1033"/>
      <c r="H9" s="1033"/>
      <c r="I9" s="1033"/>
      <c r="J9" s="1033"/>
      <c r="K9" s="1033"/>
      <c r="L9" s="1033"/>
      <c r="M9" s="1033"/>
      <c r="N9" s="1033"/>
      <c r="O9" s="1033"/>
      <c r="P9" s="1033"/>
      <c r="Q9" s="1033"/>
      <c r="R9" s="1033"/>
      <c r="S9" s="1033"/>
      <c r="T9" s="1033"/>
      <c r="U9" s="1033"/>
      <c r="V9" s="1033"/>
      <c r="W9" s="1033"/>
      <c r="X9" s="1033"/>
      <c r="Y9" s="1033"/>
      <c r="Z9" s="1033"/>
      <c r="AA9" s="1033"/>
      <c r="AB9" s="1033"/>
      <c r="AC9" s="1033"/>
      <c r="AD9" s="1033"/>
      <c r="AE9" s="1033"/>
      <c r="AF9" s="1034"/>
      <c r="AH9" s="97" t="s">
        <v>517</v>
      </c>
    </row>
    <row r="10" spans="1:35" s="97" customFormat="1" x14ac:dyDescent="0.3">
      <c r="A10" s="1032" t="s">
        <v>167</v>
      </c>
      <c r="B10" s="1033"/>
      <c r="C10" s="1033"/>
      <c r="D10" s="1033"/>
      <c r="E10" s="1033"/>
      <c r="F10" s="1033"/>
      <c r="G10" s="1033"/>
      <c r="H10" s="1033"/>
      <c r="I10" s="1033"/>
      <c r="J10" s="1033"/>
      <c r="K10" s="1033"/>
      <c r="L10" s="1033"/>
      <c r="M10" s="1033"/>
      <c r="N10" s="1033"/>
      <c r="O10" s="1033"/>
      <c r="P10" s="1033"/>
      <c r="Q10" s="1033"/>
      <c r="R10" s="1033"/>
      <c r="S10" s="1033"/>
      <c r="T10" s="1033"/>
      <c r="U10" s="1033"/>
      <c r="V10" s="1033"/>
      <c r="W10" s="1033"/>
      <c r="X10" s="1033"/>
      <c r="Y10" s="1033"/>
      <c r="Z10" s="1033"/>
      <c r="AA10" s="1033"/>
      <c r="AB10" s="1033"/>
      <c r="AC10" s="1033"/>
      <c r="AD10" s="1033"/>
      <c r="AE10" s="1033"/>
      <c r="AF10" s="1034"/>
      <c r="AH10" s="739">
        <v>10600.25</v>
      </c>
      <c r="AI10" s="746">
        <f>AI76+AH70+AH116</f>
        <v>12497.038</v>
      </c>
    </row>
    <row r="11" spans="1:35" ht="56.25" customHeight="1" x14ac:dyDescent="0.3">
      <c r="A11" s="98" t="s">
        <v>251</v>
      </c>
      <c r="B11" s="99"/>
      <c r="C11" s="100"/>
      <c r="D11" s="100"/>
      <c r="E11" s="100"/>
      <c r="F11" s="100"/>
      <c r="G11" s="100"/>
      <c r="H11" s="100"/>
      <c r="I11" s="100"/>
      <c r="J11" s="100"/>
      <c r="K11" s="100"/>
      <c r="L11" s="100"/>
      <c r="M11" s="100"/>
      <c r="N11" s="100"/>
      <c r="O11" s="100"/>
      <c r="P11" s="100"/>
      <c r="Q11" s="100"/>
      <c r="R11" s="100"/>
      <c r="S11" s="100"/>
      <c r="T11" s="100"/>
      <c r="U11" s="100"/>
      <c r="V11" s="100"/>
      <c r="W11" s="100"/>
      <c r="X11" s="100"/>
      <c r="Y11" s="100"/>
      <c r="Z11" s="100"/>
      <c r="AA11" s="100"/>
      <c r="AB11" s="100"/>
      <c r="AC11" s="100"/>
      <c r="AD11" s="100"/>
      <c r="AE11" s="100"/>
      <c r="AF11" s="101"/>
      <c r="AG11" s="102">
        <f>B11-H11-J11-L11-N11-P11-R11-T11-V11-X11-Z11-AB11-AD11</f>
        <v>0</v>
      </c>
    </row>
    <row r="12" spans="1:35" x14ac:dyDescent="0.3">
      <c r="A12" s="103" t="s">
        <v>31</v>
      </c>
      <c r="B12" s="104">
        <f>B13+B14+B15+B16</f>
        <v>0</v>
      </c>
      <c r="C12" s="104">
        <f>C13+C14+C15+C16</f>
        <v>0</v>
      </c>
      <c r="D12" s="104">
        <f>D13+D14+D15+D16</f>
        <v>0</v>
      </c>
      <c r="E12" s="104">
        <f>E13+E14+E15+E16</f>
        <v>0</v>
      </c>
      <c r="F12" s="105">
        <f>IFERROR(E12/B12*100,0)</f>
        <v>0</v>
      </c>
      <c r="G12" s="105">
        <f>IFERROR(E12/C12*100,0)</f>
        <v>0</v>
      </c>
      <c r="H12" s="104">
        <f>H13+H14+H15+H16</f>
        <v>0</v>
      </c>
      <c r="I12" s="104">
        <f t="shared" ref="I12:AE12" si="0">I13+I14+I15+I16</f>
        <v>0</v>
      </c>
      <c r="J12" s="104">
        <f t="shared" si="0"/>
        <v>0</v>
      </c>
      <c r="K12" s="104">
        <f t="shared" si="0"/>
        <v>0</v>
      </c>
      <c r="L12" s="104">
        <f t="shared" si="0"/>
        <v>0</v>
      </c>
      <c r="M12" s="104">
        <f t="shared" si="0"/>
        <v>0</v>
      </c>
      <c r="N12" s="104">
        <f t="shared" si="0"/>
        <v>0</v>
      </c>
      <c r="O12" s="104">
        <f t="shared" si="0"/>
        <v>0</v>
      </c>
      <c r="P12" s="104">
        <f t="shared" si="0"/>
        <v>0</v>
      </c>
      <c r="Q12" s="104">
        <f t="shared" si="0"/>
        <v>0</v>
      </c>
      <c r="R12" s="104">
        <f t="shared" si="0"/>
        <v>0</v>
      </c>
      <c r="S12" s="104">
        <f t="shared" si="0"/>
        <v>0</v>
      </c>
      <c r="T12" s="104">
        <f t="shared" si="0"/>
        <v>0</v>
      </c>
      <c r="U12" s="104">
        <f t="shared" si="0"/>
        <v>0</v>
      </c>
      <c r="V12" s="104">
        <f t="shared" si="0"/>
        <v>0</v>
      </c>
      <c r="W12" s="104">
        <f t="shared" si="0"/>
        <v>0</v>
      </c>
      <c r="X12" s="104">
        <f t="shared" si="0"/>
        <v>0</v>
      </c>
      <c r="Y12" s="104">
        <f t="shared" si="0"/>
        <v>0</v>
      </c>
      <c r="Z12" s="104">
        <f t="shared" si="0"/>
        <v>0</v>
      </c>
      <c r="AA12" s="104">
        <f t="shared" si="0"/>
        <v>0</v>
      </c>
      <c r="AB12" s="104">
        <f t="shared" si="0"/>
        <v>0</v>
      </c>
      <c r="AC12" s="104">
        <f t="shared" si="0"/>
        <v>0</v>
      </c>
      <c r="AD12" s="104">
        <f t="shared" si="0"/>
        <v>0</v>
      </c>
      <c r="AE12" s="104">
        <f t="shared" si="0"/>
        <v>0</v>
      </c>
      <c r="AF12" s="101"/>
      <c r="AG12" s="102">
        <f t="shared" ref="AG12:AG81" si="1">B12-H12-J12-L12-N12-P12-R12-T12-V12-X12-Z12-AB12-AD12</f>
        <v>0</v>
      </c>
      <c r="AH12" s="155">
        <f>C12-E12</f>
        <v>0</v>
      </c>
    </row>
    <row r="13" spans="1:35" x14ac:dyDescent="0.3">
      <c r="A13" s="106" t="s">
        <v>169</v>
      </c>
      <c r="B13" s="107">
        <f>J13+L13+N13+P13+R13+T13+V13+X13+Z13+AB13+AD13+H13</f>
        <v>0</v>
      </c>
      <c r="C13" s="107">
        <f>SUM(H13)</f>
        <v>0</v>
      </c>
      <c r="D13" s="107">
        <f>E13</f>
        <v>0</v>
      </c>
      <c r="E13" s="107">
        <f>SUM(I13,K13,M13,O13,Q13,S13,U13,W13,Y13,AA13,AC13,AE13)</f>
        <v>0</v>
      </c>
      <c r="F13" s="107">
        <f>IFERROR(E13/B13*100,0)</f>
        <v>0</v>
      </c>
      <c r="G13" s="107">
        <f>IFERROR(E13/C13*100,0)</f>
        <v>0</v>
      </c>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1"/>
      <c r="AG13" s="102">
        <f t="shared" si="1"/>
        <v>0</v>
      </c>
      <c r="AH13" s="155">
        <f t="shared" ref="AH13:AH82" si="2">C13-E13</f>
        <v>0</v>
      </c>
    </row>
    <row r="14" spans="1:35" x14ac:dyDescent="0.3">
      <c r="A14" s="106" t="s">
        <v>32</v>
      </c>
      <c r="B14" s="107">
        <f>J14+L14+N14+P14+R14+T14+V14+X14+Z14+AB14+AD14+H14</f>
        <v>0</v>
      </c>
      <c r="C14" s="107">
        <f>SUM(H14)</f>
        <v>0</v>
      </c>
      <c r="D14" s="107">
        <f>E14</f>
        <v>0</v>
      </c>
      <c r="E14" s="107">
        <f>SUM(I14,K14,M14,O14,Q14,S14,U14,W14,Y14,AA14,AC14,AE14)</f>
        <v>0</v>
      </c>
      <c r="F14" s="107">
        <f>IFERROR(E14/B14*100,0)</f>
        <v>0</v>
      </c>
      <c r="G14" s="107">
        <f>IFERROR(E14/C14*100,0)</f>
        <v>0</v>
      </c>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1"/>
      <c r="AG14" s="102">
        <f t="shared" si="1"/>
        <v>0</v>
      </c>
      <c r="AH14" s="155">
        <f t="shared" si="2"/>
        <v>0</v>
      </c>
    </row>
    <row r="15" spans="1:35" x14ac:dyDescent="0.3">
      <c r="A15" s="106" t="s">
        <v>33</v>
      </c>
      <c r="B15" s="107">
        <f>J15+L15+N15+P15+R15+T15+V15+X15+Z15+AB15+AD15+H15</f>
        <v>0</v>
      </c>
      <c r="C15" s="107">
        <f>SUM(H15)</f>
        <v>0</v>
      </c>
      <c r="D15" s="107">
        <f>E15</f>
        <v>0</v>
      </c>
      <c r="E15" s="107">
        <f>SUM(I15,K15,M15,O15,Q15,S15,U15,W15,Y15,AA15,AC15,AE15)</f>
        <v>0</v>
      </c>
      <c r="F15" s="107">
        <f>IFERROR(E15/B15*100,0)</f>
        <v>0</v>
      </c>
      <c r="G15" s="107">
        <f>IFERROR(E15/C15*100,0)</f>
        <v>0</v>
      </c>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1"/>
      <c r="AG15" s="102">
        <f t="shared" si="1"/>
        <v>0</v>
      </c>
      <c r="AH15" s="155">
        <f t="shared" si="2"/>
        <v>0</v>
      </c>
    </row>
    <row r="16" spans="1:35" x14ac:dyDescent="0.3">
      <c r="A16" s="106" t="s">
        <v>170</v>
      </c>
      <c r="B16" s="107">
        <f>J16+L16+N16+P16+R16+T16+V16+X16+Z16+AB16+AD16+H16</f>
        <v>0</v>
      </c>
      <c r="C16" s="107">
        <f>SUM(H16)</f>
        <v>0</v>
      </c>
      <c r="D16" s="107">
        <f>E16</f>
        <v>0</v>
      </c>
      <c r="E16" s="107">
        <f>SUM(I16,K16,M16,O16,Q16,S16,U16,W16,Y16,AA16,AC16,AE16)</f>
        <v>0</v>
      </c>
      <c r="F16" s="107">
        <f>IFERROR(E16/B16*100,0)</f>
        <v>0</v>
      </c>
      <c r="G16" s="107">
        <f>IFERROR(E16/C16*100,0)</f>
        <v>0</v>
      </c>
      <c r="H16" s="107"/>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1"/>
      <c r="AG16" s="102">
        <f t="shared" si="1"/>
        <v>0</v>
      </c>
      <c r="AH16" s="155">
        <f t="shared" si="2"/>
        <v>0</v>
      </c>
    </row>
    <row r="17" spans="1:34" ht="56.25" x14ac:dyDescent="0.3">
      <c r="A17" s="103" t="s">
        <v>563</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1"/>
      <c r="AG17" s="102"/>
      <c r="AH17" s="155"/>
    </row>
    <row r="18" spans="1:34" x14ac:dyDescent="0.3">
      <c r="A18" s="103" t="s">
        <v>31</v>
      </c>
      <c r="B18" s="104">
        <f ca="1">B19+B20+B21+B22</f>
        <v>15871.8</v>
      </c>
      <c r="C18" s="104">
        <f ca="1">C19+C20+C21+C22</f>
        <v>0</v>
      </c>
      <c r="D18" s="104">
        <f ca="1">D19+D20+D21+D22</f>
        <v>0</v>
      </c>
      <c r="E18" s="104">
        <f ca="1">E19+E20+E21+E22</f>
        <v>0</v>
      </c>
      <c r="F18" s="105">
        <f ca="1">IFERROR(E18/B18*100,0)</f>
        <v>0</v>
      </c>
      <c r="G18" s="105">
        <f t="shared" ref="G18:T19" ca="1" si="3">IFERROR(E18/C18*100,0)</f>
        <v>0</v>
      </c>
      <c r="H18" s="105">
        <f t="shared" ca="1" si="3"/>
        <v>0</v>
      </c>
      <c r="I18" s="105">
        <f t="shared" ca="1" si="3"/>
        <v>0</v>
      </c>
      <c r="J18" s="105">
        <f t="shared" ca="1" si="3"/>
        <v>0</v>
      </c>
      <c r="K18" s="105">
        <f t="shared" ca="1" si="3"/>
        <v>0</v>
      </c>
      <c r="L18" s="105">
        <f t="shared" ca="1" si="3"/>
        <v>0</v>
      </c>
      <c r="M18" s="105">
        <f t="shared" ca="1" si="3"/>
        <v>0</v>
      </c>
      <c r="N18" s="105">
        <f t="shared" ca="1" si="3"/>
        <v>0</v>
      </c>
      <c r="O18" s="105">
        <f t="shared" ca="1" si="3"/>
        <v>0</v>
      </c>
      <c r="P18" s="105">
        <f t="shared" ca="1" si="3"/>
        <v>0</v>
      </c>
      <c r="Q18" s="105">
        <f t="shared" ca="1" si="3"/>
        <v>0</v>
      </c>
      <c r="R18" s="105">
        <f t="shared" ca="1" si="3"/>
        <v>0</v>
      </c>
      <c r="S18" s="105">
        <f t="shared" ca="1" si="3"/>
        <v>0</v>
      </c>
      <c r="T18" s="105">
        <f t="shared" ca="1" si="3"/>
        <v>0</v>
      </c>
      <c r="U18" s="105">
        <f t="shared" ref="U18:V22" ca="1" si="4">IFERROR(S18/Q18*100,0)</f>
        <v>0</v>
      </c>
      <c r="V18" s="105">
        <f ca="1">SUM(V19:V22)</f>
        <v>10212.799999999999</v>
      </c>
      <c r="W18" s="105">
        <f ca="1">IFERROR(U18/S18*100,0)</f>
        <v>0</v>
      </c>
      <c r="X18" s="105">
        <f ca="1">SUM(X19:X22)</f>
        <v>1859</v>
      </c>
      <c r="Y18" s="105">
        <f t="shared" ref="Y18:AE20" ca="1" si="5">IFERROR(W18/U18*100,0)</f>
        <v>0</v>
      </c>
      <c r="Z18" s="105">
        <f t="shared" ca="1" si="5"/>
        <v>18.20264765784114</v>
      </c>
      <c r="AA18" s="105">
        <f t="shared" ca="1" si="5"/>
        <v>0</v>
      </c>
      <c r="AB18" s="105">
        <f t="shared" ca="1" si="5"/>
        <v>0.97916340278865732</v>
      </c>
      <c r="AC18" s="105">
        <f t="shared" ca="1" si="5"/>
        <v>0</v>
      </c>
      <c r="AD18" s="105">
        <f t="shared" ca="1" si="5"/>
        <v>5.3792361484669176</v>
      </c>
      <c r="AE18" s="105">
        <f t="shared" ca="1" si="5"/>
        <v>0</v>
      </c>
      <c r="AF18" s="101"/>
      <c r="AG18" s="102"/>
      <c r="AH18" s="155"/>
    </row>
    <row r="19" spans="1:34" x14ac:dyDescent="0.3">
      <c r="A19" s="106" t="s">
        <v>169</v>
      </c>
      <c r="B19" s="107">
        <f ca="1">J19+L19+N19+P19+R19+T19+V19+X19+Z19+AB19+AD19+H19</f>
        <v>0</v>
      </c>
      <c r="C19" s="107">
        <f ca="1">SUM(H19)</f>
        <v>0</v>
      </c>
      <c r="D19" s="107">
        <f ca="1">E19</f>
        <v>0</v>
      </c>
      <c r="E19" s="107">
        <f ca="1">SUM(I19,K19,M19,O19,Q19,S19,U19,W19,Y19,AA19,AC19,AE19)</f>
        <v>0</v>
      </c>
      <c r="F19" s="107">
        <f ca="1">IFERROR(E19/B19*100,0)</f>
        <v>0</v>
      </c>
      <c r="G19" s="107">
        <f t="shared" ca="1" si="3"/>
        <v>0</v>
      </c>
      <c r="H19" s="107">
        <f t="shared" ca="1" si="3"/>
        <v>0</v>
      </c>
      <c r="I19" s="107">
        <f t="shared" ca="1" si="3"/>
        <v>0</v>
      </c>
      <c r="J19" s="107">
        <f t="shared" ca="1" si="3"/>
        <v>0</v>
      </c>
      <c r="K19" s="107">
        <f t="shared" ca="1" si="3"/>
        <v>0</v>
      </c>
      <c r="L19" s="107">
        <f t="shared" ca="1" si="3"/>
        <v>0</v>
      </c>
      <c r="M19" s="107">
        <f t="shared" ca="1" si="3"/>
        <v>0</v>
      </c>
      <c r="N19" s="107">
        <f t="shared" ca="1" si="3"/>
        <v>0</v>
      </c>
      <c r="O19" s="107">
        <f t="shared" ca="1" si="3"/>
        <v>0</v>
      </c>
      <c r="P19" s="107">
        <f t="shared" ca="1" si="3"/>
        <v>0</v>
      </c>
      <c r="Q19" s="107">
        <f t="shared" ca="1" si="3"/>
        <v>0</v>
      </c>
      <c r="R19" s="107">
        <f t="shared" ca="1" si="3"/>
        <v>0</v>
      </c>
      <c r="S19" s="107">
        <f t="shared" ca="1" si="3"/>
        <v>0</v>
      </c>
      <c r="T19" s="107">
        <f t="shared" ca="1" si="3"/>
        <v>0</v>
      </c>
      <c r="U19" s="107">
        <f t="shared" ca="1" si="4"/>
        <v>0</v>
      </c>
      <c r="V19" s="107">
        <f t="shared" ca="1" si="4"/>
        <v>0</v>
      </c>
      <c r="W19" s="107">
        <f ca="1">IFERROR(U19/S19*100,0)</f>
        <v>0</v>
      </c>
      <c r="X19" s="107">
        <f ca="1">IFERROR(V19/T19*100,0)</f>
        <v>0</v>
      </c>
      <c r="Y19" s="107">
        <f t="shared" ca="1" si="5"/>
        <v>0</v>
      </c>
      <c r="Z19" s="107">
        <f t="shared" ca="1" si="5"/>
        <v>0</v>
      </c>
      <c r="AA19" s="107">
        <f t="shared" ca="1" si="5"/>
        <v>0</v>
      </c>
      <c r="AB19" s="107">
        <f t="shared" ca="1" si="5"/>
        <v>0</v>
      </c>
      <c r="AC19" s="107">
        <f t="shared" ca="1" si="5"/>
        <v>0</v>
      </c>
      <c r="AD19" s="107">
        <f t="shared" ca="1" si="5"/>
        <v>0</v>
      </c>
      <c r="AE19" s="107">
        <f t="shared" ca="1" si="5"/>
        <v>0</v>
      </c>
      <c r="AF19" s="101"/>
      <c r="AG19" s="102"/>
      <c r="AH19" s="155"/>
    </row>
    <row r="20" spans="1:34" x14ac:dyDescent="0.3">
      <c r="A20" s="106" t="s">
        <v>32</v>
      </c>
      <c r="B20" s="107">
        <f ca="1">J20+L20+N20+P20+R20+T20+V20+X20+Z20+AB20+AD20+H20</f>
        <v>10000</v>
      </c>
      <c r="C20" s="107">
        <f ca="1">SUM(H20)</f>
        <v>0</v>
      </c>
      <c r="D20" s="107">
        <f ca="1">E20</f>
        <v>0</v>
      </c>
      <c r="E20" s="107">
        <f ca="1">SUM(I20,K20,M20,O20,Q20,S20,U20,W20,Y20,AA20,AC20,AE20)</f>
        <v>0</v>
      </c>
      <c r="F20" s="107">
        <f ca="1">IFERROR(E20/B20*100,0)</f>
        <v>0</v>
      </c>
      <c r="G20" s="107">
        <f t="shared" ref="G20:O22" ca="1" si="6">IFERROR(E20/C20*100,0)</f>
        <v>0</v>
      </c>
      <c r="H20" s="107">
        <f t="shared" ca="1" si="6"/>
        <v>0</v>
      </c>
      <c r="I20" s="107">
        <f t="shared" ca="1" si="6"/>
        <v>0</v>
      </c>
      <c r="J20" s="107">
        <f t="shared" ca="1" si="6"/>
        <v>0</v>
      </c>
      <c r="K20" s="107">
        <f t="shared" ca="1" si="6"/>
        <v>0</v>
      </c>
      <c r="L20" s="107">
        <f t="shared" ca="1" si="6"/>
        <v>0</v>
      </c>
      <c r="M20" s="107">
        <f t="shared" ca="1" si="6"/>
        <v>0</v>
      </c>
      <c r="N20" s="107">
        <f t="shared" ca="1" si="6"/>
        <v>0</v>
      </c>
      <c r="O20" s="107">
        <f t="shared" ca="1" si="6"/>
        <v>0</v>
      </c>
      <c r="P20" s="107">
        <v>0</v>
      </c>
      <c r="Q20" s="107">
        <f t="shared" ref="Q20:S22" ca="1" si="7">IFERROR(O20/M20*100,0)</f>
        <v>0</v>
      </c>
      <c r="R20" s="107">
        <f t="shared" ca="1" si="7"/>
        <v>0</v>
      </c>
      <c r="S20" s="107">
        <f t="shared" ca="1" si="7"/>
        <v>0</v>
      </c>
      <c r="T20" s="107">
        <v>0</v>
      </c>
      <c r="U20" s="107">
        <f t="shared" ca="1" si="4"/>
        <v>0</v>
      </c>
      <c r="V20" s="107">
        <v>10000</v>
      </c>
      <c r="W20" s="107">
        <f ca="1">IFERROR(U20/S20*100,0)</f>
        <v>0</v>
      </c>
      <c r="X20" s="107">
        <f>IFERROR(V20/T20*100,0)</f>
        <v>0</v>
      </c>
      <c r="Y20" s="107">
        <f t="shared" ca="1" si="5"/>
        <v>0</v>
      </c>
      <c r="Z20" s="107">
        <f t="shared" si="5"/>
        <v>0</v>
      </c>
      <c r="AA20" s="107">
        <f t="shared" ca="1" si="5"/>
        <v>0</v>
      </c>
      <c r="AB20" s="107">
        <f t="shared" si="5"/>
        <v>0</v>
      </c>
      <c r="AC20" s="107">
        <f t="shared" ca="1" si="5"/>
        <v>0</v>
      </c>
      <c r="AD20" s="107">
        <f t="shared" si="5"/>
        <v>0</v>
      </c>
      <c r="AE20" s="107">
        <f t="shared" ca="1" si="5"/>
        <v>0</v>
      </c>
      <c r="AF20" s="101"/>
      <c r="AG20" s="102"/>
      <c r="AH20" s="155"/>
    </row>
    <row r="21" spans="1:34" x14ac:dyDescent="0.3">
      <c r="A21" s="106" t="s">
        <v>33</v>
      </c>
      <c r="B21" s="107">
        <f ca="1">J21+L21+N21+P21+R21+T21+V21+X21+Z21+AB21+AD21+H21</f>
        <v>5059.3</v>
      </c>
      <c r="C21" s="107">
        <f ca="1">SUM(H21)</f>
        <v>0</v>
      </c>
      <c r="D21" s="107">
        <f ca="1">E21</f>
        <v>0</v>
      </c>
      <c r="E21" s="107">
        <f ca="1">SUM(I21,K21,M21,O21,Q21,S21,U21,W21,Y21,AA21,AC21,AE21)</f>
        <v>0</v>
      </c>
      <c r="F21" s="107">
        <f ca="1">IFERROR(E21/B21*100,0)</f>
        <v>0</v>
      </c>
      <c r="G21" s="107">
        <f t="shared" ca="1" si="6"/>
        <v>0</v>
      </c>
      <c r="H21" s="107">
        <f t="shared" ca="1" si="6"/>
        <v>0</v>
      </c>
      <c r="I21" s="107">
        <f t="shared" ca="1" si="6"/>
        <v>0</v>
      </c>
      <c r="J21" s="107">
        <f t="shared" ca="1" si="6"/>
        <v>0</v>
      </c>
      <c r="K21" s="107">
        <f t="shared" ca="1" si="6"/>
        <v>0</v>
      </c>
      <c r="L21" s="107">
        <f t="shared" ca="1" si="6"/>
        <v>0</v>
      </c>
      <c r="M21" s="107">
        <f t="shared" ca="1" si="6"/>
        <v>0</v>
      </c>
      <c r="N21" s="107">
        <f t="shared" ca="1" si="6"/>
        <v>0</v>
      </c>
      <c r="O21" s="107">
        <f t="shared" ca="1" si="6"/>
        <v>0</v>
      </c>
      <c r="P21" s="107">
        <v>1800</v>
      </c>
      <c r="Q21" s="107">
        <f t="shared" ca="1" si="7"/>
        <v>0</v>
      </c>
      <c r="R21" s="107">
        <f t="shared" ca="1" si="7"/>
        <v>0</v>
      </c>
      <c r="S21" s="107">
        <f t="shared" ca="1" si="7"/>
        <v>0</v>
      </c>
      <c r="T21" s="107">
        <v>2000</v>
      </c>
      <c r="U21" s="107">
        <f t="shared" ca="1" si="4"/>
        <v>0</v>
      </c>
      <c r="V21" s="107">
        <v>212.8</v>
      </c>
      <c r="W21" s="107">
        <f ca="1">IFERROR(U21/S21*100,0)</f>
        <v>0</v>
      </c>
      <c r="X21" s="107">
        <v>1046.5</v>
      </c>
      <c r="Y21" s="107">
        <f ca="1">IFERROR(W21/U21*100,0)</f>
        <v>0</v>
      </c>
      <c r="Z21" s="107">
        <v>0</v>
      </c>
      <c r="AA21" s="107">
        <f t="shared" ref="AA21:AE22" ca="1" si="8">IFERROR(Y21/W21*100,0)</f>
        <v>0</v>
      </c>
      <c r="AB21" s="107">
        <f t="shared" si="8"/>
        <v>0</v>
      </c>
      <c r="AC21" s="107">
        <f t="shared" ca="1" si="8"/>
        <v>0</v>
      </c>
      <c r="AD21" s="107">
        <f t="shared" si="8"/>
        <v>0</v>
      </c>
      <c r="AE21" s="107">
        <f t="shared" ca="1" si="8"/>
        <v>0</v>
      </c>
      <c r="AF21" s="101"/>
      <c r="AG21" s="102"/>
      <c r="AH21" s="155"/>
    </row>
    <row r="22" spans="1:34" x14ac:dyDescent="0.3">
      <c r="A22" s="106" t="s">
        <v>170</v>
      </c>
      <c r="B22" s="107">
        <f ca="1">J22+L22+N22+P22+R22+T22+V22+X22+Z22+AB22+AD22+H22</f>
        <v>812.5</v>
      </c>
      <c r="C22" s="107">
        <f ca="1">SUM(H22)</f>
        <v>0</v>
      </c>
      <c r="D22" s="107">
        <f ca="1">E22</f>
        <v>0</v>
      </c>
      <c r="E22" s="107">
        <f ca="1">SUM(I22,K22,M22,O22,Q22,S22,U22,W22,Y22,AA22,AC22,AE22)</f>
        <v>0</v>
      </c>
      <c r="F22" s="107">
        <f ca="1">IFERROR(E22/B22*100,0)</f>
        <v>0</v>
      </c>
      <c r="G22" s="107">
        <f t="shared" ca="1" si="6"/>
        <v>0</v>
      </c>
      <c r="H22" s="107">
        <f t="shared" ca="1" si="6"/>
        <v>0</v>
      </c>
      <c r="I22" s="107">
        <f t="shared" ca="1" si="6"/>
        <v>0</v>
      </c>
      <c r="J22" s="107">
        <f t="shared" ca="1" si="6"/>
        <v>0</v>
      </c>
      <c r="K22" s="107">
        <f t="shared" ca="1" si="6"/>
        <v>0</v>
      </c>
      <c r="L22" s="107">
        <f t="shared" ca="1" si="6"/>
        <v>0</v>
      </c>
      <c r="M22" s="107">
        <f t="shared" ca="1" si="6"/>
        <v>0</v>
      </c>
      <c r="N22" s="107">
        <f t="shared" ca="1" si="6"/>
        <v>0</v>
      </c>
      <c r="O22" s="107">
        <f t="shared" ca="1" si="6"/>
        <v>0</v>
      </c>
      <c r="P22" s="107">
        <f ca="1">IFERROR(N22/L22*100,0)</f>
        <v>0</v>
      </c>
      <c r="Q22" s="107">
        <f t="shared" ca="1" si="7"/>
        <v>0</v>
      </c>
      <c r="R22" s="107">
        <f t="shared" ca="1" si="7"/>
        <v>0</v>
      </c>
      <c r="S22" s="107">
        <f t="shared" ca="1" si="7"/>
        <v>0</v>
      </c>
      <c r="T22" s="107">
        <f ca="1">IFERROR(R22/P22*100,0)</f>
        <v>0</v>
      </c>
      <c r="U22" s="107">
        <f t="shared" ca="1" si="4"/>
        <v>0</v>
      </c>
      <c r="V22" s="107">
        <f t="shared" ca="1" si="4"/>
        <v>0</v>
      </c>
      <c r="W22" s="107">
        <f ca="1">IFERROR(U22/S22*100,0)</f>
        <v>0</v>
      </c>
      <c r="X22" s="107">
        <v>812.5</v>
      </c>
      <c r="Y22" s="107">
        <f ca="1">IFERROR(W22/U22*100,0)</f>
        <v>0</v>
      </c>
      <c r="Z22" s="107">
        <f ca="1">IFERROR(X22/V22*100,0)</f>
        <v>0</v>
      </c>
      <c r="AA22" s="107">
        <f t="shared" ca="1" si="8"/>
        <v>0</v>
      </c>
      <c r="AB22" s="107">
        <f t="shared" ca="1" si="8"/>
        <v>0</v>
      </c>
      <c r="AC22" s="107">
        <f t="shared" ca="1" si="8"/>
        <v>0</v>
      </c>
      <c r="AD22" s="107">
        <f t="shared" ca="1" si="8"/>
        <v>0</v>
      </c>
      <c r="AE22" s="107">
        <f t="shared" ca="1" si="8"/>
        <v>0</v>
      </c>
      <c r="AF22" s="101"/>
      <c r="AG22" s="102"/>
      <c r="AH22" s="155"/>
    </row>
    <row r="23" spans="1:34" s="97" customFormat="1" x14ac:dyDescent="0.3">
      <c r="A23" s="1032" t="s">
        <v>54</v>
      </c>
      <c r="B23" s="1033"/>
      <c r="C23" s="1033"/>
      <c r="D23" s="1033"/>
      <c r="E23" s="1033"/>
      <c r="F23" s="1033"/>
      <c r="G23" s="1033"/>
      <c r="H23" s="1033"/>
      <c r="I23" s="1033"/>
      <c r="J23" s="1033"/>
      <c r="K23" s="1033"/>
      <c r="L23" s="1033"/>
      <c r="M23" s="1033"/>
      <c r="N23" s="1033"/>
      <c r="O23" s="1033"/>
      <c r="P23" s="1033"/>
      <c r="Q23" s="1033"/>
      <c r="R23" s="1033"/>
      <c r="S23" s="1033"/>
      <c r="T23" s="1033"/>
      <c r="U23" s="1033"/>
      <c r="V23" s="1033"/>
      <c r="W23" s="1033"/>
      <c r="X23" s="1033"/>
      <c r="Y23" s="1033"/>
      <c r="Z23" s="1033"/>
      <c r="AA23" s="1033"/>
      <c r="AB23" s="1033"/>
      <c r="AC23" s="1033"/>
      <c r="AD23" s="1033"/>
      <c r="AE23" s="1033"/>
      <c r="AF23" s="1034"/>
      <c r="AG23" s="102">
        <f t="shared" si="1"/>
        <v>0</v>
      </c>
      <c r="AH23" s="155">
        <f t="shared" si="2"/>
        <v>0</v>
      </c>
    </row>
    <row r="24" spans="1:34" ht="75" x14ac:dyDescent="0.3">
      <c r="A24" s="98" t="s">
        <v>252</v>
      </c>
      <c r="B24" s="99"/>
      <c r="C24" s="100"/>
      <c r="D24" s="100"/>
      <c r="E24" s="100"/>
      <c r="F24" s="100"/>
      <c r="G24" s="100"/>
      <c r="H24" s="99"/>
      <c r="I24" s="99"/>
      <c r="J24" s="99"/>
      <c r="K24" s="99"/>
      <c r="L24" s="99"/>
      <c r="M24" s="99"/>
      <c r="N24" s="99"/>
      <c r="O24" s="99"/>
      <c r="P24" s="99"/>
      <c r="Q24" s="99"/>
      <c r="R24" s="99"/>
      <c r="S24" s="99"/>
      <c r="T24" s="99"/>
      <c r="U24" s="99"/>
      <c r="V24" s="99"/>
      <c r="W24" s="99"/>
      <c r="X24" s="99"/>
      <c r="Y24" s="99"/>
      <c r="Z24" s="99"/>
      <c r="AA24" s="99"/>
      <c r="AB24" s="99"/>
      <c r="AC24" s="99"/>
      <c r="AD24" s="99"/>
      <c r="AE24" s="99"/>
      <c r="AF24" s="101"/>
      <c r="AG24" s="102">
        <f t="shared" si="1"/>
        <v>0</v>
      </c>
      <c r="AH24" s="155">
        <f t="shared" si="2"/>
        <v>0</v>
      </c>
    </row>
    <row r="25" spans="1:34" x14ac:dyDescent="0.3">
      <c r="A25" s="103" t="s">
        <v>31</v>
      </c>
      <c r="B25" s="104">
        <f ca="1">B26+B27+B28+B29</f>
        <v>167700.52762000001</v>
      </c>
      <c r="C25" s="104">
        <f ca="1">C26+C27+C28+C29</f>
        <v>53964.225720000002</v>
      </c>
      <c r="D25" s="104">
        <f ca="1">D26+D27+D28+D29</f>
        <v>79535.240000000005</v>
      </c>
      <c r="E25" s="104">
        <f ca="1">E26+E27+E28+E29</f>
        <v>79535.240000000005</v>
      </c>
      <c r="F25" s="105">
        <f ca="1">IFERROR(E25/B25*100,0)</f>
        <v>47.426946789471288</v>
      </c>
      <c r="G25" s="105">
        <f ca="1">IFERROR(E25/C25*100,0)</f>
        <v>147.38512215977738</v>
      </c>
      <c r="H25" s="104">
        <f ca="1">H26+H27+H28+H29</f>
        <v>22611.2346</v>
      </c>
      <c r="I25" s="104">
        <f t="shared" ref="I25:AE25" ca="1" si="9">I26+I27+I28+I29</f>
        <v>38528.04</v>
      </c>
      <c r="J25" s="104">
        <f t="shared" ca="1" si="9"/>
        <v>16302.743499999999</v>
      </c>
      <c r="K25" s="104">
        <f t="shared" ca="1" si="9"/>
        <v>13743.5</v>
      </c>
      <c r="L25" s="104">
        <f t="shared" si="9"/>
        <v>15050.24762</v>
      </c>
      <c r="M25" s="104">
        <f t="shared" si="9"/>
        <v>13514.329999999998</v>
      </c>
      <c r="N25" s="104">
        <f t="shared" si="9"/>
        <v>20456.2791</v>
      </c>
      <c r="O25" s="104">
        <f t="shared" si="9"/>
        <v>11891.699999999999</v>
      </c>
      <c r="P25" s="104">
        <f t="shared" si="9"/>
        <v>15829.979999999998</v>
      </c>
      <c r="Q25" s="104">
        <f t="shared" si="9"/>
        <v>3266.2800000000007</v>
      </c>
      <c r="R25" s="104">
        <f t="shared" si="9"/>
        <v>14647.06</v>
      </c>
      <c r="S25" s="104">
        <f t="shared" si="9"/>
        <v>0</v>
      </c>
      <c r="T25" s="104">
        <f t="shared" si="9"/>
        <v>13826.7618</v>
      </c>
      <c r="U25" s="104">
        <f t="shared" si="9"/>
        <v>0</v>
      </c>
      <c r="V25" s="104">
        <f t="shared" si="9"/>
        <v>11580.4318</v>
      </c>
      <c r="W25" s="104">
        <f t="shared" si="9"/>
        <v>0</v>
      </c>
      <c r="X25" s="104">
        <f t="shared" si="9"/>
        <v>7563.6363999999994</v>
      </c>
      <c r="Y25" s="104">
        <f t="shared" si="9"/>
        <v>0</v>
      </c>
      <c r="Z25" s="104">
        <f t="shared" si="9"/>
        <v>10458.8235</v>
      </c>
      <c r="AA25" s="104">
        <f t="shared" si="9"/>
        <v>0</v>
      </c>
      <c r="AB25" s="104">
        <f t="shared" si="9"/>
        <v>10233.7395</v>
      </c>
      <c r="AC25" s="104">
        <f t="shared" si="9"/>
        <v>0</v>
      </c>
      <c r="AD25" s="104">
        <f t="shared" si="9"/>
        <v>9338.4897999999994</v>
      </c>
      <c r="AE25" s="104">
        <f t="shared" si="9"/>
        <v>0</v>
      </c>
      <c r="AF25" s="101"/>
      <c r="AG25" s="102">
        <f t="shared" ca="1" si="1"/>
        <v>-198.89999999997235</v>
      </c>
      <c r="AH25" s="155">
        <f ca="1">C25-E25</f>
        <v>-25571.014280000003</v>
      </c>
    </row>
    <row r="26" spans="1:34" x14ac:dyDescent="0.3">
      <c r="A26" s="106" t="s">
        <v>169</v>
      </c>
      <c r="B26" s="107">
        <f ca="1">B32+B38+B44+B50+B56</f>
        <v>0</v>
      </c>
      <c r="C26" s="107">
        <f ca="1">C32+C38+C44+C50+C56</f>
        <v>0</v>
      </c>
      <c r="D26" s="107">
        <f>D32+D38+D44+D50+D56</f>
        <v>0</v>
      </c>
      <c r="E26" s="107">
        <f>E32+E38+E44+E50+E56</f>
        <v>0</v>
      </c>
      <c r="F26" s="107">
        <f ca="1">IFERROR(E26/B26*100,0)</f>
        <v>0</v>
      </c>
      <c r="G26" s="107">
        <f ca="1">IFERROR(E26/C26*100,0)</f>
        <v>0</v>
      </c>
      <c r="H26" s="107">
        <f t="shared" ref="H26:AE29" ca="1" si="10">H32+H38+H44+H50+H56</f>
        <v>0</v>
      </c>
      <c r="I26" s="107">
        <f t="shared" si="10"/>
        <v>0</v>
      </c>
      <c r="J26" s="107">
        <f t="shared" si="10"/>
        <v>0</v>
      </c>
      <c r="K26" s="107">
        <f t="shared" si="10"/>
        <v>0</v>
      </c>
      <c r="L26" s="107">
        <f t="shared" si="10"/>
        <v>0</v>
      </c>
      <c r="M26" s="107">
        <f t="shared" si="10"/>
        <v>0</v>
      </c>
      <c r="N26" s="107">
        <f t="shared" si="10"/>
        <v>0</v>
      </c>
      <c r="O26" s="107">
        <f t="shared" si="10"/>
        <v>0</v>
      </c>
      <c r="P26" s="107">
        <f t="shared" si="10"/>
        <v>0</v>
      </c>
      <c r="Q26" s="107">
        <f t="shared" si="10"/>
        <v>0</v>
      </c>
      <c r="R26" s="107">
        <f t="shared" si="10"/>
        <v>0</v>
      </c>
      <c r="S26" s="107">
        <f t="shared" si="10"/>
        <v>0</v>
      </c>
      <c r="T26" s="107">
        <f t="shared" si="10"/>
        <v>0</v>
      </c>
      <c r="U26" s="107">
        <f t="shared" si="10"/>
        <v>0</v>
      </c>
      <c r="V26" s="107">
        <f t="shared" si="10"/>
        <v>0</v>
      </c>
      <c r="W26" s="107">
        <f t="shared" si="10"/>
        <v>0</v>
      </c>
      <c r="X26" s="107">
        <f t="shared" si="10"/>
        <v>0</v>
      </c>
      <c r="Y26" s="107">
        <f t="shared" si="10"/>
        <v>0</v>
      </c>
      <c r="Z26" s="107">
        <f t="shared" si="10"/>
        <v>0</v>
      </c>
      <c r="AA26" s="107">
        <f t="shared" si="10"/>
        <v>0</v>
      </c>
      <c r="AB26" s="107">
        <f t="shared" si="10"/>
        <v>0</v>
      </c>
      <c r="AC26" s="107">
        <f t="shared" si="10"/>
        <v>0</v>
      </c>
      <c r="AD26" s="107">
        <f t="shared" si="10"/>
        <v>0</v>
      </c>
      <c r="AE26" s="107">
        <f t="shared" si="10"/>
        <v>0</v>
      </c>
      <c r="AF26" s="101"/>
      <c r="AG26" s="102">
        <f t="shared" ca="1" si="1"/>
        <v>0</v>
      </c>
      <c r="AH26" s="155">
        <f t="shared" ca="1" si="2"/>
        <v>0</v>
      </c>
    </row>
    <row r="27" spans="1:34" x14ac:dyDescent="0.3">
      <c r="A27" s="106" t="s">
        <v>32</v>
      </c>
      <c r="B27" s="107">
        <f ca="1">B33+B39+B45+B51+B57</f>
        <v>1741.1999999999998</v>
      </c>
      <c r="C27" s="107">
        <f ca="1">H27+J27+L27</f>
        <v>0</v>
      </c>
      <c r="D27" s="107">
        <f t="shared" ref="D27:E29" ca="1" si="11">D33+D39+D45+D51+D57</f>
        <v>0</v>
      </c>
      <c r="E27" s="107">
        <f t="shared" ca="1" si="11"/>
        <v>0</v>
      </c>
      <c r="F27" s="107">
        <f ca="1">IFERROR(E27/B27*100,0)</f>
        <v>0</v>
      </c>
      <c r="G27" s="107">
        <f ca="1">IFERROR(E27/C27*100,0)</f>
        <v>0</v>
      </c>
      <c r="H27" s="107">
        <f t="shared" ca="1" si="10"/>
        <v>0</v>
      </c>
      <c r="I27" s="107">
        <f t="shared" ca="1" si="10"/>
        <v>0</v>
      </c>
      <c r="J27" s="107">
        <f t="shared" ca="1" si="10"/>
        <v>0</v>
      </c>
      <c r="K27" s="107">
        <f t="shared" ca="1" si="10"/>
        <v>0</v>
      </c>
      <c r="L27" s="107">
        <f t="shared" si="10"/>
        <v>0</v>
      </c>
      <c r="M27" s="107">
        <f t="shared" si="10"/>
        <v>0</v>
      </c>
      <c r="N27" s="107">
        <f t="shared" si="10"/>
        <v>0</v>
      </c>
      <c r="O27" s="107">
        <f t="shared" si="10"/>
        <v>0</v>
      </c>
      <c r="P27" s="107">
        <f t="shared" si="10"/>
        <v>0</v>
      </c>
      <c r="Q27" s="107">
        <f t="shared" si="10"/>
        <v>1408.6100000000001</v>
      </c>
      <c r="R27" s="107">
        <f t="shared" si="10"/>
        <v>1090.5999999999999</v>
      </c>
      <c r="S27" s="107">
        <f t="shared" si="10"/>
        <v>0</v>
      </c>
      <c r="T27" s="107">
        <f t="shared" si="10"/>
        <v>650.6</v>
      </c>
      <c r="U27" s="107">
        <f t="shared" si="10"/>
        <v>0</v>
      </c>
      <c r="V27" s="107">
        <f t="shared" si="10"/>
        <v>0</v>
      </c>
      <c r="W27" s="107">
        <f t="shared" si="10"/>
        <v>0</v>
      </c>
      <c r="X27" s="107">
        <f t="shared" si="10"/>
        <v>0</v>
      </c>
      <c r="Y27" s="107">
        <f t="shared" si="10"/>
        <v>0</v>
      </c>
      <c r="Z27" s="107">
        <f t="shared" si="10"/>
        <v>0</v>
      </c>
      <c r="AA27" s="107">
        <f t="shared" si="10"/>
        <v>0</v>
      </c>
      <c r="AB27" s="107">
        <f t="shared" si="10"/>
        <v>0</v>
      </c>
      <c r="AC27" s="107">
        <f t="shared" si="10"/>
        <v>0</v>
      </c>
      <c r="AD27" s="107">
        <f t="shared" si="10"/>
        <v>0</v>
      </c>
      <c r="AE27" s="107">
        <f t="shared" si="10"/>
        <v>0</v>
      </c>
      <c r="AF27" s="101"/>
      <c r="AG27" s="102">
        <f t="shared" ca="1" si="1"/>
        <v>-1.1368683772161603E-13</v>
      </c>
      <c r="AH27" s="155">
        <f t="shared" ca="1" si="2"/>
        <v>0</v>
      </c>
    </row>
    <row r="28" spans="1:34" x14ac:dyDescent="0.3">
      <c r="A28" s="106" t="s">
        <v>33</v>
      </c>
      <c r="B28" s="107">
        <f ca="1">B34+B40+B46+B52+B58</f>
        <v>165959.32762</v>
      </c>
      <c r="C28" s="107">
        <f ca="1">H28+J28+L28</f>
        <v>53964.225720000002</v>
      </c>
      <c r="D28" s="107">
        <f t="shared" ca="1" si="11"/>
        <v>79535.240000000005</v>
      </c>
      <c r="E28" s="107">
        <f t="shared" ca="1" si="11"/>
        <v>79535.240000000005</v>
      </c>
      <c r="F28" s="107">
        <f ca="1">IFERROR(E28/B28*100,0)</f>
        <v>47.92453737949171</v>
      </c>
      <c r="G28" s="107">
        <f ca="1">IFERROR(E28/C28*100,0)</f>
        <v>147.38512215977738</v>
      </c>
      <c r="H28" s="107">
        <f t="shared" ca="1" si="10"/>
        <v>22611.2346</v>
      </c>
      <c r="I28" s="107">
        <f t="shared" ca="1" si="10"/>
        <v>38528.04</v>
      </c>
      <c r="J28" s="107">
        <f t="shared" ca="1" si="10"/>
        <v>16302.743499999999</v>
      </c>
      <c r="K28" s="107">
        <f t="shared" ca="1" si="10"/>
        <v>13743.5</v>
      </c>
      <c r="L28" s="107">
        <f t="shared" si="10"/>
        <v>15050.24762</v>
      </c>
      <c r="M28" s="107">
        <f t="shared" si="10"/>
        <v>13514.329999999998</v>
      </c>
      <c r="N28" s="107">
        <f t="shared" si="10"/>
        <v>20257.379099999998</v>
      </c>
      <c r="O28" s="107">
        <f t="shared" si="10"/>
        <v>11891.699999999999</v>
      </c>
      <c r="P28" s="107">
        <f t="shared" si="10"/>
        <v>15829.979999999998</v>
      </c>
      <c r="Q28" s="107">
        <f t="shared" si="10"/>
        <v>1857.6700000000003</v>
      </c>
      <c r="R28" s="107">
        <f t="shared" si="10"/>
        <v>13556.46</v>
      </c>
      <c r="S28" s="107">
        <f t="shared" si="10"/>
        <v>0</v>
      </c>
      <c r="T28" s="107">
        <f t="shared" si="10"/>
        <v>13176.1618</v>
      </c>
      <c r="U28" s="107">
        <f t="shared" si="10"/>
        <v>0</v>
      </c>
      <c r="V28" s="107">
        <f t="shared" si="10"/>
        <v>11580.4318</v>
      </c>
      <c r="W28" s="107">
        <f t="shared" si="10"/>
        <v>0</v>
      </c>
      <c r="X28" s="107">
        <f t="shared" si="10"/>
        <v>7563.6363999999994</v>
      </c>
      <c r="Y28" s="107">
        <f t="shared" si="10"/>
        <v>0</v>
      </c>
      <c r="Z28" s="107">
        <f t="shared" si="10"/>
        <v>10458.8235</v>
      </c>
      <c r="AA28" s="107">
        <f t="shared" si="10"/>
        <v>0</v>
      </c>
      <c r="AB28" s="107">
        <f t="shared" si="10"/>
        <v>10233.7395</v>
      </c>
      <c r="AC28" s="107">
        <f t="shared" si="10"/>
        <v>0</v>
      </c>
      <c r="AD28" s="107">
        <f t="shared" si="10"/>
        <v>9338.4897999999994</v>
      </c>
      <c r="AE28" s="107">
        <f t="shared" si="10"/>
        <v>0</v>
      </c>
      <c r="AF28" s="101"/>
      <c r="AG28" s="102">
        <f t="shared" ca="1" si="1"/>
        <v>2.1827872842550278E-11</v>
      </c>
      <c r="AH28" s="155">
        <f ca="1">C28-E28</f>
        <v>-25571.014280000003</v>
      </c>
    </row>
    <row r="29" spans="1:34" x14ac:dyDescent="0.3">
      <c r="A29" s="106" t="s">
        <v>170</v>
      </c>
      <c r="B29" s="107">
        <f>B35+B41+B47+B53+B59</f>
        <v>0</v>
      </c>
      <c r="C29" s="107">
        <f ca="1">H29+J29+L29</f>
        <v>0</v>
      </c>
      <c r="D29" s="107">
        <f t="shared" si="11"/>
        <v>0</v>
      </c>
      <c r="E29" s="107">
        <f t="shared" si="11"/>
        <v>0</v>
      </c>
      <c r="F29" s="107">
        <f>IFERROR(E29/B29*100,0)</f>
        <v>0</v>
      </c>
      <c r="G29" s="107">
        <f ca="1">IFERROR(E29/C29*100,0)</f>
        <v>0</v>
      </c>
      <c r="H29" s="107">
        <f t="shared" ca="1" si="10"/>
        <v>0</v>
      </c>
      <c r="I29" s="107">
        <f t="shared" ca="1" si="10"/>
        <v>0</v>
      </c>
      <c r="J29" s="107">
        <f t="shared" ca="1" si="10"/>
        <v>0</v>
      </c>
      <c r="K29" s="107">
        <f t="shared" ca="1" si="10"/>
        <v>0</v>
      </c>
      <c r="L29" s="107">
        <f t="shared" si="10"/>
        <v>0</v>
      </c>
      <c r="M29" s="107">
        <f t="shared" si="10"/>
        <v>0</v>
      </c>
      <c r="N29" s="107">
        <f t="shared" si="10"/>
        <v>198.9</v>
      </c>
      <c r="O29" s="107">
        <f t="shared" si="10"/>
        <v>0</v>
      </c>
      <c r="P29" s="107">
        <f t="shared" si="10"/>
        <v>0</v>
      </c>
      <c r="Q29" s="107">
        <f t="shared" si="10"/>
        <v>0</v>
      </c>
      <c r="R29" s="107">
        <f t="shared" si="10"/>
        <v>0</v>
      </c>
      <c r="S29" s="107">
        <f t="shared" si="10"/>
        <v>0</v>
      </c>
      <c r="T29" s="107">
        <f t="shared" si="10"/>
        <v>0</v>
      </c>
      <c r="U29" s="107">
        <f t="shared" si="10"/>
        <v>0</v>
      </c>
      <c r="V29" s="107">
        <f t="shared" si="10"/>
        <v>0</v>
      </c>
      <c r="W29" s="107">
        <f t="shared" si="10"/>
        <v>0</v>
      </c>
      <c r="X29" s="107">
        <f t="shared" si="10"/>
        <v>0</v>
      </c>
      <c r="Y29" s="107">
        <f t="shared" si="10"/>
        <v>0</v>
      </c>
      <c r="Z29" s="107">
        <f t="shared" si="10"/>
        <v>0</v>
      </c>
      <c r="AA29" s="107">
        <f t="shared" si="10"/>
        <v>0</v>
      </c>
      <c r="AB29" s="107">
        <f t="shared" si="10"/>
        <v>0</v>
      </c>
      <c r="AC29" s="107">
        <f t="shared" si="10"/>
        <v>0</v>
      </c>
      <c r="AD29" s="107">
        <f t="shared" si="10"/>
        <v>0</v>
      </c>
      <c r="AE29" s="107">
        <f t="shared" si="10"/>
        <v>0</v>
      </c>
      <c r="AF29" s="101"/>
      <c r="AG29" s="102">
        <f t="shared" ca="1" si="1"/>
        <v>-198.9</v>
      </c>
      <c r="AH29" s="155">
        <f t="shared" ca="1" si="2"/>
        <v>0</v>
      </c>
    </row>
    <row r="30" spans="1:34" ht="190.5" customHeight="1" x14ac:dyDescent="0.3">
      <c r="A30" s="799" t="s">
        <v>253</v>
      </c>
      <c r="B30" s="109"/>
      <c r="C30" s="110"/>
      <c r="D30" s="110"/>
      <c r="E30" s="110"/>
      <c r="F30" s="110"/>
      <c r="G30" s="110"/>
      <c r="H30" s="111"/>
      <c r="I30" s="111"/>
      <c r="J30" s="111"/>
      <c r="K30" s="111"/>
      <c r="L30" s="111"/>
      <c r="M30" s="111"/>
      <c r="N30" s="111"/>
      <c r="O30" s="111"/>
      <c r="P30" s="111"/>
      <c r="Q30" s="111"/>
      <c r="R30" s="111"/>
      <c r="S30" s="111"/>
      <c r="T30" s="111"/>
      <c r="U30" s="111"/>
      <c r="V30" s="111"/>
      <c r="W30" s="111"/>
      <c r="X30" s="111"/>
      <c r="Y30" s="111"/>
      <c r="Z30" s="111"/>
      <c r="AA30" s="111"/>
      <c r="AB30" s="111"/>
      <c r="AC30" s="111"/>
      <c r="AD30" s="111"/>
      <c r="AE30" s="111"/>
      <c r="AF30" s="734" t="s">
        <v>540</v>
      </c>
      <c r="AG30" s="102">
        <f t="shared" si="1"/>
        <v>0</v>
      </c>
      <c r="AH30" s="155">
        <f>C30-E30</f>
        <v>0</v>
      </c>
    </row>
    <row r="31" spans="1:34" x14ac:dyDescent="0.3">
      <c r="A31" s="112" t="s">
        <v>31</v>
      </c>
      <c r="B31" s="647">
        <f ca="1">B33+B34+B32+B35</f>
        <v>2603.5754000000002</v>
      </c>
      <c r="C31" s="647">
        <f ca="1">C33+C34+C32+C35</f>
        <v>1672.579</v>
      </c>
      <c r="D31" s="829">
        <f>D33+D34+D32+D35</f>
        <v>1126.55</v>
      </c>
      <c r="E31" s="121">
        <f>E33+E34+E32+E35</f>
        <v>1126.55</v>
      </c>
      <c r="F31" s="113">
        <f ca="1">IFERROR(E31/B31*100,0)</f>
        <v>43.269344148819343</v>
      </c>
      <c r="G31" s="113">
        <f ca="1">IFERROR(E31/C31*100,0)</f>
        <v>67.354068178543429</v>
      </c>
      <c r="H31" s="113">
        <f t="shared" ref="H31:AE31" ca="1" si="12">H33+H34+H32+H35</f>
        <v>130.49279999999999</v>
      </c>
      <c r="I31" s="113">
        <f t="shared" si="12"/>
        <v>130.49</v>
      </c>
      <c r="J31" s="113">
        <f t="shared" si="12"/>
        <v>1130.4317000000001</v>
      </c>
      <c r="K31" s="113">
        <f t="shared" si="12"/>
        <v>141.19999999999999</v>
      </c>
      <c r="L31" s="113">
        <f t="shared" si="12"/>
        <v>242.60720000000001</v>
      </c>
      <c r="M31" s="113">
        <f t="shared" si="12"/>
        <v>295.3</v>
      </c>
      <c r="N31" s="113">
        <f t="shared" si="12"/>
        <v>169.04730000000001</v>
      </c>
      <c r="O31" s="113">
        <f t="shared" si="12"/>
        <v>333.9</v>
      </c>
      <c r="P31" s="113">
        <f>P33+P34+P32+P35</f>
        <v>181.43</v>
      </c>
      <c r="Q31" s="113">
        <f t="shared" si="12"/>
        <v>225.66</v>
      </c>
      <c r="R31" s="113">
        <f t="shared" si="12"/>
        <v>0</v>
      </c>
      <c r="S31" s="113">
        <f t="shared" si="12"/>
        <v>0</v>
      </c>
      <c r="T31" s="113">
        <f t="shared" si="12"/>
        <v>0</v>
      </c>
      <c r="U31" s="113">
        <f t="shared" si="12"/>
        <v>0</v>
      </c>
      <c r="V31" s="113">
        <f t="shared" si="12"/>
        <v>0</v>
      </c>
      <c r="W31" s="113">
        <f t="shared" si="12"/>
        <v>0</v>
      </c>
      <c r="X31" s="113">
        <f t="shared" si="12"/>
        <v>164.81460000000001</v>
      </c>
      <c r="Y31" s="113">
        <f t="shared" si="12"/>
        <v>0</v>
      </c>
      <c r="Z31" s="113">
        <f t="shared" si="12"/>
        <v>292.48169999999999</v>
      </c>
      <c r="AA31" s="113">
        <f t="shared" si="12"/>
        <v>0</v>
      </c>
      <c r="AB31" s="113">
        <f t="shared" si="12"/>
        <v>275.75209999999998</v>
      </c>
      <c r="AC31" s="113">
        <f t="shared" si="12"/>
        <v>0</v>
      </c>
      <c r="AD31" s="113">
        <f t="shared" si="12"/>
        <v>16.518000000000001</v>
      </c>
      <c r="AE31" s="113">
        <f t="shared" si="12"/>
        <v>0</v>
      </c>
      <c r="AF31" s="29"/>
      <c r="AG31" s="102">
        <f t="shared" ca="1" si="1"/>
        <v>1.4210854715202004E-13</v>
      </c>
      <c r="AH31" s="155">
        <f ca="1">C31-E31</f>
        <v>546.029</v>
      </c>
    </row>
    <row r="32" spans="1:34" x14ac:dyDescent="0.3">
      <c r="A32" s="115" t="s">
        <v>169</v>
      </c>
      <c r="B32" s="116">
        <f ca="1">J32+L32+N32+P32+R32+T32+V32+X32+Z32+AB32+AD32+H32</f>
        <v>0</v>
      </c>
      <c r="C32" s="117">
        <f ca="1">H32+J32+L32</f>
        <v>0</v>
      </c>
      <c r="D32" s="118">
        <f>E32</f>
        <v>0</v>
      </c>
      <c r="E32" s="117">
        <f>SUM(I32,K32,M32,O32,Q32,S32,U32,W32,Y32,AA32,AC32,AE32)</f>
        <v>0</v>
      </c>
      <c r="F32" s="116">
        <f ca="1">IFERROR(E32/B32*100,0)</f>
        <v>0</v>
      </c>
      <c r="G32" s="116">
        <f ca="1">IFERROR(E32/C32*100,0)</f>
        <v>0</v>
      </c>
      <c r="H32" s="116">
        <f ca="1">IFERROR(F32/D32*100,0)</f>
        <v>0</v>
      </c>
      <c r="I32" s="111">
        <v>0</v>
      </c>
      <c r="J32" s="111">
        <v>0</v>
      </c>
      <c r="K32" s="111">
        <v>0</v>
      </c>
      <c r="L32" s="111">
        <v>0</v>
      </c>
      <c r="M32" s="111">
        <v>0</v>
      </c>
      <c r="N32" s="111">
        <v>0</v>
      </c>
      <c r="O32" s="111">
        <v>0</v>
      </c>
      <c r="P32" s="111">
        <v>0</v>
      </c>
      <c r="Q32" s="111">
        <v>0</v>
      </c>
      <c r="R32" s="111">
        <v>0</v>
      </c>
      <c r="S32" s="111">
        <v>0</v>
      </c>
      <c r="T32" s="111">
        <v>0</v>
      </c>
      <c r="U32" s="111">
        <v>0</v>
      </c>
      <c r="V32" s="111">
        <v>0</v>
      </c>
      <c r="W32" s="111">
        <v>0</v>
      </c>
      <c r="X32" s="111">
        <v>0</v>
      </c>
      <c r="Y32" s="111">
        <v>0</v>
      </c>
      <c r="Z32" s="111">
        <v>0</v>
      </c>
      <c r="AA32" s="111">
        <v>0</v>
      </c>
      <c r="AB32" s="111">
        <v>0</v>
      </c>
      <c r="AC32" s="111">
        <v>0</v>
      </c>
      <c r="AD32" s="111">
        <v>0</v>
      </c>
      <c r="AE32" s="111">
        <v>0</v>
      </c>
      <c r="AF32" s="29"/>
      <c r="AG32" s="102">
        <f t="shared" ca="1" si="1"/>
        <v>0</v>
      </c>
      <c r="AH32" s="155">
        <f t="shared" ca="1" si="2"/>
        <v>0</v>
      </c>
    </row>
    <row r="33" spans="1:35" x14ac:dyDescent="0.3">
      <c r="A33" s="115" t="s">
        <v>32</v>
      </c>
      <c r="B33" s="116">
        <f>J33+L33+N33+P33+R33+T33+V33+X33+Z33+AB33+AD33+H33</f>
        <v>0</v>
      </c>
      <c r="C33" s="117">
        <f>H33+J33+L33</f>
        <v>0</v>
      </c>
      <c r="D33" s="118">
        <f>E33</f>
        <v>0</v>
      </c>
      <c r="E33" s="117">
        <f>SUM(I33,K33,M33,O33,Q33,S33,U33,W33,Y33,AA33,AC33,AE33)</f>
        <v>0</v>
      </c>
      <c r="F33" s="116">
        <f>IFERROR(E33/B33*100,0)</f>
        <v>0</v>
      </c>
      <c r="G33" s="116">
        <f>IFERROR(E33/C33*100,0)</f>
        <v>0</v>
      </c>
      <c r="H33" s="111">
        <v>0</v>
      </c>
      <c r="I33" s="111">
        <v>0</v>
      </c>
      <c r="J33" s="111">
        <v>0</v>
      </c>
      <c r="K33" s="111">
        <v>0</v>
      </c>
      <c r="L33" s="111">
        <v>0</v>
      </c>
      <c r="M33" s="111">
        <v>0</v>
      </c>
      <c r="N33" s="111">
        <v>0</v>
      </c>
      <c r="O33" s="111">
        <v>0</v>
      </c>
      <c r="P33" s="111">
        <v>0</v>
      </c>
      <c r="Q33" s="111">
        <v>0</v>
      </c>
      <c r="R33" s="111">
        <v>0</v>
      </c>
      <c r="S33" s="111">
        <v>0</v>
      </c>
      <c r="T33" s="111">
        <v>0</v>
      </c>
      <c r="U33" s="111">
        <v>0</v>
      </c>
      <c r="V33" s="111">
        <v>0</v>
      </c>
      <c r="W33" s="111">
        <v>0</v>
      </c>
      <c r="X33" s="111">
        <v>0</v>
      </c>
      <c r="Y33" s="111">
        <v>0</v>
      </c>
      <c r="Z33" s="111">
        <v>0</v>
      </c>
      <c r="AA33" s="111">
        <v>0</v>
      </c>
      <c r="AB33" s="111">
        <v>0</v>
      </c>
      <c r="AC33" s="111">
        <v>0</v>
      </c>
      <c r="AD33" s="111">
        <v>0</v>
      </c>
      <c r="AE33" s="111">
        <v>0</v>
      </c>
      <c r="AF33" s="29"/>
      <c r="AG33" s="102">
        <f t="shared" si="1"/>
        <v>0</v>
      </c>
      <c r="AH33" s="155">
        <f t="shared" si="2"/>
        <v>0</v>
      </c>
    </row>
    <row r="34" spans="1:35" x14ac:dyDescent="0.3">
      <c r="A34" s="115" t="s">
        <v>33</v>
      </c>
      <c r="B34" s="116">
        <f>J34+L34+N34+P34+R34+T34+V34+X34+Z34+AB34+AD34+H34</f>
        <v>2603.5754000000002</v>
      </c>
      <c r="C34" s="117">
        <f>H34+J34+L34+N34</f>
        <v>1672.579</v>
      </c>
      <c r="D34" s="118">
        <f>E34</f>
        <v>1126.55</v>
      </c>
      <c r="E34" s="713">
        <f>SUM(I34,K34,M34,O34,Q34,S34,U34,W34,Y34,AA34,AC34,AE34)</f>
        <v>1126.55</v>
      </c>
      <c r="F34" s="116">
        <f>IFERROR(E34/B34*100,0)</f>
        <v>43.269344148819343</v>
      </c>
      <c r="G34" s="116">
        <f>IFERROR(E34/C34*100,0)</f>
        <v>67.354068178543429</v>
      </c>
      <c r="H34" s="111">
        <v>130.49279999999999</v>
      </c>
      <c r="I34" s="728">
        <v>130.49</v>
      </c>
      <c r="J34" s="111">
        <v>1130.4317000000001</v>
      </c>
      <c r="K34" s="111">
        <v>141.19999999999999</v>
      </c>
      <c r="L34" s="111">
        <v>242.60720000000001</v>
      </c>
      <c r="M34" s="111">
        <v>295.3</v>
      </c>
      <c r="N34" s="111">
        <v>169.04730000000001</v>
      </c>
      <c r="O34" s="111">
        <v>333.9</v>
      </c>
      <c r="P34" s="111">
        <v>181.43</v>
      </c>
      <c r="Q34" s="111">
        <v>225.66</v>
      </c>
      <c r="R34" s="111">
        <v>0</v>
      </c>
      <c r="S34" s="111">
        <v>0</v>
      </c>
      <c r="T34" s="111">
        <v>0</v>
      </c>
      <c r="U34" s="111">
        <v>0</v>
      </c>
      <c r="V34" s="111">
        <v>0</v>
      </c>
      <c r="W34" s="111">
        <v>0</v>
      </c>
      <c r="X34" s="111">
        <v>164.81460000000001</v>
      </c>
      <c r="Y34" s="111">
        <v>0</v>
      </c>
      <c r="Z34" s="111">
        <v>292.48169999999999</v>
      </c>
      <c r="AA34" s="111">
        <v>0</v>
      </c>
      <c r="AB34" s="111">
        <v>275.75209999999998</v>
      </c>
      <c r="AC34" s="111">
        <v>0</v>
      </c>
      <c r="AD34" s="111">
        <v>16.518000000000001</v>
      </c>
      <c r="AE34" s="111">
        <v>0</v>
      </c>
      <c r="AF34" s="29"/>
      <c r="AG34" s="102">
        <f>B34-H34-J34-L34-N34-P34-R34-T34-V34-X34-Z34-AB34-AD34</f>
        <v>1.4210854715202004E-13</v>
      </c>
      <c r="AH34" s="745">
        <f>C34-E34</f>
        <v>546.029</v>
      </c>
      <c r="AI34" s="738">
        <v>0</v>
      </c>
    </row>
    <row r="35" spans="1:35" x14ac:dyDescent="0.3">
      <c r="A35" s="115" t="s">
        <v>170</v>
      </c>
      <c r="B35" s="116">
        <v>0</v>
      </c>
      <c r="C35" s="116">
        <v>0</v>
      </c>
      <c r="D35" s="116">
        <v>0</v>
      </c>
      <c r="E35" s="116">
        <v>0</v>
      </c>
      <c r="F35" s="116">
        <v>0</v>
      </c>
      <c r="G35" s="116">
        <v>0</v>
      </c>
      <c r="H35" s="116">
        <v>0</v>
      </c>
      <c r="I35" s="116">
        <v>0</v>
      </c>
      <c r="J35" s="116">
        <v>0</v>
      </c>
      <c r="K35" s="116">
        <v>0</v>
      </c>
      <c r="L35" s="116">
        <v>0</v>
      </c>
      <c r="M35" s="116">
        <v>0</v>
      </c>
      <c r="N35" s="116">
        <v>0</v>
      </c>
      <c r="O35" s="116">
        <v>0</v>
      </c>
      <c r="P35" s="116">
        <v>0</v>
      </c>
      <c r="Q35" s="116">
        <v>0</v>
      </c>
      <c r="R35" s="116">
        <v>0</v>
      </c>
      <c r="S35" s="116">
        <v>0</v>
      </c>
      <c r="T35" s="116">
        <v>0</v>
      </c>
      <c r="U35" s="116">
        <v>0</v>
      </c>
      <c r="V35" s="116">
        <v>0</v>
      </c>
      <c r="W35" s="116">
        <v>0</v>
      </c>
      <c r="X35" s="116">
        <v>0</v>
      </c>
      <c r="Y35" s="116">
        <v>0</v>
      </c>
      <c r="Z35" s="116">
        <v>0</v>
      </c>
      <c r="AA35" s="116">
        <v>0</v>
      </c>
      <c r="AB35" s="116">
        <v>0</v>
      </c>
      <c r="AC35" s="116">
        <v>0</v>
      </c>
      <c r="AD35" s="116">
        <v>0</v>
      </c>
      <c r="AE35" s="116">
        <v>0</v>
      </c>
      <c r="AF35" s="29"/>
      <c r="AG35" s="102">
        <f>B35-H35-J35-L35-N35-P35-R35-T35-V35-X35-Z35-AB35-AD35</f>
        <v>0</v>
      </c>
      <c r="AH35" s="155">
        <f t="shared" si="2"/>
        <v>0</v>
      </c>
    </row>
    <row r="36" spans="1:35" ht="294.75" customHeight="1" x14ac:dyDescent="0.3">
      <c r="A36" s="830" t="s">
        <v>254</v>
      </c>
      <c r="B36" s="113"/>
      <c r="C36" s="121"/>
      <c r="D36" s="121"/>
      <c r="E36" s="121"/>
      <c r="F36" s="121"/>
      <c r="G36" s="121"/>
      <c r="H36" s="111"/>
      <c r="I36" s="111"/>
      <c r="J36" s="111"/>
      <c r="K36" s="111"/>
      <c r="L36" s="111"/>
      <c r="M36" s="111"/>
      <c r="N36" s="111"/>
      <c r="O36" s="111"/>
      <c r="P36" s="111"/>
      <c r="Q36" s="111"/>
      <c r="R36" s="111"/>
      <c r="S36" s="111"/>
      <c r="T36" s="111"/>
      <c r="U36" s="111"/>
      <c r="V36" s="111"/>
      <c r="W36" s="111"/>
      <c r="X36" s="111"/>
      <c r="Y36" s="111"/>
      <c r="Z36" s="111"/>
      <c r="AA36" s="111"/>
      <c r="AB36" s="111"/>
      <c r="AC36" s="111"/>
      <c r="AD36" s="111"/>
      <c r="AE36" s="111"/>
      <c r="AF36" s="574" t="s">
        <v>541</v>
      </c>
      <c r="AG36" s="102">
        <f t="shared" si="1"/>
        <v>0</v>
      </c>
      <c r="AH36" s="155">
        <f t="shared" si="2"/>
        <v>0</v>
      </c>
    </row>
    <row r="37" spans="1:35" x14ac:dyDescent="0.3">
      <c r="A37" s="112" t="s">
        <v>31</v>
      </c>
      <c r="B37" s="113">
        <f>B39+B40+B38+B41</f>
        <v>162207.25</v>
      </c>
      <c r="C37" s="113">
        <f>C39+C40+C38+C41</f>
        <v>51906.52</v>
      </c>
      <c r="D37" s="113">
        <f>D39+D40+D38+D41</f>
        <v>78053.680000000008</v>
      </c>
      <c r="E37" s="113">
        <f>E39+E40+E38+E41</f>
        <v>78053.680000000008</v>
      </c>
      <c r="F37" s="113">
        <f>IFERROR(E37/B37*100,0)</f>
        <v>48.119723378578954</v>
      </c>
      <c r="G37" s="113">
        <f>IFERROR(E37/C37*100,0)</f>
        <v>150.3735561544099</v>
      </c>
      <c r="H37" s="113">
        <f t="shared" ref="H37:AE37" si="13">H39+H40+H38+H41</f>
        <v>22467.919999999998</v>
      </c>
      <c r="I37" s="113">
        <f t="shared" si="13"/>
        <v>38397.550000000003</v>
      </c>
      <c r="J37" s="113">
        <f t="shared" si="13"/>
        <v>15159.49</v>
      </c>
      <c r="K37" s="113">
        <f t="shared" si="13"/>
        <v>13602.3</v>
      </c>
      <c r="L37" s="113">
        <f t="shared" si="13"/>
        <v>14279.11</v>
      </c>
      <c r="M37" s="113">
        <f t="shared" si="13"/>
        <v>13188.3</v>
      </c>
      <c r="N37" s="113">
        <f t="shared" si="13"/>
        <v>20075.509999999998</v>
      </c>
      <c r="O37" s="113">
        <f t="shared" si="13"/>
        <v>11509.9</v>
      </c>
      <c r="P37" s="113">
        <f t="shared" si="13"/>
        <v>15209.13</v>
      </c>
      <c r="Q37" s="113">
        <f t="shared" si="13"/>
        <v>2764.2400000000002</v>
      </c>
      <c r="R37" s="113">
        <f t="shared" si="13"/>
        <v>13543.64</v>
      </c>
      <c r="S37" s="113">
        <f t="shared" si="13"/>
        <v>0</v>
      </c>
      <c r="T37" s="113">
        <f t="shared" si="13"/>
        <v>13163.34</v>
      </c>
      <c r="U37" s="113">
        <f t="shared" si="13"/>
        <v>0</v>
      </c>
      <c r="V37" s="113">
        <f t="shared" si="13"/>
        <v>11567.61</v>
      </c>
      <c r="W37" s="113">
        <f t="shared" si="13"/>
        <v>0</v>
      </c>
      <c r="X37" s="113">
        <f t="shared" si="13"/>
        <v>7386</v>
      </c>
      <c r="Y37" s="113">
        <f t="shared" si="13"/>
        <v>0</v>
      </c>
      <c r="Z37" s="113">
        <f t="shared" si="13"/>
        <v>10153.52</v>
      </c>
      <c r="AA37" s="113">
        <f t="shared" si="13"/>
        <v>0</v>
      </c>
      <c r="AB37" s="113">
        <f t="shared" si="13"/>
        <v>9892.83</v>
      </c>
      <c r="AC37" s="113">
        <f t="shared" si="13"/>
        <v>0</v>
      </c>
      <c r="AD37" s="113">
        <f t="shared" si="13"/>
        <v>9309.15</v>
      </c>
      <c r="AE37" s="113">
        <f t="shared" si="13"/>
        <v>0</v>
      </c>
      <c r="AF37" s="29"/>
      <c r="AG37" s="102">
        <f t="shared" si="1"/>
        <v>1.4551915228366852E-11</v>
      </c>
      <c r="AH37" s="155">
        <f t="shared" si="2"/>
        <v>-26147.160000000011</v>
      </c>
    </row>
    <row r="38" spans="1:35" x14ac:dyDescent="0.3">
      <c r="A38" s="115" t="s">
        <v>169</v>
      </c>
      <c r="B38" s="116">
        <v>0</v>
      </c>
      <c r="C38" s="117">
        <v>0</v>
      </c>
      <c r="D38" s="118">
        <v>0</v>
      </c>
      <c r="E38" s="117">
        <v>0</v>
      </c>
      <c r="F38" s="116">
        <v>0</v>
      </c>
      <c r="G38" s="116">
        <v>0</v>
      </c>
      <c r="H38" s="111">
        <v>0</v>
      </c>
      <c r="I38" s="111">
        <v>0</v>
      </c>
      <c r="J38" s="111">
        <v>0</v>
      </c>
      <c r="K38" s="111">
        <v>0</v>
      </c>
      <c r="L38" s="111">
        <v>0</v>
      </c>
      <c r="M38" s="111">
        <v>0</v>
      </c>
      <c r="N38" s="111">
        <v>0</v>
      </c>
      <c r="O38" s="111">
        <v>0</v>
      </c>
      <c r="P38" s="111">
        <v>0</v>
      </c>
      <c r="Q38" s="113">
        <v>0</v>
      </c>
      <c r="R38" s="111">
        <v>0</v>
      </c>
      <c r="S38" s="111">
        <v>0</v>
      </c>
      <c r="T38" s="111">
        <v>0</v>
      </c>
      <c r="U38" s="111">
        <v>0</v>
      </c>
      <c r="V38" s="111">
        <v>0</v>
      </c>
      <c r="W38" s="111">
        <v>0</v>
      </c>
      <c r="X38" s="111">
        <v>0</v>
      </c>
      <c r="Y38" s="111">
        <v>0</v>
      </c>
      <c r="Z38" s="111">
        <v>0</v>
      </c>
      <c r="AA38" s="111">
        <v>0</v>
      </c>
      <c r="AB38" s="111">
        <v>0</v>
      </c>
      <c r="AC38" s="111">
        <v>0</v>
      </c>
      <c r="AD38" s="111">
        <v>0</v>
      </c>
      <c r="AE38" s="111">
        <v>0</v>
      </c>
      <c r="AF38" s="29"/>
      <c r="AG38" s="102">
        <f t="shared" si="1"/>
        <v>0</v>
      </c>
      <c r="AH38" s="155">
        <f t="shared" si="2"/>
        <v>0</v>
      </c>
    </row>
    <row r="39" spans="1:35" x14ac:dyDescent="0.3">
      <c r="A39" s="115" t="s">
        <v>32</v>
      </c>
      <c r="B39" s="116">
        <v>0</v>
      </c>
      <c r="C39" s="117">
        <v>0</v>
      </c>
      <c r="D39" s="118">
        <v>0</v>
      </c>
      <c r="E39" s="117">
        <v>0</v>
      </c>
      <c r="F39" s="116">
        <v>0</v>
      </c>
      <c r="G39" s="116">
        <v>0</v>
      </c>
      <c r="H39" s="111">
        <v>0</v>
      </c>
      <c r="I39" s="111">
        <v>0</v>
      </c>
      <c r="J39" s="111">
        <v>0</v>
      </c>
      <c r="K39" s="111">
        <v>0</v>
      </c>
      <c r="L39" s="111">
        <v>0</v>
      </c>
      <c r="M39" s="111">
        <v>0</v>
      </c>
      <c r="N39" s="111">
        <v>0</v>
      </c>
      <c r="O39" s="111">
        <v>0</v>
      </c>
      <c r="P39" s="111">
        <v>0</v>
      </c>
      <c r="Q39" s="113">
        <f>Q41+Q42+Q40+Q43</f>
        <v>1408.6100000000001</v>
      </c>
      <c r="R39" s="111">
        <v>0</v>
      </c>
      <c r="S39" s="111">
        <v>0</v>
      </c>
      <c r="T39" s="111">
        <v>0</v>
      </c>
      <c r="U39" s="111">
        <v>0</v>
      </c>
      <c r="V39" s="111">
        <v>0</v>
      </c>
      <c r="W39" s="111">
        <v>0</v>
      </c>
      <c r="X39" s="111">
        <v>0</v>
      </c>
      <c r="Y39" s="111">
        <v>0</v>
      </c>
      <c r="Z39" s="111">
        <v>0</v>
      </c>
      <c r="AA39" s="111">
        <v>0</v>
      </c>
      <c r="AB39" s="111">
        <v>0</v>
      </c>
      <c r="AC39" s="111">
        <v>0</v>
      </c>
      <c r="AD39" s="111">
        <v>0</v>
      </c>
      <c r="AE39" s="111">
        <v>0</v>
      </c>
      <c r="AF39" s="29"/>
      <c r="AG39" s="102">
        <f t="shared" si="1"/>
        <v>0</v>
      </c>
      <c r="AH39" s="155">
        <f t="shared" si="2"/>
        <v>0</v>
      </c>
    </row>
    <row r="40" spans="1:35" x14ac:dyDescent="0.3">
      <c r="A40" s="115" t="s">
        <v>33</v>
      </c>
      <c r="B40" s="742">
        <f>J40+L40+N40+P40+R40+T40+V40+X40+Z40+AB40+AD40+H40</f>
        <v>162207.25</v>
      </c>
      <c r="C40" s="713">
        <f>H40+J40+L40</f>
        <v>51906.52</v>
      </c>
      <c r="D40" s="118">
        <f>E40</f>
        <v>78053.680000000008</v>
      </c>
      <c r="E40" s="713">
        <f>SUM(I40,K40,M40,O40,Q40,S40,U40,W40,Y40,AA40,AC40,AE40)</f>
        <v>78053.680000000008</v>
      </c>
      <c r="F40" s="116">
        <f>IFERROR(E40/B40*100,0)</f>
        <v>48.119723378578954</v>
      </c>
      <c r="G40" s="116">
        <f>IFERROR(E40/C40*100,0)</f>
        <v>150.3735561544099</v>
      </c>
      <c r="H40" s="728">
        <v>22467.919999999998</v>
      </c>
      <c r="I40" s="728">
        <v>38397.550000000003</v>
      </c>
      <c r="J40" s="111">
        <v>15159.49</v>
      </c>
      <c r="K40" s="111">
        <v>13602.3</v>
      </c>
      <c r="L40" s="111">
        <v>14279.11</v>
      </c>
      <c r="M40" s="111">
        <v>13188.3</v>
      </c>
      <c r="N40" s="111">
        <v>20075.509999999998</v>
      </c>
      <c r="O40" s="111">
        <v>11509.9</v>
      </c>
      <c r="P40" s="111">
        <v>15209.13</v>
      </c>
      <c r="Q40" s="111">
        <v>1355.63</v>
      </c>
      <c r="R40" s="111">
        <v>13543.64</v>
      </c>
      <c r="S40" s="111">
        <v>0</v>
      </c>
      <c r="T40" s="111">
        <v>13163.34</v>
      </c>
      <c r="U40" s="111">
        <v>0</v>
      </c>
      <c r="V40" s="111">
        <v>11567.61</v>
      </c>
      <c r="W40" s="111">
        <v>0</v>
      </c>
      <c r="X40" s="111">
        <v>7386</v>
      </c>
      <c r="Y40" s="111">
        <v>0</v>
      </c>
      <c r="Z40" s="111">
        <v>10153.52</v>
      </c>
      <c r="AA40" s="111">
        <v>0</v>
      </c>
      <c r="AB40" s="111">
        <v>9892.83</v>
      </c>
      <c r="AC40" s="111">
        <v>0</v>
      </c>
      <c r="AD40" s="111">
        <v>9309.15</v>
      </c>
      <c r="AE40" s="111">
        <v>0</v>
      </c>
      <c r="AF40" s="29"/>
      <c r="AG40" s="102">
        <f t="shared" si="1"/>
        <v>1.4551915228366852E-11</v>
      </c>
      <c r="AH40" s="745">
        <f t="shared" si="2"/>
        <v>-26147.160000000011</v>
      </c>
      <c r="AI40" s="738">
        <v>0</v>
      </c>
    </row>
    <row r="41" spans="1:35" x14ac:dyDescent="0.3">
      <c r="A41" s="115" t="s">
        <v>170</v>
      </c>
      <c r="B41" s="116"/>
      <c r="C41" s="117"/>
      <c r="D41" s="118"/>
      <c r="E41" s="117"/>
      <c r="F41" s="116"/>
      <c r="G41" s="116"/>
      <c r="H41" s="111"/>
      <c r="I41" s="111"/>
      <c r="J41" s="111"/>
      <c r="K41" s="111"/>
      <c r="L41" s="111"/>
      <c r="M41" s="111"/>
      <c r="N41" s="111"/>
      <c r="O41" s="111"/>
      <c r="P41" s="111"/>
      <c r="Q41" s="111"/>
      <c r="R41" s="111"/>
      <c r="S41" s="111"/>
      <c r="T41" s="111"/>
      <c r="U41" s="111"/>
      <c r="V41" s="111"/>
      <c r="W41" s="111"/>
      <c r="X41" s="111"/>
      <c r="Y41" s="111"/>
      <c r="Z41" s="111"/>
      <c r="AA41" s="111"/>
      <c r="AB41" s="111"/>
      <c r="AC41" s="111"/>
      <c r="AD41" s="111"/>
      <c r="AE41" s="111"/>
      <c r="AF41" s="29"/>
      <c r="AG41" s="102">
        <f t="shared" si="1"/>
        <v>0</v>
      </c>
      <c r="AH41" s="155">
        <f t="shared" si="2"/>
        <v>0</v>
      </c>
    </row>
    <row r="42" spans="1:35" ht="409.5" x14ac:dyDescent="0.3">
      <c r="A42" s="122" t="s">
        <v>255</v>
      </c>
      <c r="B42" s="113"/>
      <c r="C42" s="121"/>
      <c r="D42" s="121"/>
      <c r="E42" s="121"/>
      <c r="F42" s="121"/>
      <c r="G42" s="121"/>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c r="AE42" s="111"/>
      <c r="AF42" s="575" t="s">
        <v>542</v>
      </c>
      <c r="AG42" s="102">
        <f t="shared" si="1"/>
        <v>0</v>
      </c>
      <c r="AH42" s="155">
        <f t="shared" si="2"/>
        <v>0</v>
      </c>
    </row>
    <row r="43" spans="1:35" x14ac:dyDescent="0.3">
      <c r="A43" s="112" t="s">
        <v>31</v>
      </c>
      <c r="B43" s="647">
        <f>B45+B46+B44+B47</f>
        <v>386.00221999999997</v>
      </c>
      <c r="C43" s="113">
        <f>C45+C46+C44+C47</f>
        <v>149.37402</v>
      </c>
      <c r="D43" s="113">
        <f>D45+D46+D44+D47</f>
        <v>131.60999999999999</v>
      </c>
      <c r="E43" s="113">
        <f>E45+E46+E44+E47</f>
        <v>131.60999999999999</v>
      </c>
      <c r="F43" s="113">
        <f>IFERROR(E43/B43*100,0)</f>
        <v>34.095658828076168</v>
      </c>
      <c r="G43" s="113">
        <f>IFERROR(E43/C43*100,0)</f>
        <v>88.107691016148578</v>
      </c>
      <c r="H43" s="113">
        <f t="shared" ref="H43:AE43" si="14">H45+H46+H44+H47</f>
        <v>12.8218</v>
      </c>
      <c r="I43" s="113">
        <f t="shared" si="14"/>
        <v>0</v>
      </c>
      <c r="J43" s="113">
        <f t="shared" si="14"/>
        <v>12.8218</v>
      </c>
      <c r="K43" s="113">
        <f t="shared" si="14"/>
        <v>0</v>
      </c>
      <c r="L43" s="113">
        <f t="shared" si="14"/>
        <v>123.73042</v>
      </c>
      <c r="M43" s="113">
        <f t="shared" si="14"/>
        <v>30.73</v>
      </c>
      <c r="N43" s="113">
        <f t="shared" si="14"/>
        <v>12.8218</v>
      </c>
      <c r="O43" s="113">
        <f t="shared" si="14"/>
        <v>47.9</v>
      </c>
      <c r="P43" s="113">
        <f t="shared" si="14"/>
        <v>81.72</v>
      </c>
      <c r="Q43" s="113">
        <f t="shared" si="14"/>
        <v>52.98</v>
      </c>
      <c r="R43" s="113">
        <f t="shared" si="14"/>
        <v>12.82</v>
      </c>
      <c r="S43" s="113">
        <f t="shared" si="14"/>
        <v>0</v>
      </c>
      <c r="T43" s="113">
        <f t="shared" si="14"/>
        <v>12.8218</v>
      </c>
      <c r="U43" s="113">
        <f t="shared" si="14"/>
        <v>0</v>
      </c>
      <c r="V43" s="113">
        <f t="shared" si="14"/>
        <v>12.8218</v>
      </c>
      <c r="W43" s="113">
        <f t="shared" si="14"/>
        <v>0</v>
      </c>
      <c r="X43" s="113">
        <f t="shared" si="14"/>
        <v>12.8218</v>
      </c>
      <c r="Y43" s="113">
        <f t="shared" si="14"/>
        <v>0</v>
      </c>
      <c r="Z43" s="113">
        <f t="shared" si="14"/>
        <v>12.8218</v>
      </c>
      <c r="AA43" s="113">
        <f t="shared" si="14"/>
        <v>0</v>
      </c>
      <c r="AB43" s="113">
        <f t="shared" si="14"/>
        <v>65.157399999999996</v>
      </c>
      <c r="AC43" s="113">
        <f t="shared" si="14"/>
        <v>0</v>
      </c>
      <c r="AD43" s="113">
        <f t="shared" si="14"/>
        <v>12.8218</v>
      </c>
      <c r="AE43" s="113">
        <f t="shared" si="14"/>
        <v>0</v>
      </c>
      <c r="AF43" s="29"/>
      <c r="AG43" s="102">
        <f t="shared" si="1"/>
        <v>2.4868995751603507E-14</v>
      </c>
      <c r="AH43" s="155">
        <f t="shared" si="2"/>
        <v>17.764020000000016</v>
      </c>
    </row>
    <row r="44" spans="1:35" x14ac:dyDescent="0.3">
      <c r="A44" s="115" t="s">
        <v>169</v>
      </c>
      <c r="B44" s="116">
        <v>0</v>
      </c>
      <c r="C44" s="116">
        <v>0</v>
      </c>
      <c r="D44" s="116">
        <v>0</v>
      </c>
      <c r="E44" s="116">
        <v>0</v>
      </c>
      <c r="F44" s="116">
        <v>0</v>
      </c>
      <c r="G44" s="116">
        <v>0</v>
      </c>
      <c r="H44" s="116">
        <v>0</v>
      </c>
      <c r="I44" s="116">
        <v>0</v>
      </c>
      <c r="J44" s="116">
        <v>0</v>
      </c>
      <c r="K44" s="116">
        <v>0</v>
      </c>
      <c r="L44" s="116">
        <v>0</v>
      </c>
      <c r="M44" s="116">
        <v>0</v>
      </c>
      <c r="N44" s="116">
        <v>0</v>
      </c>
      <c r="O44" s="116">
        <v>0</v>
      </c>
      <c r="P44" s="116">
        <v>0</v>
      </c>
      <c r="Q44" s="116">
        <v>0</v>
      </c>
      <c r="R44" s="116">
        <v>0</v>
      </c>
      <c r="S44" s="116">
        <v>0</v>
      </c>
      <c r="T44" s="116">
        <v>0</v>
      </c>
      <c r="U44" s="116">
        <v>0</v>
      </c>
      <c r="V44" s="116">
        <v>0</v>
      </c>
      <c r="W44" s="116">
        <v>0</v>
      </c>
      <c r="X44" s="116">
        <v>0</v>
      </c>
      <c r="Y44" s="116">
        <v>0</v>
      </c>
      <c r="Z44" s="116">
        <v>0</v>
      </c>
      <c r="AA44" s="116">
        <v>0</v>
      </c>
      <c r="AB44" s="116">
        <v>0</v>
      </c>
      <c r="AC44" s="116">
        <v>0</v>
      </c>
      <c r="AD44" s="116">
        <v>0</v>
      </c>
      <c r="AE44" s="116">
        <v>0</v>
      </c>
      <c r="AF44" s="29"/>
      <c r="AG44" s="102">
        <f t="shared" si="1"/>
        <v>0</v>
      </c>
      <c r="AH44" s="155">
        <f t="shared" si="2"/>
        <v>0</v>
      </c>
    </row>
    <row r="45" spans="1:35" x14ac:dyDescent="0.3">
      <c r="A45" s="115" t="s">
        <v>32</v>
      </c>
      <c r="B45" s="116">
        <v>0</v>
      </c>
      <c r="C45" s="116">
        <v>0</v>
      </c>
      <c r="D45" s="116">
        <v>0</v>
      </c>
      <c r="E45" s="116">
        <v>0</v>
      </c>
      <c r="F45" s="116">
        <v>0</v>
      </c>
      <c r="G45" s="116">
        <v>0</v>
      </c>
      <c r="H45" s="116">
        <v>0</v>
      </c>
      <c r="I45" s="116">
        <v>0</v>
      </c>
      <c r="J45" s="116">
        <v>0</v>
      </c>
      <c r="K45" s="116">
        <v>0</v>
      </c>
      <c r="L45" s="116">
        <v>0</v>
      </c>
      <c r="M45" s="116">
        <v>0</v>
      </c>
      <c r="N45" s="116">
        <v>0</v>
      </c>
      <c r="O45" s="116">
        <v>0</v>
      </c>
      <c r="P45" s="116">
        <v>0</v>
      </c>
      <c r="Q45" s="116">
        <v>0</v>
      </c>
      <c r="R45" s="116">
        <v>0</v>
      </c>
      <c r="S45" s="116">
        <v>0</v>
      </c>
      <c r="T45" s="116">
        <v>0</v>
      </c>
      <c r="U45" s="116">
        <v>0</v>
      </c>
      <c r="V45" s="116">
        <v>0</v>
      </c>
      <c r="W45" s="116">
        <v>0</v>
      </c>
      <c r="X45" s="116">
        <v>0</v>
      </c>
      <c r="Y45" s="116">
        <v>0</v>
      </c>
      <c r="Z45" s="116">
        <v>0</v>
      </c>
      <c r="AA45" s="116">
        <v>0</v>
      </c>
      <c r="AB45" s="116">
        <v>0</v>
      </c>
      <c r="AC45" s="116">
        <v>0</v>
      </c>
      <c r="AD45" s="116">
        <v>0</v>
      </c>
      <c r="AE45" s="116">
        <v>0</v>
      </c>
      <c r="AF45" s="29"/>
      <c r="AG45" s="102">
        <f t="shared" si="1"/>
        <v>0</v>
      </c>
      <c r="AH45" s="155">
        <f t="shared" si="2"/>
        <v>0</v>
      </c>
    </row>
    <row r="46" spans="1:35" x14ac:dyDescent="0.3">
      <c r="A46" s="115" t="s">
        <v>33</v>
      </c>
      <c r="B46" s="744">
        <f>J46+L46+N46+P46+R46+T46+V46+X46+Z46+AB46+AD46+H46</f>
        <v>386.00221999999997</v>
      </c>
      <c r="C46" s="743">
        <f>H46+J46+L46</f>
        <v>149.37402</v>
      </c>
      <c r="D46" s="118">
        <f>E46</f>
        <v>131.60999999999999</v>
      </c>
      <c r="E46" s="713">
        <f>SUM(I46,K46,M46,O46,Q46,S46,U46,W46,Y46,AA46,AC46,AE46)</f>
        <v>131.60999999999999</v>
      </c>
      <c r="F46" s="116">
        <f>IFERROR(E46/B46*100,0)</f>
        <v>34.095658828076168</v>
      </c>
      <c r="G46" s="116">
        <f>IFERROR(E46/C46*100,0)</f>
        <v>88.107691016148578</v>
      </c>
      <c r="H46" s="111">
        <v>12.8218</v>
      </c>
      <c r="I46" s="702"/>
      <c r="J46" s="111">
        <v>12.8218</v>
      </c>
      <c r="K46" s="111">
        <v>0</v>
      </c>
      <c r="L46" s="111">
        <v>123.73042</v>
      </c>
      <c r="M46" s="111">
        <v>30.73</v>
      </c>
      <c r="N46" s="111">
        <v>12.8218</v>
      </c>
      <c r="O46" s="111">
        <v>47.9</v>
      </c>
      <c r="P46" s="111">
        <v>81.72</v>
      </c>
      <c r="Q46" s="111">
        <v>52.98</v>
      </c>
      <c r="R46" s="111">
        <v>12.82</v>
      </c>
      <c r="S46" s="111">
        <v>0</v>
      </c>
      <c r="T46" s="111">
        <v>12.8218</v>
      </c>
      <c r="U46" s="111"/>
      <c r="V46" s="111">
        <v>12.8218</v>
      </c>
      <c r="W46" s="111">
        <v>0</v>
      </c>
      <c r="X46" s="111">
        <v>12.8218</v>
      </c>
      <c r="Y46" s="111">
        <v>0</v>
      </c>
      <c r="Z46" s="111">
        <v>12.8218</v>
      </c>
      <c r="AA46" s="111">
        <v>0</v>
      </c>
      <c r="AB46" s="111">
        <v>65.157399999999996</v>
      </c>
      <c r="AC46" s="111">
        <v>0</v>
      </c>
      <c r="AD46" s="111">
        <v>12.8218</v>
      </c>
      <c r="AE46" s="111">
        <v>0</v>
      </c>
      <c r="AF46" s="29"/>
      <c r="AG46" s="102">
        <f t="shared" si="1"/>
        <v>2.4868995751603507E-14</v>
      </c>
      <c r="AH46" s="737">
        <f t="shared" si="2"/>
        <v>17.764020000000016</v>
      </c>
      <c r="AI46" s="33">
        <v>0</v>
      </c>
    </row>
    <row r="47" spans="1:35" x14ac:dyDescent="0.3">
      <c r="A47" s="115" t="s">
        <v>170</v>
      </c>
      <c r="B47" s="116"/>
      <c r="C47" s="117"/>
      <c r="D47" s="118"/>
      <c r="E47" s="117"/>
      <c r="F47" s="116"/>
      <c r="G47" s="116"/>
      <c r="H47" s="111"/>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c r="AF47" s="29"/>
      <c r="AG47" s="102">
        <f t="shared" si="1"/>
        <v>0</v>
      </c>
      <c r="AH47" s="155">
        <f t="shared" si="2"/>
        <v>0</v>
      </c>
    </row>
    <row r="48" spans="1:35" ht="56.25" x14ac:dyDescent="0.3">
      <c r="A48" s="88" t="s">
        <v>256</v>
      </c>
      <c r="B48" s="116"/>
      <c r="C48" s="123"/>
      <c r="D48" s="123"/>
      <c r="E48" s="123"/>
      <c r="F48" s="123"/>
      <c r="G48" s="123"/>
      <c r="H48" s="111"/>
      <c r="I48" s="111"/>
      <c r="J48" s="111"/>
      <c r="K48" s="111"/>
      <c r="L48" s="111"/>
      <c r="M48" s="111"/>
      <c r="N48" s="111"/>
      <c r="O48" s="111"/>
      <c r="P48" s="111"/>
      <c r="Q48" s="111"/>
      <c r="R48" s="111"/>
      <c r="S48" s="111"/>
      <c r="T48" s="111"/>
      <c r="U48" s="111"/>
      <c r="V48" s="111"/>
      <c r="W48" s="111"/>
      <c r="X48" s="111"/>
      <c r="Y48" s="111"/>
      <c r="Z48" s="111"/>
      <c r="AA48" s="111"/>
      <c r="AB48" s="111"/>
      <c r="AC48" s="111"/>
      <c r="AD48" s="111"/>
      <c r="AE48" s="111"/>
      <c r="AF48" s="29"/>
      <c r="AG48" s="102">
        <f t="shared" si="1"/>
        <v>0</v>
      </c>
      <c r="AH48" s="155">
        <f t="shared" si="2"/>
        <v>0</v>
      </c>
    </row>
    <row r="49" spans="1:35" x14ac:dyDescent="0.3">
      <c r="A49" s="11" t="s">
        <v>31</v>
      </c>
      <c r="B49" s="113">
        <f>B51+B52+B50+B53</f>
        <v>8.3000000000000007</v>
      </c>
      <c r="C49" s="113">
        <f>C51+C52+C50+C53</f>
        <v>0</v>
      </c>
      <c r="D49" s="114">
        <f>D51+D52+D50+D53</f>
        <v>0</v>
      </c>
      <c r="E49" s="113">
        <f>E51+E52+E50+E53</f>
        <v>0</v>
      </c>
      <c r="F49" s="113">
        <f>IFERROR(E49/B49*100,0)</f>
        <v>0</v>
      </c>
      <c r="G49" s="113">
        <f>IFERROR(E49/C49*100,0)</f>
        <v>0</v>
      </c>
      <c r="H49" s="113">
        <f t="shared" ref="H49:AE49" si="15">H51+H52+H50+H53</f>
        <v>0</v>
      </c>
      <c r="I49" s="113">
        <f t="shared" si="15"/>
        <v>0</v>
      </c>
      <c r="J49" s="113">
        <f t="shared" si="15"/>
        <v>0</v>
      </c>
      <c r="K49" s="113">
        <f t="shared" si="15"/>
        <v>0</v>
      </c>
      <c r="L49" s="113">
        <f t="shared" si="15"/>
        <v>0</v>
      </c>
      <c r="M49" s="113">
        <f t="shared" si="15"/>
        <v>0</v>
      </c>
      <c r="N49" s="113">
        <f t="shared" si="15"/>
        <v>0</v>
      </c>
      <c r="O49" s="113">
        <f t="shared" si="15"/>
        <v>0</v>
      </c>
      <c r="P49" s="113">
        <f t="shared" si="15"/>
        <v>8.3000000000000007</v>
      </c>
      <c r="Q49" s="113">
        <f t="shared" si="15"/>
        <v>0</v>
      </c>
      <c r="R49" s="113">
        <f t="shared" si="15"/>
        <v>0</v>
      </c>
      <c r="S49" s="113">
        <f t="shared" si="15"/>
        <v>0</v>
      </c>
      <c r="T49" s="113">
        <f t="shared" si="15"/>
        <v>0</v>
      </c>
      <c r="U49" s="113">
        <f t="shared" si="15"/>
        <v>0</v>
      </c>
      <c r="V49" s="113">
        <f t="shared" si="15"/>
        <v>0</v>
      </c>
      <c r="W49" s="113">
        <f t="shared" si="15"/>
        <v>0</v>
      </c>
      <c r="X49" s="113">
        <f t="shared" si="15"/>
        <v>0</v>
      </c>
      <c r="Y49" s="113">
        <f t="shared" si="15"/>
        <v>0</v>
      </c>
      <c r="Z49" s="113">
        <f t="shared" si="15"/>
        <v>0</v>
      </c>
      <c r="AA49" s="113">
        <f t="shared" si="15"/>
        <v>0</v>
      </c>
      <c r="AB49" s="113">
        <f t="shared" si="15"/>
        <v>0</v>
      </c>
      <c r="AC49" s="113">
        <f t="shared" si="15"/>
        <v>0</v>
      </c>
      <c r="AD49" s="113">
        <f t="shared" si="15"/>
        <v>0</v>
      </c>
      <c r="AE49" s="113">
        <f t="shared" si="15"/>
        <v>0</v>
      </c>
      <c r="AF49" s="29"/>
      <c r="AG49" s="102">
        <f t="shared" si="1"/>
        <v>0</v>
      </c>
      <c r="AH49" s="155">
        <f t="shared" si="2"/>
        <v>0</v>
      </c>
    </row>
    <row r="50" spans="1:35" x14ac:dyDescent="0.3">
      <c r="A50" s="7" t="s">
        <v>169</v>
      </c>
      <c r="B50" s="116"/>
      <c r="C50" s="117"/>
      <c r="D50" s="118"/>
      <c r="E50" s="117"/>
      <c r="F50" s="116"/>
      <c r="G50" s="116"/>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29"/>
      <c r="AG50" s="102">
        <f t="shared" si="1"/>
        <v>0</v>
      </c>
      <c r="AH50" s="155">
        <f t="shared" si="2"/>
        <v>0</v>
      </c>
    </row>
    <row r="51" spans="1:35" x14ac:dyDescent="0.3">
      <c r="A51" s="7" t="s">
        <v>32</v>
      </c>
      <c r="B51" s="116">
        <f>J51+L51+N51+P51+R51+T51+V51+X51+Z51+AB51+AD51+H51</f>
        <v>0</v>
      </c>
      <c r="C51" s="117">
        <f>SUM(H51)</f>
        <v>0</v>
      </c>
      <c r="D51" s="118">
        <f>E51</f>
        <v>0</v>
      </c>
      <c r="E51" s="117">
        <f>SUM(I51,K51,M51,O51,Q51,S51,U51,W51,Y51,AA51,AC51,AE51)</f>
        <v>0</v>
      </c>
      <c r="F51" s="116">
        <f>IFERROR(E51/B51*100,0)</f>
        <v>0</v>
      </c>
      <c r="G51" s="116">
        <f>IFERROR(E51/C51*100,0)</f>
        <v>0</v>
      </c>
      <c r="H51" s="111">
        <v>0</v>
      </c>
      <c r="I51" s="111">
        <v>0</v>
      </c>
      <c r="J51" s="111">
        <v>0</v>
      </c>
      <c r="K51" s="111">
        <v>0</v>
      </c>
      <c r="L51" s="111">
        <v>0</v>
      </c>
      <c r="M51" s="111">
        <v>0</v>
      </c>
      <c r="N51" s="111">
        <v>0</v>
      </c>
      <c r="O51" s="111">
        <v>0</v>
      </c>
      <c r="P51" s="111">
        <v>0</v>
      </c>
      <c r="Q51" s="111">
        <v>0</v>
      </c>
      <c r="R51" s="111">
        <v>0</v>
      </c>
      <c r="S51" s="111">
        <v>0</v>
      </c>
      <c r="T51" s="111">
        <v>0</v>
      </c>
      <c r="U51" s="111">
        <v>0</v>
      </c>
      <c r="V51" s="111">
        <v>0</v>
      </c>
      <c r="W51" s="111">
        <v>0</v>
      </c>
      <c r="X51" s="111">
        <v>0</v>
      </c>
      <c r="Y51" s="111">
        <v>0</v>
      </c>
      <c r="Z51" s="111">
        <v>0</v>
      </c>
      <c r="AA51" s="111">
        <v>0</v>
      </c>
      <c r="AB51" s="111">
        <v>0</v>
      </c>
      <c r="AC51" s="111">
        <v>0</v>
      </c>
      <c r="AD51" s="111">
        <v>0</v>
      </c>
      <c r="AE51" s="111">
        <v>0</v>
      </c>
      <c r="AF51" s="29"/>
      <c r="AG51" s="102">
        <f t="shared" si="1"/>
        <v>0</v>
      </c>
      <c r="AH51" s="155">
        <f t="shared" si="2"/>
        <v>0</v>
      </c>
    </row>
    <row r="52" spans="1:35" x14ac:dyDescent="0.3">
      <c r="A52" s="7" t="s">
        <v>33</v>
      </c>
      <c r="B52" s="116">
        <f>J52+L52+N52+P52+R52+T52+V52+X52+Z52+AB52+AD52+H52</f>
        <v>8.3000000000000007</v>
      </c>
      <c r="C52" s="117">
        <f>SUM(H52)</f>
        <v>0</v>
      </c>
      <c r="D52" s="118">
        <f>E52</f>
        <v>0</v>
      </c>
      <c r="E52" s="117">
        <f>SUM(I52,K52,M52,O52,Q52,S52,U52,W52,Y52,AA52,AC52,AE52)</f>
        <v>0</v>
      </c>
      <c r="F52" s="116">
        <f>IFERROR(E52/B52*100,0)</f>
        <v>0</v>
      </c>
      <c r="G52" s="116">
        <f>IFERROR(E52/C52*100,0)</f>
        <v>0</v>
      </c>
      <c r="H52" s="111">
        <v>0</v>
      </c>
      <c r="I52" s="111">
        <v>0</v>
      </c>
      <c r="J52" s="111">
        <v>0</v>
      </c>
      <c r="K52" s="111">
        <v>0</v>
      </c>
      <c r="L52" s="111">
        <v>0</v>
      </c>
      <c r="M52" s="111">
        <v>0</v>
      </c>
      <c r="N52" s="111">
        <v>0</v>
      </c>
      <c r="O52" s="111">
        <v>0</v>
      </c>
      <c r="P52" s="111">
        <v>8.3000000000000007</v>
      </c>
      <c r="Q52" s="111">
        <v>0</v>
      </c>
      <c r="R52" s="111">
        <v>0</v>
      </c>
      <c r="S52" s="111">
        <v>0</v>
      </c>
      <c r="T52" s="111">
        <v>0</v>
      </c>
      <c r="U52" s="111">
        <v>0</v>
      </c>
      <c r="V52" s="111">
        <v>0</v>
      </c>
      <c r="W52" s="111">
        <v>0</v>
      </c>
      <c r="X52" s="111">
        <v>0</v>
      </c>
      <c r="Y52" s="111">
        <v>0</v>
      </c>
      <c r="Z52" s="111">
        <v>0</v>
      </c>
      <c r="AA52" s="111">
        <v>0</v>
      </c>
      <c r="AB52" s="111">
        <v>0</v>
      </c>
      <c r="AC52" s="111">
        <v>0</v>
      </c>
      <c r="AD52" s="111">
        <v>0</v>
      </c>
      <c r="AE52" s="111">
        <v>0</v>
      </c>
      <c r="AF52" s="29"/>
      <c r="AG52" s="102">
        <f t="shared" si="1"/>
        <v>0</v>
      </c>
      <c r="AH52" s="155">
        <f t="shared" si="2"/>
        <v>0</v>
      </c>
    </row>
    <row r="53" spans="1:35" x14ac:dyDescent="0.3">
      <c r="A53" s="7" t="s">
        <v>170</v>
      </c>
      <c r="B53" s="116"/>
      <c r="C53" s="117"/>
      <c r="D53" s="118"/>
      <c r="E53" s="117"/>
      <c r="F53" s="116"/>
      <c r="G53" s="116"/>
      <c r="H53" s="111"/>
      <c r="I53" s="111"/>
      <c r="J53" s="111"/>
      <c r="K53" s="111"/>
      <c r="L53" s="111"/>
      <c r="M53" s="111"/>
      <c r="N53" s="111"/>
      <c r="O53" s="111"/>
      <c r="P53" s="111"/>
      <c r="Q53" s="111"/>
      <c r="R53" s="111"/>
      <c r="S53" s="111"/>
      <c r="T53" s="111"/>
      <c r="U53" s="111"/>
      <c r="V53" s="111"/>
      <c r="W53" s="111"/>
      <c r="X53" s="111"/>
      <c r="Y53" s="111"/>
      <c r="Z53" s="111"/>
      <c r="AA53" s="111"/>
      <c r="AB53" s="111"/>
      <c r="AC53" s="111"/>
      <c r="AD53" s="111"/>
      <c r="AE53" s="111"/>
      <c r="AF53" s="29"/>
      <c r="AG53" s="102">
        <f t="shared" si="1"/>
        <v>0</v>
      </c>
      <c r="AH53" s="155">
        <f t="shared" si="2"/>
        <v>0</v>
      </c>
    </row>
    <row r="54" spans="1:35" ht="213.75" x14ac:dyDescent="0.3">
      <c r="A54" s="122" t="s">
        <v>257</v>
      </c>
      <c r="B54" s="113"/>
      <c r="C54" s="121"/>
      <c r="D54" s="121"/>
      <c r="E54" s="121"/>
      <c r="F54" s="121"/>
      <c r="G54" s="121"/>
      <c r="H54" s="111"/>
      <c r="I54" s="111"/>
      <c r="J54" s="111"/>
      <c r="K54" s="111"/>
      <c r="L54" s="111"/>
      <c r="M54" s="111"/>
      <c r="N54" s="111"/>
      <c r="O54" s="111"/>
      <c r="P54" s="111"/>
      <c r="Q54" s="111"/>
      <c r="R54" s="111"/>
      <c r="S54" s="111"/>
      <c r="T54" s="111"/>
      <c r="U54" s="111"/>
      <c r="V54" s="111"/>
      <c r="W54" s="111"/>
      <c r="X54" s="111"/>
      <c r="Y54" s="111"/>
      <c r="Z54" s="111"/>
      <c r="AA54" s="111"/>
      <c r="AB54" s="111"/>
      <c r="AC54" s="111"/>
      <c r="AD54" s="111"/>
      <c r="AE54" s="111"/>
      <c r="AF54" s="750" t="s">
        <v>543</v>
      </c>
      <c r="AG54" s="102">
        <f t="shared" si="1"/>
        <v>0</v>
      </c>
      <c r="AH54" s="155">
        <f t="shared" si="2"/>
        <v>0</v>
      </c>
    </row>
    <row r="55" spans="1:35" x14ac:dyDescent="0.3">
      <c r="A55" s="112" t="s">
        <v>31</v>
      </c>
      <c r="B55" s="113">
        <f>SUM(L55+N55+P55+R55+T55)</f>
        <v>2694.2999999999997</v>
      </c>
      <c r="C55" s="113">
        <f ca="1">C58+C57+C56+C59</f>
        <v>404.8</v>
      </c>
      <c r="D55" s="113">
        <f ca="1">D58+D57+D56+D59</f>
        <v>223.4</v>
      </c>
      <c r="E55" s="113">
        <f ca="1">E58+E57+E56+E59</f>
        <v>223.4</v>
      </c>
      <c r="F55" s="113">
        <f ca="1">IFERROR(E55/B55*100,0)</f>
        <v>8.2915785176112546</v>
      </c>
      <c r="G55" s="113">
        <f ca="1">IFERROR(E55/C55*100,0)</f>
        <v>55.187747035573118</v>
      </c>
      <c r="H55" s="113">
        <f t="shared" ref="H55:U55" ca="1" si="16">H58+H57+H56+H59</f>
        <v>0</v>
      </c>
      <c r="I55" s="113">
        <f t="shared" ca="1" si="16"/>
        <v>0</v>
      </c>
      <c r="J55" s="113">
        <f t="shared" ca="1" si="16"/>
        <v>0</v>
      </c>
      <c r="K55" s="113">
        <f t="shared" ca="1" si="16"/>
        <v>0</v>
      </c>
      <c r="L55" s="113">
        <f t="shared" si="16"/>
        <v>404.8</v>
      </c>
      <c r="M55" s="113">
        <f t="shared" si="16"/>
        <v>0</v>
      </c>
      <c r="N55" s="113">
        <f t="shared" si="16"/>
        <v>198.9</v>
      </c>
      <c r="O55" s="113">
        <f t="shared" si="16"/>
        <v>0</v>
      </c>
      <c r="P55" s="113">
        <f t="shared" si="16"/>
        <v>349.4</v>
      </c>
      <c r="Q55" s="113">
        <f t="shared" si="16"/>
        <v>223.4</v>
      </c>
      <c r="R55" s="113">
        <f t="shared" si="16"/>
        <v>1090.5999999999999</v>
      </c>
      <c r="S55" s="113">
        <f t="shared" si="16"/>
        <v>0</v>
      </c>
      <c r="T55" s="113">
        <f t="shared" si="16"/>
        <v>650.6</v>
      </c>
      <c r="U55" s="113">
        <f t="shared" si="16"/>
        <v>0</v>
      </c>
      <c r="V55" s="113">
        <f t="shared" ref="V55:AE55" si="17">V57+V58+V56+V59</f>
        <v>0</v>
      </c>
      <c r="W55" s="113">
        <f t="shared" si="17"/>
        <v>0</v>
      </c>
      <c r="X55" s="113">
        <f t="shared" si="17"/>
        <v>0</v>
      </c>
      <c r="Y55" s="113">
        <f t="shared" si="17"/>
        <v>0</v>
      </c>
      <c r="Z55" s="113">
        <f t="shared" si="17"/>
        <v>0</v>
      </c>
      <c r="AA55" s="113">
        <f t="shared" si="17"/>
        <v>0</v>
      </c>
      <c r="AB55" s="113">
        <f t="shared" si="17"/>
        <v>0</v>
      </c>
      <c r="AC55" s="113">
        <f t="shared" si="17"/>
        <v>0</v>
      </c>
      <c r="AD55" s="113">
        <f t="shared" si="17"/>
        <v>0</v>
      </c>
      <c r="AE55" s="113">
        <f t="shared" si="17"/>
        <v>0</v>
      </c>
      <c r="AF55" s="29"/>
      <c r="AG55" s="102">
        <f t="shared" ca="1" si="1"/>
        <v>-5.6843418860808015E-13</v>
      </c>
      <c r="AH55" s="155">
        <f t="shared" ca="1" si="2"/>
        <v>181.4</v>
      </c>
    </row>
    <row r="56" spans="1:35" x14ac:dyDescent="0.3">
      <c r="A56" s="115" t="s">
        <v>169</v>
      </c>
      <c r="B56" s="116"/>
      <c r="C56" s="117"/>
      <c r="D56" s="118"/>
      <c r="E56" s="117"/>
      <c r="F56" s="116"/>
      <c r="G56" s="116"/>
      <c r="H56" s="111"/>
      <c r="I56" s="111"/>
      <c r="J56" s="111"/>
      <c r="K56" s="111"/>
      <c r="L56" s="111"/>
      <c r="M56" s="111"/>
      <c r="N56" s="111"/>
      <c r="O56" s="111"/>
      <c r="P56" s="111"/>
      <c r="Q56" s="111"/>
      <c r="R56" s="111"/>
      <c r="S56" s="111"/>
      <c r="T56" s="111"/>
      <c r="U56" s="111"/>
      <c r="V56" s="111"/>
      <c r="W56" s="111"/>
      <c r="X56" s="111"/>
      <c r="Y56" s="111"/>
      <c r="Z56" s="111"/>
      <c r="AA56" s="111"/>
      <c r="AB56" s="111"/>
      <c r="AC56" s="111"/>
      <c r="AD56" s="111"/>
      <c r="AE56" s="111"/>
      <c r="AF56" s="29"/>
      <c r="AG56" s="102">
        <f t="shared" si="1"/>
        <v>0</v>
      </c>
      <c r="AH56" s="155">
        <f t="shared" si="2"/>
        <v>0</v>
      </c>
    </row>
    <row r="57" spans="1:35" x14ac:dyDescent="0.3">
      <c r="A57" s="682" t="s">
        <v>32</v>
      </c>
      <c r="B57" s="742">
        <f ca="1">J57+L57+N57+P57+R57+T57+V57+X57+Z57+AB57+AD57+H57</f>
        <v>1741.1999999999998</v>
      </c>
      <c r="C57" s="713">
        <f ca="1">H57+J57+L57</f>
        <v>0</v>
      </c>
      <c r="D57" s="118">
        <f ca="1">E57</f>
        <v>0</v>
      </c>
      <c r="E57" s="117">
        <f ca="1">SUM(I57,K57,M57,O57,Q57,S57,U57,W57,Y57,AA57,AC57,AE57)</f>
        <v>0</v>
      </c>
      <c r="F57" s="116">
        <f ca="1">IFERROR(E57/#REF!*100,0)</f>
        <v>0</v>
      </c>
      <c r="G57" s="116">
        <f ca="1">IFERROR(E57/C57*100,0)</f>
        <v>0</v>
      </c>
      <c r="H57" s="116">
        <f ca="1">IFERROR(F57/D57*100,0)</f>
        <v>0</v>
      </c>
      <c r="I57" s="116">
        <f ca="1">IFERROR(G57/E57*100,0)</f>
        <v>0</v>
      </c>
      <c r="J57" s="116">
        <f ca="1">IFERROR(H57/F57*100,0)</f>
        <v>0</v>
      </c>
      <c r="K57" s="116">
        <f ca="1">IFERROR(I57/G57*100,0)</f>
        <v>0</v>
      </c>
      <c r="L57" s="111">
        <v>0</v>
      </c>
      <c r="M57" s="111">
        <v>0</v>
      </c>
      <c r="N57" s="111">
        <v>0</v>
      </c>
      <c r="O57" s="111">
        <v>0</v>
      </c>
      <c r="P57" s="111">
        <v>0</v>
      </c>
      <c r="Q57" s="111">
        <v>0</v>
      </c>
      <c r="R57" s="111">
        <v>1090.5999999999999</v>
      </c>
      <c r="S57" s="111">
        <v>0</v>
      </c>
      <c r="T57" s="111">
        <v>650.6</v>
      </c>
      <c r="U57" s="111">
        <v>0</v>
      </c>
      <c r="V57" s="111">
        <v>0</v>
      </c>
      <c r="W57" s="111">
        <v>0</v>
      </c>
      <c r="X57" s="111">
        <v>0</v>
      </c>
      <c r="Y57" s="111">
        <v>0</v>
      </c>
      <c r="Z57" s="111">
        <v>0</v>
      </c>
      <c r="AA57" s="111">
        <v>0</v>
      </c>
      <c r="AB57" s="111">
        <v>0</v>
      </c>
      <c r="AC57" s="111">
        <v>0</v>
      </c>
      <c r="AD57" s="111">
        <v>0</v>
      </c>
      <c r="AE57" s="111">
        <v>0</v>
      </c>
      <c r="AF57" s="29"/>
      <c r="AG57" s="102">
        <f t="shared" ca="1" si="1"/>
        <v>-1.1368683772161603E-13</v>
      </c>
      <c r="AH57" s="155">
        <f ca="1">C57-E57</f>
        <v>0</v>
      </c>
      <c r="AI57" s="738">
        <v>0</v>
      </c>
    </row>
    <row r="58" spans="1:35" x14ac:dyDescent="0.3">
      <c r="A58" s="741" t="s">
        <v>33</v>
      </c>
      <c r="B58" s="744">
        <f ca="1">J58+L58+N58+P58+R58+T58+V58+X58+Z58+AB58+AD58+H58</f>
        <v>754.2</v>
      </c>
      <c r="C58" s="743">
        <f ca="1">H58+J58+L58</f>
        <v>404.8</v>
      </c>
      <c r="D58" s="118">
        <f ca="1">E58</f>
        <v>223.4</v>
      </c>
      <c r="E58" s="713">
        <f ca="1">SUM(I58,K58,M58,O58,Q58,S58,U58,W58,Y58,AA58,AC58,AE58)</f>
        <v>223.4</v>
      </c>
      <c r="F58" s="116">
        <f t="shared" ref="F58:K59" ca="1" si="18">IFERROR(E58/B57*100,0)</f>
        <v>12.830232023891572</v>
      </c>
      <c r="G58" s="116">
        <f t="shared" ca="1" si="18"/>
        <v>0</v>
      </c>
      <c r="H58" s="116">
        <f t="shared" ca="1" si="18"/>
        <v>0</v>
      </c>
      <c r="I58" s="116">
        <f t="shared" ca="1" si="18"/>
        <v>0</v>
      </c>
      <c r="J58" s="116">
        <f t="shared" ca="1" si="18"/>
        <v>0</v>
      </c>
      <c r="K58" s="116">
        <f t="shared" ca="1" si="18"/>
        <v>0</v>
      </c>
      <c r="L58" s="111">
        <v>404.8</v>
      </c>
      <c r="M58" s="111">
        <v>0</v>
      </c>
      <c r="N58" s="111">
        <v>0</v>
      </c>
      <c r="O58" s="111">
        <v>0</v>
      </c>
      <c r="P58" s="111">
        <v>349.4</v>
      </c>
      <c r="Q58" s="111">
        <v>223.4</v>
      </c>
      <c r="R58" s="111">
        <v>0</v>
      </c>
      <c r="S58" s="111">
        <v>0</v>
      </c>
      <c r="T58" s="111">
        <v>0</v>
      </c>
      <c r="U58" s="111">
        <v>0</v>
      </c>
      <c r="V58" s="111">
        <v>0</v>
      </c>
      <c r="W58" s="111">
        <v>0</v>
      </c>
      <c r="X58" s="111">
        <v>0</v>
      </c>
      <c r="Y58" s="111">
        <v>0</v>
      </c>
      <c r="Z58" s="111">
        <v>0</v>
      </c>
      <c r="AA58" s="111">
        <v>0</v>
      </c>
      <c r="AB58" s="111">
        <v>0</v>
      </c>
      <c r="AC58" s="111">
        <v>0</v>
      </c>
      <c r="AD58" s="111">
        <v>0</v>
      </c>
      <c r="AE58" s="111">
        <v>0</v>
      </c>
      <c r="AF58" s="29"/>
      <c r="AG58" s="102">
        <f t="shared" ca="1" si="1"/>
        <v>5.6843418860808015E-14</v>
      </c>
      <c r="AH58" s="745">
        <f t="shared" ca="1" si="2"/>
        <v>181.4</v>
      </c>
      <c r="AI58" s="738">
        <v>0</v>
      </c>
    </row>
    <row r="59" spans="1:35" x14ac:dyDescent="0.3">
      <c r="A59" s="115" t="s">
        <v>170</v>
      </c>
      <c r="B59" s="116"/>
      <c r="C59" s="117"/>
      <c r="D59" s="118"/>
      <c r="E59" s="117"/>
      <c r="F59" s="116">
        <f t="shared" ca="1" si="18"/>
        <v>0</v>
      </c>
      <c r="G59" s="116">
        <f t="shared" ca="1" si="18"/>
        <v>0</v>
      </c>
      <c r="H59" s="116">
        <f t="shared" ca="1" si="18"/>
        <v>0</v>
      </c>
      <c r="I59" s="116">
        <f t="shared" ca="1" si="18"/>
        <v>0</v>
      </c>
      <c r="J59" s="116">
        <f t="shared" ca="1" si="18"/>
        <v>0</v>
      </c>
      <c r="K59" s="116">
        <f t="shared" ca="1" si="18"/>
        <v>0</v>
      </c>
      <c r="L59" s="111">
        <v>0</v>
      </c>
      <c r="M59" s="111">
        <v>0</v>
      </c>
      <c r="N59" s="111">
        <v>198.9</v>
      </c>
      <c r="O59" s="111">
        <v>0</v>
      </c>
      <c r="P59" s="111">
        <v>0</v>
      </c>
      <c r="Q59" s="111">
        <v>0</v>
      </c>
      <c r="R59" s="111">
        <v>0</v>
      </c>
      <c r="S59" s="111">
        <v>0</v>
      </c>
      <c r="T59" s="111">
        <v>0</v>
      </c>
      <c r="U59" s="111">
        <v>0</v>
      </c>
      <c r="V59" s="111">
        <v>0</v>
      </c>
      <c r="W59" s="111">
        <v>0</v>
      </c>
      <c r="X59" s="111">
        <v>0</v>
      </c>
      <c r="Y59" s="111">
        <v>0</v>
      </c>
      <c r="Z59" s="111">
        <v>0</v>
      </c>
      <c r="AA59" s="111">
        <v>0</v>
      </c>
      <c r="AB59" s="111">
        <v>0</v>
      </c>
      <c r="AC59" s="111">
        <v>0</v>
      </c>
      <c r="AD59" s="111">
        <v>0</v>
      </c>
      <c r="AE59" s="111">
        <v>0</v>
      </c>
      <c r="AF59" s="29"/>
      <c r="AG59" s="102">
        <f t="shared" ca="1" si="1"/>
        <v>-198.9</v>
      </c>
      <c r="AH59" s="155">
        <f t="shared" si="2"/>
        <v>0</v>
      </c>
    </row>
    <row r="60" spans="1:35" ht="75" x14ac:dyDescent="0.3">
      <c r="A60" s="124" t="s">
        <v>258</v>
      </c>
      <c r="B60" s="104"/>
      <c r="C60" s="125"/>
      <c r="D60" s="125"/>
      <c r="E60" s="125"/>
      <c r="F60" s="125"/>
      <c r="G60" s="125"/>
      <c r="H60" s="125"/>
      <c r="I60" s="125"/>
      <c r="J60" s="125"/>
      <c r="K60" s="125"/>
      <c r="L60" s="125"/>
      <c r="M60" s="125"/>
      <c r="N60" s="125"/>
      <c r="O60" s="125"/>
      <c r="P60" s="125"/>
      <c r="Q60" s="125"/>
      <c r="R60" s="125"/>
      <c r="S60" s="125"/>
      <c r="T60" s="125"/>
      <c r="U60" s="125"/>
      <c r="V60" s="125"/>
      <c r="W60" s="125"/>
      <c r="X60" s="125"/>
      <c r="Y60" s="125"/>
      <c r="Z60" s="125"/>
      <c r="AA60" s="125"/>
      <c r="AB60" s="125"/>
      <c r="AC60" s="125"/>
      <c r="AD60" s="125"/>
      <c r="AE60" s="125"/>
      <c r="AF60" s="101"/>
      <c r="AG60" s="102">
        <f t="shared" si="1"/>
        <v>0</v>
      </c>
      <c r="AH60" s="155">
        <f t="shared" si="2"/>
        <v>0</v>
      </c>
    </row>
    <row r="61" spans="1:35" x14ac:dyDescent="0.3">
      <c r="A61" s="103" t="s">
        <v>31</v>
      </c>
      <c r="B61" s="104">
        <f>B62+B63+B64</f>
        <v>82831.53</v>
      </c>
      <c r="C61" s="104">
        <f>C62+C63+C64</f>
        <v>35677.11</v>
      </c>
      <c r="D61" s="104">
        <f>D62+D63+D64</f>
        <v>23852.343000000001</v>
      </c>
      <c r="E61" s="104">
        <f>E62+E63+E64</f>
        <v>23852.343000000001</v>
      </c>
      <c r="F61" s="105">
        <f>IFERROR(E61/B61*100,0)</f>
        <v>28.796212022161129</v>
      </c>
      <c r="G61" s="105">
        <f>IFERROR(E61/C61*100,0)</f>
        <v>66.856152306058419</v>
      </c>
      <c r="H61" s="104">
        <f t="shared" ref="H61:AE61" si="19">H62+H63+H64</f>
        <v>15929.62</v>
      </c>
      <c r="I61" s="104">
        <f t="shared" si="19"/>
        <v>1723.4670000000001</v>
      </c>
      <c r="J61" s="104">
        <f t="shared" si="19"/>
        <v>9842.64</v>
      </c>
      <c r="K61" s="104">
        <f t="shared" si="19"/>
        <v>5954.1570000000002</v>
      </c>
      <c r="L61" s="104">
        <f t="shared" si="19"/>
        <v>9904.85</v>
      </c>
      <c r="M61" s="104">
        <f t="shared" si="19"/>
        <v>5166.808</v>
      </c>
      <c r="N61" s="104">
        <f t="shared" si="19"/>
        <v>7300.85</v>
      </c>
      <c r="O61" s="104">
        <f t="shared" si="19"/>
        <v>4644.0309999999999</v>
      </c>
      <c r="P61" s="104">
        <f t="shared" si="19"/>
        <v>6235.86</v>
      </c>
      <c r="Q61" s="104">
        <f t="shared" si="19"/>
        <v>6363.88</v>
      </c>
      <c r="R61" s="104">
        <f t="shared" si="19"/>
        <v>6235.86</v>
      </c>
      <c r="S61" s="104">
        <f t="shared" si="19"/>
        <v>0</v>
      </c>
      <c r="T61" s="104">
        <f t="shared" si="19"/>
        <v>4504.4399999999996</v>
      </c>
      <c r="U61" s="104">
        <f t="shared" si="19"/>
        <v>0</v>
      </c>
      <c r="V61" s="104">
        <f t="shared" si="19"/>
        <v>5177.08</v>
      </c>
      <c r="W61" s="104">
        <f t="shared" si="19"/>
        <v>0</v>
      </c>
      <c r="X61" s="104">
        <f t="shared" si="19"/>
        <v>5177.08</v>
      </c>
      <c r="Y61" s="104">
        <f t="shared" si="19"/>
        <v>0</v>
      </c>
      <c r="Z61" s="104">
        <f t="shared" si="19"/>
        <v>4664.42</v>
      </c>
      <c r="AA61" s="104">
        <f t="shared" si="19"/>
        <v>0</v>
      </c>
      <c r="AB61" s="104">
        <f t="shared" si="19"/>
        <v>4526.08</v>
      </c>
      <c r="AC61" s="104">
        <f t="shared" si="19"/>
        <v>0</v>
      </c>
      <c r="AD61" s="104">
        <f t="shared" si="19"/>
        <v>3332.75</v>
      </c>
      <c r="AE61" s="104">
        <f t="shared" si="19"/>
        <v>0</v>
      </c>
      <c r="AF61" s="101"/>
      <c r="AG61" s="102">
        <f t="shared" si="1"/>
        <v>9.0949470177292824E-12</v>
      </c>
      <c r="AH61" s="155">
        <f t="shared" si="2"/>
        <v>11824.767</v>
      </c>
    </row>
    <row r="62" spans="1:35" x14ac:dyDescent="0.3">
      <c r="A62" s="106" t="s">
        <v>169</v>
      </c>
      <c r="B62" s="107">
        <f>B68</f>
        <v>0</v>
      </c>
      <c r="C62" s="107">
        <f>H62+J62+L62+N62+P62+R62+T62+V62+X62+Z62+AB62+AD62</f>
        <v>0</v>
      </c>
      <c r="D62" s="107">
        <f>D68</f>
        <v>0</v>
      </c>
      <c r="E62" s="107">
        <f>E68</f>
        <v>0</v>
      </c>
      <c r="F62" s="107">
        <f>IFERROR(E62/B62*100,0)</f>
        <v>0</v>
      </c>
      <c r="G62" s="107">
        <f>IFERROR(E62/C62*100,0)</f>
        <v>0</v>
      </c>
      <c r="H62" s="107">
        <f t="shared" ref="H62:AE65" si="20">H68</f>
        <v>0</v>
      </c>
      <c r="I62" s="107">
        <f t="shared" si="20"/>
        <v>0</v>
      </c>
      <c r="J62" s="107">
        <f t="shared" si="20"/>
        <v>0</v>
      </c>
      <c r="K62" s="107">
        <f t="shared" si="20"/>
        <v>0</v>
      </c>
      <c r="L62" s="107">
        <f t="shared" si="20"/>
        <v>0</v>
      </c>
      <c r="M62" s="107">
        <f t="shared" si="20"/>
        <v>0</v>
      </c>
      <c r="N62" s="107">
        <f t="shared" si="20"/>
        <v>0</v>
      </c>
      <c r="O62" s="107">
        <f t="shared" si="20"/>
        <v>0</v>
      </c>
      <c r="P62" s="107">
        <f t="shared" si="20"/>
        <v>0</v>
      </c>
      <c r="Q62" s="107">
        <f t="shared" si="20"/>
        <v>0</v>
      </c>
      <c r="R62" s="107">
        <f t="shared" si="20"/>
        <v>0</v>
      </c>
      <c r="S62" s="107">
        <f t="shared" si="20"/>
        <v>0</v>
      </c>
      <c r="T62" s="107">
        <f t="shared" si="20"/>
        <v>0</v>
      </c>
      <c r="U62" s="107">
        <f t="shared" si="20"/>
        <v>0</v>
      </c>
      <c r="V62" s="107">
        <f t="shared" si="20"/>
        <v>0</v>
      </c>
      <c r="W62" s="107">
        <f t="shared" si="20"/>
        <v>0</v>
      </c>
      <c r="X62" s="107">
        <f t="shared" si="20"/>
        <v>0</v>
      </c>
      <c r="Y62" s="107">
        <f t="shared" si="20"/>
        <v>0</v>
      </c>
      <c r="Z62" s="107">
        <f t="shared" si="20"/>
        <v>0</v>
      </c>
      <c r="AA62" s="107">
        <f t="shared" si="20"/>
        <v>0</v>
      </c>
      <c r="AB62" s="107">
        <f t="shared" si="20"/>
        <v>0</v>
      </c>
      <c r="AC62" s="107">
        <f t="shared" si="20"/>
        <v>0</v>
      </c>
      <c r="AD62" s="107">
        <f t="shared" si="20"/>
        <v>0</v>
      </c>
      <c r="AE62" s="107">
        <f t="shared" si="20"/>
        <v>0</v>
      </c>
      <c r="AF62" s="101"/>
      <c r="AG62" s="102">
        <f t="shared" si="1"/>
        <v>0</v>
      </c>
      <c r="AH62" s="155">
        <f t="shared" si="2"/>
        <v>0</v>
      </c>
    </row>
    <row r="63" spans="1:35" x14ac:dyDescent="0.3">
      <c r="A63" s="106" t="s">
        <v>32</v>
      </c>
      <c r="B63" s="107">
        <f t="shared" ref="B63:E65" si="21">B69</f>
        <v>0</v>
      </c>
      <c r="C63" s="107">
        <f>H63+J63+L63+N63+P63+R63+T63+V63+X63+Z63+AB63+AD63</f>
        <v>0</v>
      </c>
      <c r="D63" s="107">
        <f t="shared" si="21"/>
        <v>0</v>
      </c>
      <c r="E63" s="107">
        <f t="shared" si="21"/>
        <v>0</v>
      </c>
      <c r="F63" s="107">
        <f>IFERROR(E63/B63*100,0)</f>
        <v>0</v>
      </c>
      <c r="G63" s="107">
        <f>IFERROR(E63/C63*100,0)</f>
        <v>0</v>
      </c>
      <c r="H63" s="107">
        <f t="shared" si="20"/>
        <v>0</v>
      </c>
      <c r="I63" s="107">
        <f t="shared" si="20"/>
        <v>0</v>
      </c>
      <c r="J63" s="107">
        <f t="shared" si="20"/>
        <v>0</v>
      </c>
      <c r="K63" s="107">
        <f t="shared" si="20"/>
        <v>0</v>
      </c>
      <c r="L63" s="107">
        <f t="shared" si="20"/>
        <v>0</v>
      </c>
      <c r="M63" s="107">
        <f t="shared" si="20"/>
        <v>0</v>
      </c>
      <c r="N63" s="107">
        <f t="shared" si="20"/>
        <v>0</v>
      </c>
      <c r="O63" s="107">
        <f t="shared" si="20"/>
        <v>0</v>
      </c>
      <c r="P63" s="107">
        <f t="shared" si="20"/>
        <v>0</v>
      </c>
      <c r="Q63" s="107">
        <f t="shared" si="20"/>
        <v>0</v>
      </c>
      <c r="R63" s="107">
        <f t="shared" si="20"/>
        <v>0</v>
      </c>
      <c r="S63" s="107">
        <f t="shared" si="20"/>
        <v>0</v>
      </c>
      <c r="T63" s="107">
        <f t="shared" si="20"/>
        <v>0</v>
      </c>
      <c r="U63" s="107">
        <f t="shared" si="20"/>
        <v>0</v>
      </c>
      <c r="V63" s="107">
        <f t="shared" si="20"/>
        <v>0</v>
      </c>
      <c r="W63" s="107">
        <f t="shared" si="20"/>
        <v>0</v>
      </c>
      <c r="X63" s="107">
        <f t="shared" si="20"/>
        <v>0</v>
      </c>
      <c r="Y63" s="107">
        <f t="shared" si="20"/>
        <v>0</v>
      </c>
      <c r="Z63" s="107">
        <f t="shared" si="20"/>
        <v>0</v>
      </c>
      <c r="AA63" s="107">
        <f t="shared" si="20"/>
        <v>0</v>
      </c>
      <c r="AB63" s="107">
        <f t="shared" si="20"/>
        <v>0</v>
      </c>
      <c r="AC63" s="107">
        <f t="shared" si="20"/>
        <v>0</v>
      </c>
      <c r="AD63" s="107">
        <f t="shared" si="20"/>
        <v>0</v>
      </c>
      <c r="AE63" s="107">
        <f t="shared" si="20"/>
        <v>0</v>
      </c>
      <c r="AF63" s="101"/>
      <c r="AG63" s="102">
        <f t="shared" si="1"/>
        <v>0</v>
      </c>
      <c r="AH63" s="155">
        <f t="shared" si="2"/>
        <v>0</v>
      </c>
    </row>
    <row r="64" spans="1:35" x14ac:dyDescent="0.3">
      <c r="A64" s="106" t="s">
        <v>33</v>
      </c>
      <c r="B64" s="107">
        <f t="shared" si="21"/>
        <v>82831.53</v>
      </c>
      <c r="C64" s="107">
        <f>H64+J64+L64</f>
        <v>35677.11</v>
      </c>
      <c r="D64" s="107">
        <f t="shared" si="21"/>
        <v>23852.343000000001</v>
      </c>
      <c r="E64" s="107">
        <f t="shared" si="21"/>
        <v>23852.343000000001</v>
      </c>
      <c r="F64" s="107">
        <f>IFERROR(E64/B64*100,0)</f>
        <v>28.796212022161129</v>
      </c>
      <c r="G64" s="107">
        <f>IFERROR(E64/C64*100,0)</f>
        <v>66.856152306058419</v>
      </c>
      <c r="H64" s="107">
        <f t="shared" si="20"/>
        <v>15929.62</v>
      </c>
      <c r="I64" s="107">
        <f t="shared" si="20"/>
        <v>1723.4670000000001</v>
      </c>
      <c r="J64" s="107">
        <f t="shared" si="20"/>
        <v>9842.64</v>
      </c>
      <c r="K64" s="107">
        <f t="shared" si="20"/>
        <v>5954.1570000000002</v>
      </c>
      <c r="L64" s="107">
        <f t="shared" si="20"/>
        <v>9904.85</v>
      </c>
      <c r="M64" s="107">
        <f t="shared" si="20"/>
        <v>5166.808</v>
      </c>
      <c r="N64" s="107">
        <f t="shared" si="20"/>
        <v>7300.85</v>
      </c>
      <c r="O64" s="107">
        <f t="shared" si="20"/>
        <v>4644.0309999999999</v>
      </c>
      <c r="P64" s="107">
        <f t="shared" si="20"/>
        <v>6235.86</v>
      </c>
      <c r="Q64" s="107">
        <f t="shared" si="20"/>
        <v>6363.88</v>
      </c>
      <c r="R64" s="107">
        <f t="shared" si="20"/>
        <v>6235.86</v>
      </c>
      <c r="S64" s="107">
        <f t="shared" si="20"/>
        <v>0</v>
      </c>
      <c r="T64" s="107">
        <f t="shared" si="20"/>
        <v>4504.4399999999996</v>
      </c>
      <c r="U64" s="107">
        <f t="shared" si="20"/>
        <v>0</v>
      </c>
      <c r="V64" s="107">
        <f t="shared" si="20"/>
        <v>5177.08</v>
      </c>
      <c r="W64" s="107">
        <f t="shared" si="20"/>
        <v>0</v>
      </c>
      <c r="X64" s="107">
        <f t="shared" si="20"/>
        <v>5177.08</v>
      </c>
      <c r="Y64" s="107">
        <f t="shared" si="20"/>
        <v>0</v>
      </c>
      <c r="Z64" s="107">
        <f t="shared" si="20"/>
        <v>4664.42</v>
      </c>
      <c r="AA64" s="107">
        <f t="shared" si="20"/>
        <v>0</v>
      </c>
      <c r="AB64" s="107">
        <f t="shared" si="20"/>
        <v>4526.08</v>
      </c>
      <c r="AC64" s="107">
        <f t="shared" si="20"/>
        <v>0</v>
      </c>
      <c r="AD64" s="107">
        <f t="shared" si="20"/>
        <v>3332.75</v>
      </c>
      <c r="AE64" s="107">
        <f t="shared" si="20"/>
        <v>0</v>
      </c>
      <c r="AF64" s="101"/>
      <c r="AG64" s="102">
        <f t="shared" si="1"/>
        <v>9.0949470177292824E-12</v>
      </c>
      <c r="AH64" s="155">
        <f t="shared" si="2"/>
        <v>11824.767</v>
      </c>
    </row>
    <row r="65" spans="1:35" x14ac:dyDescent="0.3">
      <c r="A65" s="106" t="s">
        <v>170</v>
      </c>
      <c r="B65" s="107">
        <f t="shared" si="21"/>
        <v>0</v>
      </c>
      <c r="C65" s="107">
        <f>H65+J65+L65+N65+P65+R65+T65+V65+X65+Z65+AB65+AD65</f>
        <v>0</v>
      </c>
      <c r="D65" s="107">
        <f t="shared" si="21"/>
        <v>0</v>
      </c>
      <c r="E65" s="107">
        <f t="shared" si="21"/>
        <v>0</v>
      </c>
      <c r="F65" s="107">
        <f>IFERROR(E65/B65*100,0)</f>
        <v>0</v>
      </c>
      <c r="G65" s="107">
        <f>IFERROR(E65/C65*100,0)</f>
        <v>0</v>
      </c>
      <c r="H65" s="107">
        <f t="shared" si="20"/>
        <v>0</v>
      </c>
      <c r="I65" s="107">
        <f t="shared" si="20"/>
        <v>0</v>
      </c>
      <c r="J65" s="107">
        <f t="shared" si="20"/>
        <v>0</v>
      </c>
      <c r="K65" s="107">
        <f t="shared" si="20"/>
        <v>0</v>
      </c>
      <c r="L65" s="107">
        <f t="shared" si="20"/>
        <v>0</v>
      </c>
      <c r="M65" s="107">
        <f t="shared" si="20"/>
        <v>0</v>
      </c>
      <c r="N65" s="107">
        <f t="shared" si="20"/>
        <v>0</v>
      </c>
      <c r="O65" s="107">
        <f t="shared" si="20"/>
        <v>0</v>
      </c>
      <c r="P65" s="107">
        <f t="shared" si="20"/>
        <v>0</v>
      </c>
      <c r="Q65" s="107">
        <f t="shared" si="20"/>
        <v>0</v>
      </c>
      <c r="R65" s="107">
        <f t="shared" si="20"/>
        <v>0</v>
      </c>
      <c r="S65" s="107">
        <f t="shared" si="20"/>
        <v>0</v>
      </c>
      <c r="T65" s="107">
        <f t="shared" si="20"/>
        <v>0</v>
      </c>
      <c r="U65" s="107">
        <f t="shared" si="20"/>
        <v>0</v>
      </c>
      <c r="V65" s="107">
        <f t="shared" si="20"/>
        <v>0</v>
      </c>
      <c r="W65" s="107">
        <f t="shared" si="20"/>
        <v>0</v>
      </c>
      <c r="X65" s="107">
        <f t="shared" si="20"/>
        <v>0</v>
      </c>
      <c r="Y65" s="107">
        <f t="shared" si="20"/>
        <v>0</v>
      </c>
      <c r="Z65" s="107">
        <f t="shared" si="20"/>
        <v>0</v>
      </c>
      <c r="AA65" s="107">
        <f t="shared" si="20"/>
        <v>0</v>
      </c>
      <c r="AB65" s="107">
        <f t="shared" si="20"/>
        <v>0</v>
      </c>
      <c r="AC65" s="107">
        <f t="shared" si="20"/>
        <v>0</v>
      </c>
      <c r="AD65" s="107">
        <f t="shared" si="20"/>
        <v>0</v>
      </c>
      <c r="AE65" s="107">
        <f t="shared" si="20"/>
        <v>0</v>
      </c>
      <c r="AF65" s="101"/>
      <c r="AG65" s="102">
        <f t="shared" si="1"/>
        <v>0</v>
      </c>
      <c r="AH65" s="155">
        <f t="shared" si="2"/>
        <v>0</v>
      </c>
    </row>
    <row r="66" spans="1:35" ht="101.25" x14ac:dyDescent="0.3">
      <c r="A66" s="108" t="s">
        <v>259</v>
      </c>
      <c r="B66" s="109"/>
      <c r="C66" s="110"/>
      <c r="D66" s="110"/>
      <c r="E66" s="110"/>
      <c r="F66" s="110"/>
      <c r="G66" s="110"/>
      <c r="H66" s="111"/>
      <c r="I66" s="111"/>
      <c r="J66" s="111"/>
      <c r="K66" s="111"/>
      <c r="L66" s="111"/>
      <c r="M66" s="111"/>
      <c r="N66" s="111"/>
      <c r="O66" s="111"/>
      <c r="P66" s="111"/>
      <c r="Q66" s="111"/>
      <c r="R66" s="111"/>
      <c r="S66" s="111"/>
      <c r="T66" s="111"/>
      <c r="U66" s="111"/>
      <c r="V66" s="111"/>
      <c r="W66" s="111"/>
      <c r="X66" s="111"/>
      <c r="Y66" s="111"/>
      <c r="Z66" s="111"/>
      <c r="AA66" s="111"/>
      <c r="AB66" s="111"/>
      <c r="AC66" s="111"/>
      <c r="AD66" s="111"/>
      <c r="AE66" s="111"/>
      <c r="AF66" s="690" t="s">
        <v>505</v>
      </c>
      <c r="AG66" s="102">
        <f t="shared" si="1"/>
        <v>0</v>
      </c>
      <c r="AH66" s="155">
        <f t="shared" si="2"/>
        <v>0</v>
      </c>
    </row>
    <row r="67" spans="1:35" x14ac:dyDescent="0.3">
      <c r="A67" s="126" t="s">
        <v>31</v>
      </c>
      <c r="B67" s="113">
        <f>B69+B70+B68+B71</f>
        <v>82831.53</v>
      </c>
      <c r="C67" s="113">
        <f>C69+C70+C68+C71</f>
        <v>35677.11</v>
      </c>
      <c r="D67" s="113">
        <f>D69+D70+D68+D71</f>
        <v>23852.343000000001</v>
      </c>
      <c r="E67" s="113">
        <f>E69+E70+E68+E71</f>
        <v>23852.343000000001</v>
      </c>
      <c r="F67" s="113">
        <f>IFERROR(E67/B67*100,0)</f>
        <v>28.796212022161129</v>
      </c>
      <c r="G67" s="113">
        <f>IFERROR(E67/C67*100,0)</f>
        <v>66.856152306058419</v>
      </c>
      <c r="H67" s="113">
        <f t="shared" ref="H67:AE67" si="22">H69+H70+H68+H71</f>
        <v>15929.62</v>
      </c>
      <c r="I67" s="113">
        <f t="shared" si="22"/>
        <v>1723.4670000000001</v>
      </c>
      <c r="J67" s="113">
        <f t="shared" si="22"/>
        <v>9842.64</v>
      </c>
      <c r="K67" s="113">
        <f t="shared" si="22"/>
        <v>5954.1570000000002</v>
      </c>
      <c r="L67" s="113">
        <f t="shared" si="22"/>
        <v>9904.85</v>
      </c>
      <c r="M67" s="113">
        <f t="shared" si="22"/>
        <v>5166.808</v>
      </c>
      <c r="N67" s="113">
        <f t="shared" si="22"/>
        <v>7300.85</v>
      </c>
      <c r="O67" s="113">
        <f t="shared" si="22"/>
        <v>4644.0309999999999</v>
      </c>
      <c r="P67" s="113">
        <f t="shared" si="22"/>
        <v>6235.86</v>
      </c>
      <c r="Q67" s="113">
        <f t="shared" si="22"/>
        <v>6363.88</v>
      </c>
      <c r="R67" s="113">
        <f t="shared" si="22"/>
        <v>6235.86</v>
      </c>
      <c r="S67" s="113">
        <f t="shared" si="22"/>
        <v>0</v>
      </c>
      <c r="T67" s="113">
        <f t="shared" si="22"/>
        <v>4504.4399999999996</v>
      </c>
      <c r="U67" s="113">
        <f t="shared" si="22"/>
        <v>0</v>
      </c>
      <c r="V67" s="113">
        <f t="shared" si="22"/>
        <v>5177.08</v>
      </c>
      <c r="W67" s="113">
        <f t="shared" si="22"/>
        <v>0</v>
      </c>
      <c r="X67" s="113">
        <f t="shared" si="22"/>
        <v>5177.08</v>
      </c>
      <c r="Y67" s="113">
        <f t="shared" si="22"/>
        <v>0</v>
      </c>
      <c r="Z67" s="113">
        <f t="shared" si="22"/>
        <v>4664.42</v>
      </c>
      <c r="AA67" s="113">
        <f t="shared" si="22"/>
        <v>0</v>
      </c>
      <c r="AB67" s="113">
        <f t="shared" si="22"/>
        <v>4526.08</v>
      </c>
      <c r="AC67" s="113">
        <f t="shared" si="22"/>
        <v>0</v>
      </c>
      <c r="AD67" s="113">
        <f t="shared" si="22"/>
        <v>3332.75</v>
      </c>
      <c r="AE67" s="113">
        <f t="shared" si="22"/>
        <v>0</v>
      </c>
      <c r="AF67" s="29"/>
      <c r="AG67" s="102">
        <f t="shared" si="1"/>
        <v>9.0949470177292824E-12</v>
      </c>
      <c r="AH67" s="155">
        <f t="shared" si="2"/>
        <v>11824.767</v>
      </c>
    </row>
    <row r="68" spans="1:35" x14ac:dyDescent="0.3">
      <c r="A68" s="127" t="s">
        <v>169</v>
      </c>
      <c r="B68" s="116">
        <v>0</v>
      </c>
      <c r="C68" s="117">
        <v>0</v>
      </c>
      <c r="D68" s="118">
        <v>0</v>
      </c>
      <c r="E68" s="117">
        <v>0</v>
      </c>
      <c r="F68" s="117">
        <v>0</v>
      </c>
      <c r="G68" s="117">
        <v>0</v>
      </c>
      <c r="H68" s="117">
        <v>0</v>
      </c>
      <c r="I68" s="117">
        <v>0</v>
      </c>
      <c r="J68" s="117">
        <v>0</v>
      </c>
      <c r="K68" s="117">
        <v>0</v>
      </c>
      <c r="L68" s="117">
        <v>0</v>
      </c>
      <c r="M68" s="117">
        <v>0</v>
      </c>
      <c r="N68" s="117">
        <v>0</v>
      </c>
      <c r="O68" s="117">
        <v>0</v>
      </c>
      <c r="P68" s="117">
        <v>0</v>
      </c>
      <c r="Q68" s="117">
        <v>0</v>
      </c>
      <c r="R68" s="117">
        <v>0</v>
      </c>
      <c r="S68" s="117">
        <v>0</v>
      </c>
      <c r="T68" s="117">
        <v>0</v>
      </c>
      <c r="U68" s="117">
        <v>0</v>
      </c>
      <c r="V68" s="117">
        <v>0</v>
      </c>
      <c r="W68" s="117">
        <v>0</v>
      </c>
      <c r="X68" s="117">
        <v>0</v>
      </c>
      <c r="Y68" s="117">
        <v>0</v>
      </c>
      <c r="Z68" s="117">
        <v>0</v>
      </c>
      <c r="AA68" s="117">
        <v>0</v>
      </c>
      <c r="AB68" s="117">
        <v>0</v>
      </c>
      <c r="AC68" s="117">
        <v>0</v>
      </c>
      <c r="AD68" s="117">
        <v>0</v>
      </c>
      <c r="AE68" s="117">
        <v>0</v>
      </c>
      <c r="AF68" s="29"/>
      <c r="AG68" s="102">
        <f t="shared" si="1"/>
        <v>0</v>
      </c>
      <c r="AH68" s="155">
        <f t="shared" si="2"/>
        <v>0</v>
      </c>
    </row>
    <row r="69" spans="1:35" x14ac:dyDescent="0.3">
      <c r="A69" s="127" t="s">
        <v>32</v>
      </c>
      <c r="B69" s="116">
        <v>0</v>
      </c>
      <c r="C69" s="117">
        <v>0</v>
      </c>
      <c r="D69" s="118">
        <v>0</v>
      </c>
      <c r="E69" s="117">
        <v>0</v>
      </c>
      <c r="F69" s="117">
        <v>0</v>
      </c>
      <c r="G69" s="117">
        <v>0</v>
      </c>
      <c r="H69" s="117">
        <v>0</v>
      </c>
      <c r="I69" s="117">
        <v>0</v>
      </c>
      <c r="J69" s="117">
        <v>0</v>
      </c>
      <c r="K69" s="117">
        <v>0</v>
      </c>
      <c r="L69" s="117">
        <v>0</v>
      </c>
      <c r="M69" s="117">
        <v>0</v>
      </c>
      <c r="N69" s="117">
        <v>0</v>
      </c>
      <c r="O69" s="117">
        <v>0</v>
      </c>
      <c r="P69" s="117">
        <v>0</v>
      </c>
      <c r="Q69" s="117">
        <v>0</v>
      </c>
      <c r="R69" s="117">
        <v>0</v>
      </c>
      <c r="S69" s="117">
        <v>0</v>
      </c>
      <c r="T69" s="117">
        <v>0</v>
      </c>
      <c r="U69" s="117">
        <v>0</v>
      </c>
      <c r="V69" s="117">
        <v>0</v>
      </c>
      <c r="W69" s="117">
        <v>0</v>
      </c>
      <c r="X69" s="117">
        <v>0</v>
      </c>
      <c r="Y69" s="117">
        <v>0</v>
      </c>
      <c r="Z69" s="117">
        <v>0</v>
      </c>
      <c r="AA69" s="117">
        <v>0</v>
      </c>
      <c r="AB69" s="117">
        <v>0</v>
      </c>
      <c r="AC69" s="117">
        <v>0</v>
      </c>
      <c r="AD69" s="117">
        <v>0</v>
      </c>
      <c r="AE69" s="117">
        <v>0</v>
      </c>
      <c r="AF69" s="29"/>
      <c r="AG69" s="102">
        <f t="shared" si="1"/>
        <v>0</v>
      </c>
      <c r="AH69" s="155">
        <f t="shared" si="2"/>
        <v>0</v>
      </c>
    </row>
    <row r="70" spans="1:35" x14ac:dyDescent="0.3">
      <c r="A70" s="115" t="s">
        <v>33</v>
      </c>
      <c r="B70" s="742">
        <f>J70+L70+N70+P70+R70+T70+V70+X70+Z70+AB70+AD70+H70</f>
        <v>82831.53</v>
      </c>
      <c r="C70" s="743">
        <f>H70+J70+L70</f>
        <v>35677.11</v>
      </c>
      <c r="D70" s="118">
        <f>E70</f>
        <v>23852.343000000001</v>
      </c>
      <c r="E70" s="743">
        <f>SUM(I70,K70,M70,O70,Q70,S70,U70,W70,Y70,AA70,AC70,AE70)</f>
        <v>23852.343000000001</v>
      </c>
      <c r="F70" s="116">
        <f>IFERROR(E70/B70*100,0)</f>
        <v>28.796212022161129</v>
      </c>
      <c r="G70" s="116">
        <f>IFERROR(E70/C70*100,0)</f>
        <v>66.856152306058419</v>
      </c>
      <c r="H70" s="111">
        <v>15929.62</v>
      </c>
      <c r="I70" s="111">
        <v>1723.4670000000001</v>
      </c>
      <c r="J70" s="111">
        <v>9842.64</v>
      </c>
      <c r="K70" s="111">
        <v>5954.1570000000002</v>
      </c>
      <c r="L70" s="111">
        <v>9904.85</v>
      </c>
      <c r="M70" s="111">
        <v>5166.808</v>
      </c>
      <c r="N70" s="111">
        <v>7300.85</v>
      </c>
      <c r="O70" s="111">
        <v>4644.0309999999999</v>
      </c>
      <c r="P70" s="111">
        <v>6235.86</v>
      </c>
      <c r="Q70" s="937">
        <v>6363.88</v>
      </c>
      <c r="R70" s="111">
        <v>6235.86</v>
      </c>
      <c r="S70" s="111">
        <v>0</v>
      </c>
      <c r="T70" s="111">
        <v>4504.4399999999996</v>
      </c>
      <c r="U70" s="111">
        <v>0</v>
      </c>
      <c r="V70" s="111">
        <v>5177.08</v>
      </c>
      <c r="W70" s="111">
        <v>0</v>
      </c>
      <c r="X70" s="111">
        <v>5177.08</v>
      </c>
      <c r="Y70" s="111">
        <v>0</v>
      </c>
      <c r="Z70" s="111">
        <v>4664.42</v>
      </c>
      <c r="AA70" s="111">
        <v>0</v>
      </c>
      <c r="AB70" s="111">
        <v>4526.08</v>
      </c>
      <c r="AC70" s="111">
        <v>0</v>
      </c>
      <c r="AD70" s="111">
        <v>3332.75</v>
      </c>
      <c r="AE70" s="111">
        <v>0</v>
      </c>
      <c r="AF70" s="29"/>
      <c r="AG70" s="102">
        <f t="shared" si="1"/>
        <v>9.0949470177292824E-12</v>
      </c>
      <c r="AH70" s="737">
        <f t="shared" si="2"/>
        <v>11824.767</v>
      </c>
    </row>
    <row r="71" spans="1:35" x14ac:dyDescent="0.3">
      <c r="A71" s="115" t="s">
        <v>170</v>
      </c>
      <c r="B71" s="116"/>
      <c r="C71" s="117"/>
      <c r="D71" s="118"/>
      <c r="E71" s="117"/>
      <c r="F71" s="116"/>
      <c r="G71" s="116"/>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29"/>
      <c r="AG71" s="102">
        <f t="shared" si="1"/>
        <v>0</v>
      </c>
      <c r="AH71" s="155">
        <f t="shared" si="2"/>
        <v>0</v>
      </c>
    </row>
    <row r="72" spans="1:35" ht="75" x14ac:dyDescent="0.3">
      <c r="A72" s="124" t="s">
        <v>260</v>
      </c>
      <c r="B72" s="104"/>
      <c r="C72" s="125"/>
      <c r="D72" s="125"/>
      <c r="E72" s="125"/>
      <c r="F72" s="125"/>
      <c r="G72" s="125"/>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c r="AE72" s="104"/>
      <c r="AF72" s="101"/>
      <c r="AG72" s="102">
        <f t="shared" si="1"/>
        <v>0</v>
      </c>
      <c r="AH72" s="155">
        <f t="shared" si="2"/>
        <v>0</v>
      </c>
    </row>
    <row r="73" spans="1:35" x14ac:dyDescent="0.3">
      <c r="A73" s="128" t="s">
        <v>31</v>
      </c>
      <c r="B73" s="104">
        <f ca="1">B74+B75+B76+B77</f>
        <v>3491.4</v>
      </c>
      <c r="C73" s="104">
        <f ca="1">C74+C75+C76</f>
        <v>3491.4</v>
      </c>
      <c r="D73" s="104">
        <f ca="1">D74+D75+D76</f>
        <v>3491.4</v>
      </c>
      <c r="E73" s="104">
        <f ca="1">E74+E75+E76</f>
        <v>3491.4</v>
      </c>
      <c r="F73" s="105">
        <f ca="1">IFERROR(E73/B73*100,0)</f>
        <v>100</v>
      </c>
      <c r="G73" s="105">
        <f ca="1">IFERROR(E73/C73*100,0)</f>
        <v>100</v>
      </c>
      <c r="H73" s="104">
        <f ca="1">H74+H75+H76+H77</f>
        <v>1750</v>
      </c>
      <c r="I73" s="104">
        <f t="shared" ref="I73:AE73" ca="1" si="23">I74+I75+I76+I77</f>
        <v>1750</v>
      </c>
      <c r="J73" s="104">
        <f t="shared" ca="1" si="23"/>
        <v>1741.4</v>
      </c>
      <c r="K73" s="104">
        <f>SUM(K76)</f>
        <v>150</v>
      </c>
      <c r="L73" s="104">
        <f>SUM(L76)</f>
        <v>0</v>
      </c>
      <c r="M73" s="104">
        <f>SUM(M76)</f>
        <v>0</v>
      </c>
      <c r="N73" s="104">
        <f t="shared" ca="1" si="23"/>
        <v>0</v>
      </c>
      <c r="O73" s="104">
        <f t="shared" ca="1" si="23"/>
        <v>1591.4</v>
      </c>
      <c r="P73" s="104">
        <f t="shared" ca="1" si="23"/>
        <v>0</v>
      </c>
      <c r="Q73" s="104">
        <f t="shared" ca="1" si="23"/>
        <v>0</v>
      </c>
      <c r="R73" s="104">
        <f t="shared" ca="1" si="23"/>
        <v>0</v>
      </c>
      <c r="S73" s="104">
        <f t="shared" ca="1" si="23"/>
        <v>0</v>
      </c>
      <c r="T73" s="104">
        <f t="shared" ca="1" si="23"/>
        <v>0</v>
      </c>
      <c r="U73" s="104">
        <f t="shared" ca="1" si="23"/>
        <v>0</v>
      </c>
      <c r="V73" s="104">
        <f t="shared" ca="1" si="23"/>
        <v>0</v>
      </c>
      <c r="W73" s="104">
        <f t="shared" ca="1" si="23"/>
        <v>0</v>
      </c>
      <c r="X73" s="104">
        <f t="shared" ca="1" si="23"/>
        <v>0</v>
      </c>
      <c r="Y73" s="104">
        <f t="shared" ca="1" si="23"/>
        <v>0</v>
      </c>
      <c r="Z73" s="104">
        <f t="shared" ca="1" si="23"/>
        <v>0</v>
      </c>
      <c r="AA73" s="104">
        <f t="shared" ca="1" si="23"/>
        <v>0</v>
      </c>
      <c r="AB73" s="104">
        <f t="shared" ca="1" si="23"/>
        <v>0</v>
      </c>
      <c r="AC73" s="104">
        <f t="shared" ca="1" si="23"/>
        <v>0</v>
      </c>
      <c r="AD73" s="104">
        <f t="shared" ca="1" si="23"/>
        <v>0</v>
      </c>
      <c r="AE73" s="104">
        <f t="shared" ca="1" si="23"/>
        <v>0</v>
      </c>
      <c r="AF73" s="101"/>
      <c r="AG73" s="102">
        <f t="shared" ca="1" si="1"/>
        <v>0</v>
      </c>
      <c r="AH73" s="155">
        <f t="shared" ca="1" si="2"/>
        <v>0</v>
      </c>
    </row>
    <row r="74" spans="1:35" x14ac:dyDescent="0.3">
      <c r="A74" s="129" t="s">
        <v>169</v>
      </c>
      <c r="B74" s="107">
        <f ca="1">J74+L74+N74+P74+R74+T74+V74+X74+Z74+AB74+AD74+H74</f>
        <v>0</v>
      </c>
      <c r="C74" s="107">
        <f ca="1">H74+J74+L74+N74+P74+R74+T74+V74+X74+Z74+AB74+AD74</f>
        <v>0</v>
      </c>
      <c r="D74" s="107">
        <f ca="1">E74</f>
        <v>0</v>
      </c>
      <c r="E74" s="107">
        <f ca="1">SUM(I74,K74,M74,O74,Q74,S74,U74,W74,Y74,AA74,AC74,AE74)</f>
        <v>0</v>
      </c>
      <c r="F74" s="107">
        <f ca="1">IFERROR(E74/B74*100,0)</f>
        <v>0</v>
      </c>
      <c r="G74" s="107">
        <f ca="1">IFERROR(E74/C74*100,0)</f>
        <v>0</v>
      </c>
      <c r="H74" s="107">
        <f t="shared" ref="H74:Q75" ca="1" si="24">IFERROR(F74/D74*100,0)</f>
        <v>0</v>
      </c>
      <c r="I74" s="107">
        <f t="shared" ca="1" si="24"/>
        <v>0</v>
      </c>
      <c r="J74" s="107">
        <f t="shared" ca="1" si="24"/>
        <v>0</v>
      </c>
      <c r="K74" s="107">
        <f t="shared" ca="1" si="24"/>
        <v>0</v>
      </c>
      <c r="L74" s="107">
        <f t="shared" ca="1" si="24"/>
        <v>0</v>
      </c>
      <c r="M74" s="107">
        <f t="shared" ca="1" si="24"/>
        <v>0</v>
      </c>
      <c r="N74" s="107">
        <f t="shared" ca="1" si="24"/>
        <v>0</v>
      </c>
      <c r="O74" s="107">
        <f t="shared" ca="1" si="24"/>
        <v>0</v>
      </c>
      <c r="P74" s="107">
        <f t="shared" ca="1" si="24"/>
        <v>0</v>
      </c>
      <c r="Q74" s="107">
        <f t="shared" ca="1" si="24"/>
        <v>0</v>
      </c>
      <c r="R74" s="107">
        <f t="shared" ref="R74:AA75" ca="1" si="25">IFERROR(P74/N74*100,0)</f>
        <v>0</v>
      </c>
      <c r="S74" s="107">
        <f t="shared" ca="1" si="25"/>
        <v>0</v>
      </c>
      <c r="T74" s="107">
        <f t="shared" ca="1" si="25"/>
        <v>0</v>
      </c>
      <c r="U74" s="107">
        <f t="shared" ca="1" si="25"/>
        <v>0</v>
      </c>
      <c r="V74" s="107">
        <f t="shared" ca="1" si="25"/>
        <v>0</v>
      </c>
      <c r="W74" s="107">
        <f t="shared" ca="1" si="25"/>
        <v>0</v>
      </c>
      <c r="X74" s="107">
        <f t="shared" ca="1" si="25"/>
        <v>0</v>
      </c>
      <c r="Y74" s="107">
        <f t="shared" ca="1" si="25"/>
        <v>0</v>
      </c>
      <c r="Z74" s="107">
        <f t="shared" ca="1" si="25"/>
        <v>0</v>
      </c>
      <c r="AA74" s="107">
        <f t="shared" ca="1" si="25"/>
        <v>0</v>
      </c>
      <c r="AB74" s="107">
        <f t="shared" ref="AB74:AE75" ca="1" si="26">IFERROR(Z74/X74*100,0)</f>
        <v>0</v>
      </c>
      <c r="AC74" s="107">
        <f t="shared" ca="1" si="26"/>
        <v>0</v>
      </c>
      <c r="AD74" s="107">
        <f t="shared" ca="1" si="26"/>
        <v>0</v>
      </c>
      <c r="AE74" s="107">
        <f t="shared" ca="1" si="26"/>
        <v>0</v>
      </c>
      <c r="AF74" s="101"/>
      <c r="AG74" s="102">
        <f t="shared" ca="1" si="1"/>
        <v>0</v>
      </c>
      <c r="AH74" s="155">
        <f t="shared" ca="1" si="2"/>
        <v>0</v>
      </c>
    </row>
    <row r="75" spans="1:35" x14ac:dyDescent="0.3">
      <c r="A75" s="129" t="s">
        <v>32</v>
      </c>
      <c r="B75" s="107">
        <f ca="1">J75+L75+N75+P75+R75+T75+V75+X75+Z75+AB75+AD75+H75</f>
        <v>0</v>
      </c>
      <c r="C75" s="107">
        <f ca="1">H75+J75+L75+N75+P75+R75+T75+V75+X75+Z75+AB75+AD75</f>
        <v>0</v>
      </c>
      <c r="D75" s="107">
        <f ca="1">E75</f>
        <v>0</v>
      </c>
      <c r="E75" s="107">
        <f ca="1">SUM(I75,K75,M75,O75,Q75,S75,U75,W75,Y75,AA75,AC75,AE75)</f>
        <v>0</v>
      </c>
      <c r="F75" s="107">
        <f ca="1">IFERROR(E75/B75*100,0)</f>
        <v>0</v>
      </c>
      <c r="G75" s="107">
        <f ca="1">IFERROR(E75/C75*100,0)</f>
        <v>0</v>
      </c>
      <c r="H75" s="107">
        <f t="shared" ca="1" si="24"/>
        <v>0</v>
      </c>
      <c r="I75" s="107">
        <f t="shared" ca="1" si="24"/>
        <v>0</v>
      </c>
      <c r="J75" s="107">
        <f t="shared" ca="1" si="24"/>
        <v>0</v>
      </c>
      <c r="K75" s="107">
        <f t="shared" ca="1" si="24"/>
        <v>0</v>
      </c>
      <c r="L75" s="107">
        <f t="shared" ca="1" si="24"/>
        <v>0</v>
      </c>
      <c r="M75" s="107">
        <f t="shared" ca="1" si="24"/>
        <v>0</v>
      </c>
      <c r="N75" s="107">
        <f t="shared" ca="1" si="24"/>
        <v>0</v>
      </c>
      <c r="O75" s="107">
        <f t="shared" ca="1" si="24"/>
        <v>0</v>
      </c>
      <c r="P75" s="107">
        <f t="shared" ca="1" si="24"/>
        <v>0</v>
      </c>
      <c r="Q75" s="107">
        <f t="shared" ca="1" si="24"/>
        <v>0</v>
      </c>
      <c r="R75" s="107">
        <f t="shared" ca="1" si="25"/>
        <v>0</v>
      </c>
      <c r="S75" s="107">
        <f t="shared" ca="1" si="25"/>
        <v>0</v>
      </c>
      <c r="T75" s="107">
        <f t="shared" ca="1" si="25"/>
        <v>0</v>
      </c>
      <c r="U75" s="107">
        <f t="shared" ca="1" si="25"/>
        <v>0</v>
      </c>
      <c r="V75" s="107">
        <f t="shared" ca="1" si="25"/>
        <v>0</v>
      </c>
      <c r="W75" s="107">
        <f t="shared" ca="1" si="25"/>
        <v>0</v>
      </c>
      <c r="X75" s="107">
        <f t="shared" ca="1" si="25"/>
        <v>0</v>
      </c>
      <c r="Y75" s="107">
        <f t="shared" ca="1" si="25"/>
        <v>0</v>
      </c>
      <c r="Z75" s="107">
        <f t="shared" ca="1" si="25"/>
        <v>0</v>
      </c>
      <c r="AA75" s="107">
        <f t="shared" ca="1" si="25"/>
        <v>0</v>
      </c>
      <c r="AB75" s="107">
        <f t="shared" ca="1" si="26"/>
        <v>0</v>
      </c>
      <c r="AC75" s="107">
        <f t="shared" ca="1" si="26"/>
        <v>0</v>
      </c>
      <c r="AD75" s="107">
        <f t="shared" ca="1" si="26"/>
        <v>0</v>
      </c>
      <c r="AE75" s="107">
        <f t="shared" ca="1" si="26"/>
        <v>0</v>
      </c>
      <c r="AF75" s="101"/>
      <c r="AG75" s="102">
        <f t="shared" ca="1" si="1"/>
        <v>0</v>
      </c>
      <c r="AH75" s="155">
        <f t="shared" ca="1" si="2"/>
        <v>0</v>
      </c>
    </row>
    <row r="76" spans="1:35" ht="81.75" customHeight="1" x14ac:dyDescent="0.3">
      <c r="A76" s="129" t="s">
        <v>33</v>
      </c>
      <c r="B76" s="744">
        <f>J76+L76+N76+P76+R76+T76+V76+X76+Z76+AB76+AD76+H76</f>
        <v>3491.4</v>
      </c>
      <c r="C76" s="744">
        <f>H76+J76+L76</f>
        <v>3491.4</v>
      </c>
      <c r="D76" s="107">
        <f>E76</f>
        <v>3491.4</v>
      </c>
      <c r="E76" s="742">
        <f>SUM(I76,K76,M76,O76,Q76,S76,U76,W76,Y76,AA76,AC76,AE76)</f>
        <v>3491.4</v>
      </c>
      <c r="F76" s="107">
        <f>IFERROR(E76/B76*100,0)</f>
        <v>100</v>
      </c>
      <c r="G76" s="107">
        <f>IFERROR(E76/C76*100,0)</f>
        <v>100</v>
      </c>
      <c r="H76" s="107">
        <v>1750</v>
      </c>
      <c r="I76" s="701">
        <v>1750</v>
      </c>
      <c r="J76" s="107">
        <f>150+1591.4</f>
        <v>1741.4</v>
      </c>
      <c r="K76" s="107">
        <v>150</v>
      </c>
      <c r="L76" s="107">
        <v>0</v>
      </c>
      <c r="M76" s="107">
        <v>0</v>
      </c>
      <c r="N76" s="107">
        <v>0</v>
      </c>
      <c r="O76" s="107">
        <v>1591.4</v>
      </c>
      <c r="P76" s="107">
        <v>0</v>
      </c>
      <c r="Q76" s="107">
        <v>0</v>
      </c>
      <c r="R76" s="107">
        <v>0</v>
      </c>
      <c r="S76" s="107">
        <v>0</v>
      </c>
      <c r="T76" s="107">
        <v>0</v>
      </c>
      <c r="U76" s="107">
        <v>0</v>
      </c>
      <c r="V76" s="107">
        <v>0</v>
      </c>
      <c r="W76" s="107">
        <v>0</v>
      </c>
      <c r="X76" s="107">
        <v>0</v>
      </c>
      <c r="Y76" s="107">
        <v>0</v>
      </c>
      <c r="Z76" s="107">
        <v>0</v>
      </c>
      <c r="AA76" s="107">
        <v>0</v>
      </c>
      <c r="AB76" s="107">
        <v>0</v>
      </c>
      <c r="AC76" s="107">
        <v>0</v>
      </c>
      <c r="AD76" s="107">
        <v>0</v>
      </c>
      <c r="AE76" s="107">
        <v>0</v>
      </c>
      <c r="AF76" s="749" t="s">
        <v>519</v>
      </c>
      <c r="AG76" s="102">
        <f t="shared" si="1"/>
        <v>0</v>
      </c>
      <c r="AH76" s="745">
        <f t="shared" si="2"/>
        <v>0</v>
      </c>
      <c r="AI76" s="747">
        <v>1591</v>
      </c>
    </row>
    <row r="77" spans="1:35" x14ac:dyDescent="0.3">
      <c r="A77" s="129" t="s">
        <v>170</v>
      </c>
      <c r="B77" s="107">
        <f>J77+L77+N77+P77+R77+T77+V77+X77+Z77+AB77+AD77+H77</f>
        <v>0</v>
      </c>
      <c r="C77" s="107">
        <f>H77+J77+L77+N77+P77+R77+T77+V77+X77+Z77+AB77+AD77</f>
        <v>0</v>
      </c>
      <c r="D77" s="107">
        <f>E77</f>
        <v>0</v>
      </c>
      <c r="E77" s="107">
        <f>SUM(I77,K77,M77,O77,Q77,S77,U77,W77,Y77,AA77,AC77,AE77)</f>
        <v>0</v>
      </c>
      <c r="F77" s="107">
        <f>IFERROR(E77/B77*100,0)</f>
        <v>0</v>
      </c>
      <c r="G77" s="107">
        <f>IFERROR(E77/C77*100,0)</f>
        <v>0</v>
      </c>
      <c r="H77" s="107"/>
      <c r="I77" s="107"/>
      <c r="J77" s="107"/>
      <c r="K77" s="107"/>
      <c r="L77" s="107"/>
      <c r="M77" s="107"/>
      <c r="N77" s="107"/>
      <c r="O77" s="107"/>
      <c r="P77" s="107"/>
      <c r="Q77" s="107"/>
      <c r="R77" s="107"/>
      <c r="S77" s="107"/>
      <c r="T77" s="107"/>
      <c r="U77" s="107"/>
      <c r="V77" s="107"/>
      <c r="W77" s="107"/>
      <c r="X77" s="107"/>
      <c r="Y77" s="107"/>
      <c r="Z77" s="107"/>
      <c r="AA77" s="107"/>
      <c r="AB77" s="107"/>
      <c r="AC77" s="107"/>
      <c r="AD77" s="107"/>
      <c r="AE77" s="107"/>
      <c r="AF77" s="101"/>
      <c r="AG77" s="102">
        <f t="shared" si="1"/>
        <v>0</v>
      </c>
      <c r="AH77" s="155">
        <f t="shared" si="2"/>
        <v>0</v>
      </c>
    </row>
    <row r="78" spans="1:35" ht="56.25" x14ac:dyDescent="0.3">
      <c r="A78" s="124" t="s">
        <v>261</v>
      </c>
      <c r="B78" s="104"/>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5"/>
      <c r="AC78" s="125"/>
      <c r="AD78" s="125"/>
      <c r="AE78" s="125"/>
      <c r="AF78" s="101"/>
      <c r="AG78" s="102">
        <f t="shared" si="1"/>
        <v>0</v>
      </c>
      <c r="AH78" s="155">
        <f t="shared" si="2"/>
        <v>0</v>
      </c>
    </row>
    <row r="79" spans="1:35" x14ac:dyDescent="0.3">
      <c r="A79" s="128" t="s">
        <v>31</v>
      </c>
      <c r="B79" s="104">
        <f>B80+B81+B82+B83</f>
        <v>5574.1052600000003</v>
      </c>
      <c r="C79" s="104">
        <f>C80+C81+C82</f>
        <v>0</v>
      </c>
      <c r="D79" s="104">
        <f>D80+D81+D82</f>
        <v>0</v>
      </c>
      <c r="E79" s="104">
        <f>E80+E81+E82</f>
        <v>0</v>
      </c>
      <c r="F79" s="104">
        <f>IFERROR(E79/B79*100,0)</f>
        <v>0</v>
      </c>
      <c r="G79" s="104">
        <f>IFERROR(E79/C79*100,0)</f>
        <v>0</v>
      </c>
      <c r="H79" s="104">
        <f>H80+H81+H82</f>
        <v>0</v>
      </c>
      <c r="I79" s="104">
        <f t="shared" ref="I79:AE79" si="27">I80+I81+I82</f>
        <v>0</v>
      </c>
      <c r="J79" s="104">
        <f t="shared" si="27"/>
        <v>0</v>
      </c>
      <c r="K79" s="104">
        <f t="shared" si="27"/>
        <v>0</v>
      </c>
      <c r="L79" s="104">
        <f t="shared" si="27"/>
        <v>0</v>
      </c>
      <c r="M79" s="104">
        <f t="shared" si="27"/>
        <v>0</v>
      </c>
      <c r="N79" s="104">
        <f t="shared" si="27"/>
        <v>0</v>
      </c>
      <c r="O79" s="104">
        <f t="shared" si="27"/>
        <v>0</v>
      </c>
      <c r="P79" s="104">
        <f t="shared" si="27"/>
        <v>0</v>
      </c>
      <c r="Q79" s="104">
        <f t="shared" si="27"/>
        <v>0</v>
      </c>
      <c r="R79" s="104">
        <f t="shared" si="27"/>
        <v>0</v>
      </c>
      <c r="S79" s="104">
        <f t="shared" si="27"/>
        <v>0</v>
      </c>
      <c r="T79" s="104">
        <f t="shared" si="27"/>
        <v>0</v>
      </c>
      <c r="U79" s="104">
        <f t="shared" si="27"/>
        <v>0</v>
      </c>
      <c r="V79" s="104">
        <f t="shared" si="27"/>
        <v>0</v>
      </c>
      <c r="W79" s="104">
        <f t="shared" si="27"/>
        <v>0</v>
      </c>
      <c r="X79" s="104">
        <f t="shared" si="27"/>
        <v>0</v>
      </c>
      <c r="Y79" s="104">
        <f t="shared" si="27"/>
        <v>0</v>
      </c>
      <c r="Z79" s="104">
        <f t="shared" si="27"/>
        <v>0</v>
      </c>
      <c r="AA79" s="104">
        <f t="shared" si="27"/>
        <v>0</v>
      </c>
      <c r="AB79" s="104">
        <f t="shared" si="27"/>
        <v>0</v>
      </c>
      <c r="AC79" s="104">
        <f t="shared" si="27"/>
        <v>0</v>
      </c>
      <c r="AD79" s="104">
        <f t="shared" si="27"/>
        <v>5574.1052600000003</v>
      </c>
      <c r="AE79" s="104">
        <f t="shared" si="27"/>
        <v>0</v>
      </c>
      <c r="AF79" s="101"/>
      <c r="AG79" s="102">
        <f t="shared" si="1"/>
        <v>0</v>
      </c>
      <c r="AH79" s="155">
        <f t="shared" si="2"/>
        <v>0</v>
      </c>
    </row>
    <row r="80" spans="1:35" x14ac:dyDescent="0.3">
      <c r="A80" s="129" t="s">
        <v>169</v>
      </c>
      <c r="B80" s="107">
        <f>B86+B92</f>
        <v>0</v>
      </c>
      <c r="C80" s="107">
        <f>C86+C92</f>
        <v>0</v>
      </c>
      <c r="D80" s="107">
        <f>D86+D92</f>
        <v>0</v>
      </c>
      <c r="E80" s="107">
        <f>E86+E92</f>
        <v>0</v>
      </c>
      <c r="F80" s="107">
        <f>IFERROR(E80/B80*100,0)</f>
        <v>0</v>
      </c>
      <c r="G80" s="107">
        <f>IFERROR(E80/C80*100,0)</f>
        <v>0</v>
      </c>
      <c r="H80" s="107">
        <f t="shared" ref="H80:AE83" si="28">H86+H92</f>
        <v>0</v>
      </c>
      <c r="I80" s="107">
        <f t="shared" si="28"/>
        <v>0</v>
      </c>
      <c r="J80" s="107">
        <f t="shared" si="28"/>
        <v>0</v>
      </c>
      <c r="K80" s="107">
        <f t="shared" si="28"/>
        <v>0</v>
      </c>
      <c r="L80" s="107">
        <f t="shared" si="28"/>
        <v>0</v>
      </c>
      <c r="M80" s="107">
        <f t="shared" si="28"/>
        <v>0</v>
      </c>
      <c r="N80" s="107">
        <f t="shared" si="28"/>
        <v>0</v>
      </c>
      <c r="O80" s="107">
        <f t="shared" si="28"/>
        <v>0</v>
      </c>
      <c r="P80" s="107">
        <f t="shared" si="28"/>
        <v>0</v>
      </c>
      <c r="Q80" s="107">
        <f t="shared" si="28"/>
        <v>0</v>
      </c>
      <c r="R80" s="107">
        <f t="shared" si="28"/>
        <v>0</v>
      </c>
      <c r="S80" s="107">
        <f t="shared" si="28"/>
        <v>0</v>
      </c>
      <c r="T80" s="107">
        <f t="shared" si="28"/>
        <v>0</v>
      </c>
      <c r="U80" s="107">
        <f t="shared" si="28"/>
        <v>0</v>
      </c>
      <c r="V80" s="107">
        <f t="shared" si="28"/>
        <v>0</v>
      </c>
      <c r="W80" s="107">
        <f t="shared" si="28"/>
        <v>0</v>
      </c>
      <c r="X80" s="107">
        <f t="shared" si="28"/>
        <v>0</v>
      </c>
      <c r="Y80" s="107">
        <f t="shared" si="28"/>
        <v>0</v>
      </c>
      <c r="Z80" s="107">
        <f t="shared" si="28"/>
        <v>0</v>
      </c>
      <c r="AA80" s="107">
        <f t="shared" si="28"/>
        <v>0</v>
      </c>
      <c r="AB80" s="107">
        <f t="shared" si="28"/>
        <v>0</v>
      </c>
      <c r="AC80" s="107">
        <f t="shared" si="28"/>
        <v>0</v>
      </c>
      <c r="AD80" s="107">
        <f t="shared" si="28"/>
        <v>0</v>
      </c>
      <c r="AE80" s="107">
        <f t="shared" si="28"/>
        <v>0</v>
      </c>
      <c r="AF80" s="101"/>
      <c r="AG80" s="102">
        <f t="shared" si="1"/>
        <v>0</v>
      </c>
      <c r="AH80" s="155">
        <f t="shared" si="2"/>
        <v>0</v>
      </c>
    </row>
    <row r="81" spans="1:34" x14ac:dyDescent="0.3">
      <c r="A81" s="129" t="s">
        <v>32</v>
      </c>
      <c r="B81" s="107">
        <f t="shared" ref="B81:E83" si="29">B87+B93</f>
        <v>0</v>
      </c>
      <c r="C81" s="107">
        <f t="shared" si="29"/>
        <v>0</v>
      </c>
      <c r="D81" s="107">
        <f t="shared" si="29"/>
        <v>0</v>
      </c>
      <c r="E81" s="107">
        <f t="shared" si="29"/>
        <v>0</v>
      </c>
      <c r="F81" s="107">
        <f>IFERROR(E81/B81*100,0)</f>
        <v>0</v>
      </c>
      <c r="G81" s="107">
        <f>IFERROR(E81/C81*100,0)</f>
        <v>0</v>
      </c>
      <c r="H81" s="107">
        <f t="shared" si="28"/>
        <v>0</v>
      </c>
      <c r="I81" s="107">
        <f t="shared" si="28"/>
        <v>0</v>
      </c>
      <c r="J81" s="107">
        <f t="shared" si="28"/>
        <v>0</v>
      </c>
      <c r="K81" s="107">
        <f t="shared" si="28"/>
        <v>0</v>
      </c>
      <c r="L81" s="107">
        <f t="shared" si="28"/>
        <v>0</v>
      </c>
      <c r="M81" s="107">
        <f t="shared" si="28"/>
        <v>0</v>
      </c>
      <c r="N81" s="107">
        <f t="shared" si="28"/>
        <v>0</v>
      </c>
      <c r="O81" s="107">
        <f t="shared" si="28"/>
        <v>0</v>
      </c>
      <c r="P81" s="107">
        <f t="shared" si="28"/>
        <v>0</v>
      </c>
      <c r="Q81" s="107">
        <f t="shared" si="28"/>
        <v>0</v>
      </c>
      <c r="R81" s="107">
        <f t="shared" si="28"/>
        <v>0</v>
      </c>
      <c r="S81" s="107">
        <f t="shared" si="28"/>
        <v>0</v>
      </c>
      <c r="T81" s="107">
        <f t="shared" si="28"/>
        <v>0</v>
      </c>
      <c r="U81" s="107">
        <f t="shared" si="28"/>
        <v>0</v>
      </c>
      <c r="V81" s="107">
        <f t="shared" si="28"/>
        <v>0</v>
      </c>
      <c r="W81" s="107">
        <f t="shared" si="28"/>
        <v>0</v>
      </c>
      <c r="X81" s="107">
        <f t="shared" si="28"/>
        <v>0</v>
      </c>
      <c r="Y81" s="107">
        <f t="shared" si="28"/>
        <v>0</v>
      </c>
      <c r="Z81" s="107">
        <f t="shared" si="28"/>
        <v>0</v>
      </c>
      <c r="AA81" s="107">
        <f t="shared" si="28"/>
        <v>0</v>
      </c>
      <c r="AB81" s="107">
        <f t="shared" si="28"/>
        <v>0</v>
      </c>
      <c r="AC81" s="107">
        <f t="shared" si="28"/>
        <v>0</v>
      </c>
      <c r="AD81" s="107">
        <f t="shared" si="28"/>
        <v>0</v>
      </c>
      <c r="AE81" s="107">
        <f t="shared" si="28"/>
        <v>0</v>
      </c>
      <c r="AF81" s="101"/>
      <c r="AG81" s="102">
        <f t="shared" si="1"/>
        <v>0</v>
      </c>
      <c r="AH81" s="155">
        <f t="shared" si="2"/>
        <v>0</v>
      </c>
    </row>
    <row r="82" spans="1:34" x14ac:dyDescent="0.3">
      <c r="A82" s="129" t="s">
        <v>33</v>
      </c>
      <c r="B82" s="107">
        <f t="shared" si="29"/>
        <v>5574.1052600000003</v>
      </c>
      <c r="C82" s="107">
        <f>H82+J82+L82</f>
        <v>0</v>
      </c>
      <c r="D82" s="107">
        <f t="shared" si="29"/>
        <v>0</v>
      </c>
      <c r="E82" s="107">
        <f t="shared" si="29"/>
        <v>0</v>
      </c>
      <c r="F82" s="107">
        <f>IFERROR(E82/B82*100,0)</f>
        <v>0</v>
      </c>
      <c r="G82" s="107">
        <f>IFERROR(E82/C82*100,0)</f>
        <v>0</v>
      </c>
      <c r="H82" s="107">
        <f t="shared" si="28"/>
        <v>0</v>
      </c>
      <c r="I82" s="107">
        <f t="shared" si="28"/>
        <v>0</v>
      </c>
      <c r="J82" s="107">
        <f t="shared" si="28"/>
        <v>0</v>
      </c>
      <c r="K82" s="107">
        <f t="shared" si="28"/>
        <v>0</v>
      </c>
      <c r="L82" s="107">
        <f t="shared" si="28"/>
        <v>0</v>
      </c>
      <c r="M82" s="107">
        <f t="shared" si="28"/>
        <v>0</v>
      </c>
      <c r="N82" s="107">
        <f t="shared" si="28"/>
        <v>0</v>
      </c>
      <c r="O82" s="107">
        <f t="shared" si="28"/>
        <v>0</v>
      </c>
      <c r="P82" s="107">
        <f t="shared" si="28"/>
        <v>0</v>
      </c>
      <c r="Q82" s="107">
        <f t="shared" si="28"/>
        <v>0</v>
      </c>
      <c r="R82" s="107">
        <f t="shared" si="28"/>
        <v>0</v>
      </c>
      <c r="S82" s="107">
        <f t="shared" si="28"/>
        <v>0</v>
      </c>
      <c r="T82" s="107">
        <f t="shared" si="28"/>
        <v>0</v>
      </c>
      <c r="U82" s="107">
        <f t="shared" si="28"/>
        <v>0</v>
      </c>
      <c r="V82" s="107">
        <f t="shared" si="28"/>
        <v>0</v>
      </c>
      <c r="W82" s="107">
        <f t="shared" si="28"/>
        <v>0</v>
      </c>
      <c r="X82" s="107">
        <f t="shared" si="28"/>
        <v>0</v>
      </c>
      <c r="Y82" s="107">
        <f t="shared" si="28"/>
        <v>0</v>
      </c>
      <c r="Z82" s="107">
        <f t="shared" si="28"/>
        <v>0</v>
      </c>
      <c r="AA82" s="107">
        <f t="shared" si="28"/>
        <v>0</v>
      </c>
      <c r="AB82" s="107">
        <f t="shared" si="28"/>
        <v>0</v>
      </c>
      <c r="AC82" s="107">
        <f t="shared" si="28"/>
        <v>0</v>
      </c>
      <c r="AD82" s="107">
        <f t="shared" si="28"/>
        <v>5574.1052600000003</v>
      </c>
      <c r="AE82" s="107">
        <f t="shared" si="28"/>
        <v>0</v>
      </c>
      <c r="AF82" s="101"/>
      <c r="AG82" s="102">
        <f t="shared" ref="AG82:AG145" si="30">B82-H82-J82-L82-N82-P82-R82-T82-V82-X82-Z82-AB82-AD82</f>
        <v>0</v>
      </c>
      <c r="AH82" s="155">
        <f t="shared" si="2"/>
        <v>0</v>
      </c>
    </row>
    <row r="83" spans="1:34" x14ac:dyDescent="0.3">
      <c r="A83" s="129" t="s">
        <v>170</v>
      </c>
      <c r="B83" s="107">
        <f t="shared" si="29"/>
        <v>0</v>
      </c>
      <c r="C83" s="107">
        <f t="shared" si="29"/>
        <v>0</v>
      </c>
      <c r="D83" s="107">
        <f t="shared" si="29"/>
        <v>0</v>
      </c>
      <c r="E83" s="107">
        <f t="shared" si="29"/>
        <v>0</v>
      </c>
      <c r="F83" s="107">
        <f>IFERROR(E83/B83*100,0)</f>
        <v>0</v>
      </c>
      <c r="G83" s="107">
        <f>IFERROR(E83/C83*100,0)</f>
        <v>0</v>
      </c>
      <c r="H83" s="107">
        <f t="shared" si="28"/>
        <v>0</v>
      </c>
      <c r="I83" s="107">
        <f t="shared" si="28"/>
        <v>0</v>
      </c>
      <c r="J83" s="107">
        <f t="shared" si="28"/>
        <v>0</v>
      </c>
      <c r="K83" s="107">
        <f t="shared" si="28"/>
        <v>0</v>
      </c>
      <c r="L83" s="107">
        <f t="shared" si="28"/>
        <v>0</v>
      </c>
      <c r="M83" s="107">
        <f t="shared" si="28"/>
        <v>0</v>
      </c>
      <c r="N83" s="107">
        <f t="shared" si="28"/>
        <v>0</v>
      </c>
      <c r="O83" s="107">
        <f t="shared" si="28"/>
        <v>0</v>
      </c>
      <c r="P83" s="107">
        <f t="shared" si="28"/>
        <v>0</v>
      </c>
      <c r="Q83" s="107">
        <f t="shared" si="28"/>
        <v>0</v>
      </c>
      <c r="R83" s="107">
        <f t="shared" si="28"/>
        <v>0</v>
      </c>
      <c r="S83" s="107">
        <f t="shared" si="28"/>
        <v>0</v>
      </c>
      <c r="T83" s="107">
        <f t="shared" si="28"/>
        <v>0</v>
      </c>
      <c r="U83" s="107">
        <f t="shared" si="28"/>
        <v>0</v>
      </c>
      <c r="V83" s="107">
        <f t="shared" si="28"/>
        <v>0</v>
      </c>
      <c r="W83" s="107">
        <f t="shared" si="28"/>
        <v>0</v>
      </c>
      <c r="X83" s="107">
        <f t="shared" si="28"/>
        <v>0</v>
      </c>
      <c r="Y83" s="107">
        <f t="shared" si="28"/>
        <v>0</v>
      </c>
      <c r="Z83" s="107">
        <f t="shared" si="28"/>
        <v>0</v>
      </c>
      <c r="AA83" s="107">
        <f t="shared" si="28"/>
        <v>0</v>
      </c>
      <c r="AB83" s="107">
        <f t="shared" si="28"/>
        <v>0</v>
      </c>
      <c r="AC83" s="107">
        <f t="shared" si="28"/>
        <v>0</v>
      </c>
      <c r="AD83" s="107">
        <f t="shared" si="28"/>
        <v>0</v>
      </c>
      <c r="AE83" s="107">
        <f t="shared" si="28"/>
        <v>0</v>
      </c>
      <c r="AF83" s="101"/>
      <c r="AG83" s="102">
        <f t="shared" si="30"/>
        <v>0</v>
      </c>
      <c r="AH83" s="155">
        <f t="shared" ref="AH83:AH146" si="31">C83-E83</f>
        <v>0</v>
      </c>
    </row>
    <row r="84" spans="1:34" ht="292.5" x14ac:dyDescent="0.3">
      <c r="A84" s="108" t="s">
        <v>262</v>
      </c>
      <c r="B84" s="130"/>
      <c r="C84" s="131"/>
      <c r="D84" s="131"/>
      <c r="E84" s="131"/>
      <c r="F84" s="131"/>
      <c r="G84" s="131"/>
      <c r="H84" s="111"/>
      <c r="I84" s="111"/>
      <c r="J84" s="111"/>
      <c r="K84" s="111"/>
      <c r="L84" s="111"/>
      <c r="M84" s="111"/>
      <c r="N84" s="111"/>
      <c r="O84" s="111"/>
      <c r="P84" s="111"/>
      <c r="Q84" s="111"/>
      <c r="R84" s="111"/>
      <c r="S84" s="111"/>
      <c r="T84" s="111"/>
      <c r="U84" s="111"/>
      <c r="V84" s="111"/>
      <c r="W84" s="111"/>
      <c r="X84" s="111"/>
      <c r="Y84" s="111"/>
      <c r="Z84" s="111"/>
      <c r="AA84" s="111"/>
      <c r="AB84" s="111"/>
      <c r="AC84" s="111"/>
      <c r="AD84" s="111"/>
      <c r="AE84" s="111"/>
      <c r="AF84" s="688" t="s">
        <v>504</v>
      </c>
      <c r="AG84" s="102">
        <f t="shared" si="30"/>
        <v>0</v>
      </c>
      <c r="AH84" s="155">
        <f t="shared" si="31"/>
        <v>0</v>
      </c>
    </row>
    <row r="85" spans="1:34" x14ac:dyDescent="0.3">
      <c r="A85" s="112" t="s">
        <v>31</v>
      </c>
      <c r="B85" s="113">
        <f>B87+B88+B86+B89</f>
        <v>2849.7052600000002</v>
      </c>
      <c r="C85" s="113">
        <f>C87+C88+C86+C89</f>
        <v>0</v>
      </c>
      <c r="D85" s="113">
        <f>D87+D88+D86+D89</f>
        <v>0</v>
      </c>
      <c r="E85" s="113">
        <f>E87+E88+E86+E89</f>
        <v>0</v>
      </c>
      <c r="F85" s="113">
        <f>IFERROR(E85/B85*100,0)</f>
        <v>0</v>
      </c>
      <c r="G85" s="113">
        <f>IFERROR(E85/C85*100,0)</f>
        <v>0</v>
      </c>
      <c r="H85" s="113">
        <f t="shared" ref="H85:AE85" si="32">H87+H88+H86+H89</f>
        <v>0</v>
      </c>
      <c r="I85" s="113">
        <f t="shared" si="32"/>
        <v>0</v>
      </c>
      <c r="J85" s="113">
        <f t="shared" si="32"/>
        <v>0</v>
      </c>
      <c r="K85" s="113">
        <f t="shared" si="32"/>
        <v>0</v>
      </c>
      <c r="L85" s="113">
        <f t="shared" si="32"/>
        <v>0</v>
      </c>
      <c r="M85" s="113">
        <f t="shared" si="32"/>
        <v>0</v>
      </c>
      <c r="N85" s="113">
        <f t="shared" si="32"/>
        <v>0</v>
      </c>
      <c r="O85" s="113">
        <f t="shared" si="32"/>
        <v>0</v>
      </c>
      <c r="P85" s="113">
        <f t="shared" si="32"/>
        <v>0</v>
      </c>
      <c r="Q85" s="113">
        <f t="shared" si="32"/>
        <v>0</v>
      </c>
      <c r="R85" s="113">
        <f t="shared" si="32"/>
        <v>0</v>
      </c>
      <c r="S85" s="113">
        <f t="shared" si="32"/>
        <v>0</v>
      </c>
      <c r="T85" s="113">
        <f t="shared" si="32"/>
        <v>0</v>
      </c>
      <c r="U85" s="113">
        <f t="shared" si="32"/>
        <v>0</v>
      </c>
      <c r="V85" s="113">
        <f t="shared" si="32"/>
        <v>0</v>
      </c>
      <c r="W85" s="113">
        <f t="shared" si="32"/>
        <v>0</v>
      </c>
      <c r="X85" s="113">
        <f t="shared" si="32"/>
        <v>0</v>
      </c>
      <c r="Y85" s="113">
        <f t="shared" si="32"/>
        <v>0</v>
      </c>
      <c r="Z85" s="113">
        <f t="shared" si="32"/>
        <v>0</v>
      </c>
      <c r="AA85" s="113">
        <f t="shared" si="32"/>
        <v>0</v>
      </c>
      <c r="AB85" s="113">
        <f t="shared" si="32"/>
        <v>0</v>
      </c>
      <c r="AC85" s="113">
        <f t="shared" si="32"/>
        <v>0</v>
      </c>
      <c r="AD85" s="113">
        <f t="shared" si="32"/>
        <v>2849.7052600000002</v>
      </c>
      <c r="AE85" s="113">
        <f t="shared" si="32"/>
        <v>0</v>
      </c>
      <c r="AF85" s="29"/>
      <c r="AG85" s="102">
        <f t="shared" si="30"/>
        <v>0</v>
      </c>
      <c r="AH85" s="155">
        <f t="shared" si="31"/>
        <v>0</v>
      </c>
    </row>
    <row r="86" spans="1:34" x14ac:dyDescent="0.3">
      <c r="A86" s="115" t="s">
        <v>169</v>
      </c>
      <c r="B86" s="116"/>
      <c r="C86" s="117"/>
      <c r="D86" s="118"/>
      <c r="E86" s="117"/>
      <c r="F86" s="116"/>
      <c r="G86" s="116"/>
      <c r="H86" s="111"/>
      <c r="I86" s="111"/>
      <c r="J86" s="111"/>
      <c r="K86" s="111"/>
      <c r="L86" s="111"/>
      <c r="M86" s="111"/>
      <c r="N86" s="111"/>
      <c r="O86" s="111"/>
      <c r="P86" s="111"/>
      <c r="Q86" s="111"/>
      <c r="R86" s="111"/>
      <c r="S86" s="111"/>
      <c r="T86" s="111"/>
      <c r="U86" s="111"/>
      <c r="V86" s="111"/>
      <c r="W86" s="111"/>
      <c r="X86" s="111"/>
      <c r="Y86" s="111"/>
      <c r="Z86" s="111"/>
      <c r="AA86" s="111"/>
      <c r="AB86" s="111"/>
      <c r="AC86" s="111"/>
      <c r="AD86" s="111"/>
      <c r="AE86" s="111"/>
      <c r="AF86" s="29"/>
      <c r="AG86" s="102">
        <f t="shared" si="30"/>
        <v>0</v>
      </c>
      <c r="AH86" s="155">
        <f t="shared" si="31"/>
        <v>0</v>
      </c>
    </row>
    <row r="87" spans="1:34" x14ac:dyDescent="0.3">
      <c r="A87" s="115" t="s">
        <v>32</v>
      </c>
      <c r="B87" s="116"/>
      <c r="C87" s="117"/>
      <c r="D87" s="118"/>
      <c r="E87" s="117"/>
      <c r="F87" s="116"/>
      <c r="G87" s="116"/>
      <c r="H87" s="111"/>
      <c r="I87" s="111"/>
      <c r="J87" s="111"/>
      <c r="K87" s="111"/>
      <c r="L87" s="111"/>
      <c r="M87" s="111"/>
      <c r="N87" s="111"/>
      <c r="O87" s="111"/>
      <c r="P87" s="111"/>
      <c r="Q87" s="111"/>
      <c r="R87" s="111"/>
      <c r="S87" s="111"/>
      <c r="T87" s="111"/>
      <c r="U87" s="111"/>
      <c r="V87" s="111"/>
      <c r="W87" s="111"/>
      <c r="X87" s="111"/>
      <c r="Y87" s="111"/>
      <c r="Z87" s="111"/>
      <c r="AA87" s="111"/>
      <c r="AB87" s="111"/>
      <c r="AC87" s="111"/>
      <c r="AD87" s="111"/>
      <c r="AE87" s="111"/>
      <c r="AF87" s="29"/>
      <c r="AG87" s="102">
        <f t="shared" si="30"/>
        <v>0</v>
      </c>
      <c r="AH87" s="155">
        <f t="shared" si="31"/>
        <v>0</v>
      </c>
    </row>
    <row r="88" spans="1:34" x14ac:dyDescent="0.3">
      <c r="A88" s="115" t="s">
        <v>33</v>
      </c>
      <c r="B88" s="116">
        <f>J88+L88+N88+P88+R88+T88+V88+X88+Z88+AB88+AD88+H88</f>
        <v>2849.7052600000002</v>
      </c>
      <c r="C88" s="117">
        <f>H88+J88+L88</f>
        <v>0</v>
      </c>
      <c r="D88" s="118">
        <f>E88</f>
        <v>0</v>
      </c>
      <c r="E88" s="117">
        <f>SUM(I88,K88,M88,O88,Q88,S88,U88,W88,Y88,AA88,AC88,AE88)</f>
        <v>0</v>
      </c>
      <c r="F88" s="116">
        <f>IFERROR(E88/B88*100,0)</f>
        <v>0</v>
      </c>
      <c r="G88" s="116">
        <f>IFERROR(E88/C88*100,0)</f>
        <v>0</v>
      </c>
      <c r="H88" s="111"/>
      <c r="I88" s="111"/>
      <c r="J88" s="111"/>
      <c r="K88" s="111"/>
      <c r="L88" s="111"/>
      <c r="M88" s="111"/>
      <c r="N88" s="111"/>
      <c r="O88" s="111"/>
      <c r="P88" s="111"/>
      <c r="Q88" s="111"/>
      <c r="R88" s="111"/>
      <c r="S88" s="111"/>
      <c r="T88" s="111"/>
      <c r="U88" s="111"/>
      <c r="V88" s="111"/>
      <c r="W88" s="111"/>
      <c r="X88" s="111"/>
      <c r="Y88" s="111"/>
      <c r="Z88" s="111"/>
      <c r="AA88" s="111"/>
      <c r="AB88" s="111"/>
      <c r="AC88" s="111"/>
      <c r="AD88" s="111">
        <v>2849.7052600000002</v>
      </c>
      <c r="AE88" s="111"/>
      <c r="AF88" s="29"/>
      <c r="AG88" s="102">
        <f t="shared" si="30"/>
        <v>0</v>
      </c>
      <c r="AH88" s="155">
        <f t="shared" si="31"/>
        <v>0</v>
      </c>
    </row>
    <row r="89" spans="1:34" x14ac:dyDescent="0.3">
      <c r="A89" s="122" t="s">
        <v>170</v>
      </c>
      <c r="B89" s="116"/>
      <c r="C89" s="117"/>
      <c r="D89" s="118"/>
      <c r="E89" s="117"/>
      <c r="F89" s="116"/>
      <c r="G89" s="116"/>
      <c r="H89" s="111"/>
      <c r="I89" s="111"/>
      <c r="J89" s="111"/>
      <c r="K89" s="111"/>
      <c r="L89" s="111"/>
      <c r="M89" s="111"/>
      <c r="N89" s="111"/>
      <c r="O89" s="111"/>
      <c r="P89" s="111"/>
      <c r="Q89" s="111"/>
      <c r="R89" s="111"/>
      <c r="S89" s="111"/>
      <c r="T89" s="111"/>
      <c r="U89" s="111"/>
      <c r="V89" s="111"/>
      <c r="W89" s="111"/>
      <c r="X89" s="111"/>
      <c r="Y89" s="111"/>
      <c r="Z89" s="111"/>
      <c r="AA89" s="111"/>
      <c r="AB89" s="111"/>
      <c r="AC89" s="111"/>
      <c r="AD89" s="111"/>
      <c r="AE89" s="111"/>
      <c r="AF89" s="29"/>
      <c r="AG89" s="102">
        <f t="shared" si="30"/>
        <v>0</v>
      </c>
      <c r="AH89" s="155">
        <f t="shared" si="31"/>
        <v>0</v>
      </c>
    </row>
    <row r="90" spans="1:34" ht="90" x14ac:dyDescent="0.3">
      <c r="A90" s="108" t="s">
        <v>263</v>
      </c>
      <c r="B90" s="130"/>
      <c r="C90" s="131"/>
      <c r="D90" s="131"/>
      <c r="E90" s="131"/>
      <c r="F90" s="131"/>
      <c r="G90" s="131"/>
      <c r="H90" s="111"/>
      <c r="I90" s="111"/>
      <c r="J90" s="111"/>
      <c r="K90" s="111"/>
      <c r="L90" s="111"/>
      <c r="M90" s="111"/>
      <c r="N90" s="111"/>
      <c r="O90" s="111"/>
      <c r="P90" s="111"/>
      <c r="Q90" s="111"/>
      <c r="R90" s="111"/>
      <c r="S90" s="111"/>
      <c r="T90" s="111"/>
      <c r="U90" s="111"/>
      <c r="V90" s="111"/>
      <c r="W90" s="111"/>
      <c r="X90" s="111"/>
      <c r="Y90" s="111"/>
      <c r="Z90" s="111"/>
      <c r="AA90" s="111"/>
      <c r="AB90" s="111"/>
      <c r="AC90" s="111"/>
      <c r="AD90" s="111"/>
      <c r="AE90" s="111"/>
      <c r="AF90" s="687" t="s">
        <v>503</v>
      </c>
      <c r="AG90" s="102">
        <f>B90-H90-J90-L90-N90-P90-R90-T90-V90-X90-Z90-AB90-AD90</f>
        <v>0</v>
      </c>
      <c r="AH90" s="155">
        <f t="shared" si="31"/>
        <v>0</v>
      </c>
    </row>
    <row r="91" spans="1:34" x14ac:dyDescent="0.3">
      <c r="A91" s="112" t="s">
        <v>31</v>
      </c>
      <c r="B91" s="113">
        <f>B93+B94+B92+B95</f>
        <v>2724.4</v>
      </c>
      <c r="C91" s="113">
        <f>C93+C94+C92+C95</f>
        <v>0</v>
      </c>
      <c r="D91" s="113">
        <f>D93+D94+D92+D95</f>
        <v>0</v>
      </c>
      <c r="E91" s="113">
        <f>E93+E94+E92+E95</f>
        <v>0</v>
      </c>
      <c r="F91" s="113">
        <f>IFERROR(E91/B91*100,0)</f>
        <v>0</v>
      </c>
      <c r="G91" s="113">
        <f>IFERROR(E91/C91*100,0)</f>
        <v>0</v>
      </c>
      <c r="H91" s="113">
        <f t="shared" ref="H91:AE91" si="33">H93+H94+H92+H95</f>
        <v>0</v>
      </c>
      <c r="I91" s="113">
        <f t="shared" si="33"/>
        <v>0</v>
      </c>
      <c r="J91" s="113">
        <f t="shared" si="33"/>
        <v>0</v>
      </c>
      <c r="K91" s="113">
        <f t="shared" si="33"/>
        <v>0</v>
      </c>
      <c r="L91" s="113">
        <f t="shared" si="33"/>
        <v>0</v>
      </c>
      <c r="M91" s="113">
        <f t="shared" si="33"/>
        <v>0</v>
      </c>
      <c r="N91" s="113">
        <f t="shared" si="33"/>
        <v>0</v>
      </c>
      <c r="O91" s="113">
        <f t="shared" si="33"/>
        <v>0</v>
      </c>
      <c r="P91" s="113">
        <f t="shared" si="33"/>
        <v>0</v>
      </c>
      <c r="Q91" s="113">
        <f t="shared" si="33"/>
        <v>0</v>
      </c>
      <c r="R91" s="113">
        <f t="shared" si="33"/>
        <v>0</v>
      </c>
      <c r="S91" s="113">
        <f t="shared" si="33"/>
        <v>0</v>
      </c>
      <c r="T91" s="113">
        <f t="shared" si="33"/>
        <v>0</v>
      </c>
      <c r="U91" s="113">
        <f t="shared" si="33"/>
        <v>0</v>
      </c>
      <c r="V91" s="113">
        <f t="shared" si="33"/>
        <v>0</v>
      </c>
      <c r="W91" s="113">
        <f t="shared" si="33"/>
        <v>0</v>
      </c>
      <c r="X91" s="113">
        <f t="shared" si="33"/>
        <v>0</v>
      </c>
      <c r="Y91" s="113">
        <f t="shared" si="33"/>
        <v>0</v>
      </c>
      <c r="Z91" s="113">
        <f t="shared" si="33"/>
        <v>0</v>
      </c>
      <c r="AA91" s="113">
        <f t="shared" si="33"/>
        <v>0</v>
      </c>
      <c r="AB91" s="113">
        <f t="shared" si="33"/>
        <v>0</v>
      </c>
      <c r="AC91" s="113">
        <f t="shared" si="33"/>
        <v>0</v>
      </c>
      <c r="AD91" s="113">
        <f t="shared" si="33"/>
        <v>2724.4</v>
      </c>
      <c r="AE91" s="113">
        <f t="shared" si="33"/>
        <v>0</v>
      </c>
      <c r="AF91" s="29"/>
      <c r="AG91" s="102">
        <f t="shared" si="30"/>
        <v>0</v>
      </c>
      <c r="AH91" s="155">
        <f t="shared" si="31"/>
        <v>0</v>
      </c>
    </row>
    <row r="92" spans="1:34" x14ac:dyDescent="0.3">
      <c r="A92" s="115" t="s">
        <v>169</v>
      </c>
      <c r="B92" s="116"/>
      <c r="C92" s="117"/>
      <c r="D92" s="118"/>
      <c r="E92" s="117"/>
      <c r="F92" s="116"/>
      <c r="G92" s="116"/>
      <c r="H92" s="111"/>
      <c r="I92" s="111"/>
      <c r="J92" s="111"/>
      <c r="K92" s="111"/>
      <c r="L92" s="111"/>
      <c r="M92" s="111"/>
      <c r="N92" s="111"/>
      <c r="O92" s="111"/>
      <c r="P92" s="111"/>
      <c r="Q92" s="111"/>
      <c r="R92" s="111"/>
      <c r="S92" s="111"/>
      <c r="T92" s="111"/>
      <c r="U92" s="111"/>
      <c r="V92" s="111"/>
      <c r="W92" s="111"/>
      <c r="X92" s="111"/>
      <c r="Y92" s="111"/>
      <c r="Z92" s="111"/>
      <c r="AA92" s="111"/>
      <c r="AB92" s="111"/>
      <c r="AC92" s="111"/>
      <c r="AD92" s="111"/>
      <c r="AE92" s="111"/>
      <c r="AF92" s="29"/>
      <c r="AG92" s="102">
        <f t="shared" si="30"/>
        <v>0</v>
      </c>
      <c r="AH92" s="155">
        <f t="shared" si="31"/>
        <v>0</v>
      </c>
    </row>
    <row r="93" spans="1:34" x14ac:dyDescent="0.3">
      <c r="A93" s="115" t="s">
        <v>32</v>
      </c>
      <c r="B93" s="116"/>
      <c r="C93" s="117"/>
      <c r="D93" s="118"/>
      <c r="E93" s="117"/>
      <c r="F93" s="116"/>
      <c r="G93" s="116"/>
      <c r="H93" s="111"/>
      <c r="I93" s="111"/>
      <c r="J93" s="111"/>
      <c r="K93" s="111"/>
      <c r="L93" s="111"/>
      <c r="M93" s="111"/>
      <c r="N93" s="111"/>
      <c r="O93" s="111"/>
      <c r="P93" s="111"/>
      <c r="Q93" s="111"/>
      <c r="R93" s="111"/>
      <c r="S93" s="111"/>
      <c r="T93" s="111"/>
      <c r="U93" s="111"/>
      <c r="V93" s="111"/>
      <c r="W93" s="111"/>
      <c r="X93" s="111"/>
      <c r="Y93" s="111"/>
      <c r="Z93" s="111"/>
      <c r="AA93" s="111"/>
      <c r="AB93" s="111"/>
      <c r="AC93" s="111"/>
      <c r="AD93" s="111"/>
      <c r="AE93" s="111"/>
      <c r="AF93" s="29"/>
      <c r="AG93" s="102">
        <f t="shared" si="30"/>
        <v>0</v>
      </c>
      <c r="AH93" s="155">
        <f t="shared" si="31"/>
        <v>0</v>
      </c>
    </row>
    <row r="94" spans="1:34" x14ac:dyDescent="0.3">
      <c r="A94" s="115" t="s">
        <v>33</v>
      </c>
      <c r="B94" s="116">
        <f>J94+L94+N94+P94+R94+T94+V94+X94+Z94+AB94+AD94+H94</f>
        <v>2724.4</v>
      </c>
      <c r="C94" s="117">
        <f>H94+J94+L94</f>
        <v>0</v>
      </c>
      <c r="D94" s="118">
        <f>E94</f>
        <v>0</v>
      </c>
      <c r="E94" s="117">
        <f>SUM(I94,K94,M94,O94,Q94,S94,U94,W94,Y94,AA94,AC94,AE94)</f>
        <v>0</v>
      </c>
      <c r="F94" s="116">
        <f>IFERROR(E94/B94*100,0)</f>
        <v>0</v>
      </c>
      <c r="G94" s="116">
        <f>IFERROR(E94/C94*100,0)</f>
        <v>0</v>
      </c>
      <c r="H94" s="111"/>
      <c r="I94" s="111"/>
      <c r="J94" s="111"/>
      <c r="K94" s="111"/>
      <c r="L94" s="111"/>
      <c r="M94" s="111"/>
      <c r="N94" s="111"/>
      <c r="O94" s="111"/>
      <c r="P94" s="111"/>
      <c r="Q94" s="111"/>
      <c r="R94" s="111"/>
      <c r="S94" s="111"/>
      <c r="T94" s="111"/>
      <c r="U94" s="111"/>
      <c r="V94" s="111"/>
      <c r="W94" s="111"/>
      <c r="X94" s="111"/>
      <c r="Y94" s="111"/>
      <c r="Z94" s="111"/>
      <c r="AA94" s="111"/>
      <c r="AB94" s="111"/>
      <c r="AC94" s="111"/>
      <c r="AD94" s="111">
        <v>2724.4</v>
      </c>
      <c r="AE94" s="111"/>
      <c r="AF94" s="29"/>
      <c r="AG94" s="102">
        <f t="shared" si="30"/>
        <v>0</v>
      </c>
      <c r="AH94" s="155">
        <f t="shared" si="31"/>
        <v>0</v>
      </c>
    </row>
    <row r="95" spans="1:34" x14ac:dyDescent="0.3">
      <c r="A95" s="122" t="s">
        <v>170</v>
      </c>
      <c r="B95" s="116"/>
      <c r="C95" s="117"/>
      <c r="D95" s="118"/>
      <c r="E95" s="117"/>
      <c r="F95" s="116"/>
      <c r="G95" s="116"/>
      <c r="H95" s="111"/>
      <c r="I95" s="111"/>
      <c r="J95" s="111"/>
      <c r="K95" s="111"/>
      <c r="L95" s="111"/>
      <c r="M95" s="111"/>
      <c r="N95" s="111"/>
      <c r="O95" s="111"/>
      <c r="P95" s="111"/>
      <c r="Q95" s="111"/>
      <c r="R95" s="111"/>
      <c r="S95" s="111"/>
      <c r="T95" s="111"/>
      <c r="U95" s="111"/>
      <c r="V95" s="111"/>
      <c r="W95" s="111"/>
      <c r="X95" s="111"/>
      <c r="Y95" s="111"/>
      <c r="Z95" s="111"/>
      <c r="AA95" s="111"/>
      <c r="AB95" s="111"/>
      <c r="AC95" s="111"/>
      <c r="AD95" s="111"/>
      <c r="AE95" s="111"/>
      <c r="AF95" s="29"/>
      <c r="AG95" s="102">
        <f t="shared" si="30"/>
        <v>0</v>
      </c>
      <c r="AH95" s="155">
        <f t="shared" si="31"/>
        <v>0</v>
      </c>
    </row>
    <row r="96" spans="1:34" x14ac:dyDescent="0.3">
      <c r="A96" s="1032" t="s">
        <v>264</v>
      </c>
      <c r="B96" s="1033"/>
      <c r="C96" s="1033"/>
      <c r="D96" s="1033"/>
      <c r="E96" s="1033"/>
      <c r="F96" s="1033"/>
      <c r="G96" s="1033"/>
      <c r="H96" s="1033"/>
      <c r="I96" s="1033"/>
      <c r="J96" s="1033"/>
      <c r="K96" s="1033"/>
      <c r="L96" s="1033"/>
      <c r="M96" s="1033"/>
      <c r="N96" s="1033"/>
      <c r="O96" s="1033"/>
      <c r="P96" s="1033"/>
      <c r="Q96" s="1033"/>
      <c r="R96" s="1033"/>
      <c r="S96" s="1033"/>
      <c r="T96" s="1033"/>
      <c r="U96" s="1033"/>
      <c r="V96" s="1033"/>
      <c r="W96" s="1033"/>
      <c r="X96" s="1033"/>
      <c r="Y96" s="1033"/>
      <c r="Z96" s="1033"/>
      <c r="AA96" s="1033"/>
      <c r="AB96" s="1033"/>
      <c r="AC96" s="1033"/>
      <c r="AD96" s="1033"/>
      <c r="AE96" s="1033"/>
      <c r="AF96" s="1034"/>
      <c r="AG96" s="102">
        <f t="shared" si="30"/>
        <v>0</v>
      </c>
      <c r="AH96" s="155">
        <f t="shared" si="31"/>
        <v>0</v>
      </c>
    </row>
    <row r="97" spans="1:35" x14ac:dyDescent="0.3">
      <c r="A97" s="1032" t="s">
        <v>54</v>
      </c>
      <c r="B97" s="1033"/>
      <c r="C97" s="1033"/>
      <c r="D97" s="1033"/>
      <c r="E97" s="1033"/>
      <c r="F97" s="1033"/>
      <c r="G97" s="1033"/>
      <c r="H97" s="1033"/>
      <c r="I97" s="1033"/>
      <c r="J97" s="1033"/>
      <c r="K97" s="1033"/>
      <c r="L97" s="1033"/>
      <c r="M97" s="1033"/>
      <c r="N97" s="1033"/>
      <c r="O97" s="1033"/>
      <c r="P97" s="1033"/>
      <c r="Q97" s="1033"/>
      <c r="R97" s="1033"/>
      <c r="S97" s="1033"/>
      <c r="T97" s="1033"/>
      <c r="U97" s="1033"/>
      <c r="V97" s="1033"/>
      <c r="W97" s="1033"/>
      <c r="X97" s="1033"/>
      <c r="Y97" s="1033"/>
      <c r="Z97" s="1033"/>
      <c r="AA97" s="1033"/>
      <c r="AB97" s="1033"/>
      <c r="AC97" s="1033"/>
      <c r="AD97" s="1033"/>
      <c r="AE97" s="1033"/>
      <c r="AF97" s="1034"/>
      <c r="AG97" s="102">
        <f t="shared" si="30"/>
        <v>0</v>
      </c>
      <c r="AH97" s="155">
        <f t="shared" si="31"/>
        <v>0</v>
      </c>
    </row>
    <row r="98" spans="1:35" ht="123.75" x14ac:dyDescent="0.3">
      <c r="A98" s="124" t="s">
        <v>265</v>
      </c>
      <c r="B98" s="132"/>
      <c r="C98" s="133"/>
      <c r="D98" s="133"/>
      <c r="E98" s="133"/>
      <c r="F98" s="133"/>
      <c r="G98" s="133"/>
      <c r="H98" s="132"/>
      <c r="I98" s="132"/>
      <c r="J98" s="132"/>
      <c r="K98" s="132"/>
      <c r="L98" s="132"/>
      <c r="M98" s="132"/>
      <c r="N98" s="132"/>
      <c r="O98" s="132"/>
      <c r="P98" s="132"/>
      <c r="Q98" s="132"/>
      <c r="R98" s="132"/>
      <c r="S98" s="132"/>
      <c r="T98" s="132"/>
      <c r="U98" s="132"/>
      <c r="V98" s="132"/>
      <c r="W98" s="132"/>
      <c r="X98" s="132"/>
      <c r="Y98" s="132"/>
      <c r="Z98" s="132"/>
      <c r="AA98" s="132"/>
      <c r="AB98" s="132"/>
      <c r="AC98" s="132"/>
      <c r="AD98" s="132"/>
      <c r="AE98" s="132"/>
      <c r="AF98" s="573" t="s">
        <v>515</v>
      </c>
      <c r="AG98" s="102">
        <f t="shared" si="30"/>
        <v>0</v>
      </c>
      <c r="AH98" s="155">
        <f t="shared" si="31"/>
        <v>0</v>
      </c>
    </row>
    <row r="99" spans="1:35" x14ac:dyDescent="0.3">
      <c r="A99" s="103" t="s">
        <v>31</v>
      </c>
      <c r="B99" s="104">
        <f>B100+B101+B102</f>
        <v>6225.0999999999995</v>
      </c>
      <c r="C99" s="104">
        <f>C100+C101+C102</f>
        <v>4902.7</v>
      </c>
      <c r="D99" s="104">
        <f>D100+D101+D102</f>
        <v>2871.2999999999997</v>
      </c>
      <c r="E99" s="104">
        <f>E100+E101+E102</f>
        <v>2871.2999999999997</v>
      </c>
      <c r="F99" s="107">
        <f>IFERROR(E99/B99*100,0)</f>
        <v>46.124560248028146</v>
      </c>
      <c r="G99" s="107">
        <f>IFERROR(E99/C99*100,0)</f>
        <v>58.565688294205231</v>
      </c>
      <c r="H99" s="104">
        <f t="shared" ref="H99:AE99" si="34">H100+H101+H102</f>
        <v>864.9</v>
      </c>
      <c r="I99" s="104">
        <f t="shared" si="34"/>
        <v>691.6</v>
      </c>
      <c r="J99" s="104">
        <f t="shared" si="34"/>
        <v>3672.1</v>
      </c>
      <c r="K99" s="104">
        <f t="shared" si="34"/>
        <v>879.6</v>
      </c>
      <c r="L99" s="104">
        <f t="shared" si="34"/>
        <v>365.7</v>
      </c>
      <c r="M99" s="104">
        <f t="shared" si="34"/>
        <v>506.3</v>
      </c>
      <c r="N99" s="104">
        <f t="shared" si="34"/>
        <v>384.8</v>
      </c>
      <c r="O99" s="104">
        <f t="shared" si="34"/>
        <v>358.1</v>
      </c>
      <c r="P99" s="104">
        <f t="shared" si="34"/>
        <v>179.6</v>
      </c>
      <c r="Q99" s="104">
        <f t="shared" si="34"/>
        <v>435.7</v>
      </c>
      <c r="R99" s="104">
        <f t="shared" si="34"/>
        <v>0</v>
      </c>
      <c r="S99" s="104">
        <f t="shared" si="34"/>
        <v>0</v>
      </c>
      <c r="T99" s="104">
        <f t="shared" si="34"/>
        <v>0</v>
      </c>
      <c r="U99" s="104">
        <f t="shared" si="34"/>
        <v>0</v>
      </c>
      <c r="V99" s="104">
        <f t="shared" si="34"/>
        <v>0</v>
      </c>
      <c r="W99" s="104">
        <f t="shared" si="34"/>
        <v>0</v>
      </c>
      <c r="X99" s="104">
        <f t="shared" si="34"/>
        <v>0</v>
      </c>
      <c r="Y99" s="104">
        <f t="shared" si="34"/>
        <v>0</v>
      </c>
      <c r="Z99" s="104">
        <f t="shared" si="34"/>
        <v>266.39999999999998</v>
      </c>
      <c r="AA99" s="104">
        <f t="shared" si="34"/>
        <v>0</v>
      </c>
      <c r="AB99" s="104">
        <f t="shared" si="34"/>
        <v>245.8</v>
      </c>
      <c r="AC99" s="104">
        <f t="shared" si="34"/>
        <v>0</v>
      </c>
      <c r="AD99" s="104">
        <f t="shared" si="34"/>
        <v>245.8</v>
      </c>
      <c r="AE99" s="104">
        <f t="shared" si="34"/>
        <v>0</v>
      </c>
      <c r="AF99" s="101"/>
      <c r="AG99" s="102">
        <f t="shared" si="30"/>
        <v>0</v>
      </c>
      <c r="AH99" s="155">
        <f t="shared" si="31"/>
        <v>2031.4</v>
      </c>
    </row>
    <row r="100" spans="1:35" x14ac:dyDescent="0.3">
      <c r="A100" s="106" t="s">
        <v>169</v>
      </c>
      <c r="B100" s="107">
        <f>J100+L100+N100+P100+R100+T100+V100+X100+Z100+AB100+AD100+H100</f>
        <v>0</v>
      </c>
      <c r="C100" s="107">
        <f>SUM(H100)</f>
        <v>0</v>
      </c>
      <c r="D100" s="107">
        <f>E100</f>
        <v>0</v>
      </c>
      <c r="E100" s="107">
        <f>SUM(I100,K100,M100,O100,Q100,S100,U100,W100,Y100,AA100,AC100,AE100)</f>
        <v>0</v>
      </c>
      <c r="F100" s="107">
        <f>IFERROR(E100/B100*100,0)</f>
        <v>0</v>
      </c>
      <c r="G100" s="107">
        <f>IFERROR(E100/C100*100,0)</f>
        <v>0</v>
      </c>
      <c r="H100" s="107"/>
      <c r="I100" s="107"/>
      <c r="J100" s="107"/>
      <c r="K100" s="107"/>
      <c r="L100" s="107"/>
      <c r="M100" s="107"/>
      <c r="N100" s="107"/>
      <c r="O100" s="107"/>
      <c r="P100" s="107"/>
      <c r="Q100" s="107"/>
      <c r="R100" s="107"/>
      <c r="S100" s="107"/>
      <c r="T100" s="107"/>
      <c r="U100" s="107"/>
      <c r="V100" s="107"/>
      <c r="W100" s="107"/>
      <c r="X100" s="107"/>
      <c r="Y100" s="107"/>
      <c r="Z100" s="107"/>
      <c r="AA100" s="107"/>
      <c r="AB100" s="107"/>
      <c r="AC100" s="107"/>
      <c r="AD100" s="107"/>
      <c r="AE100" s="107"/>
      <c r="AF100" s="101"/>
      <c r="AG100" s="102">
        <f t="shared" si="30"/>
        <v>0</v>
      </c>
      <c r="AH100" s="155">
        <f t="shared" si="31"/>
        <v>0</v>
      </c>
    </row>
    <row r="101" spans="1:35" x14ac:dyDescent="0.3">
      <c r="A101" s="106" t="s">
        <v>32</v>
      </c>
      <c r="B101" s="107">
        <f>J101+L101+N101+P101+R101+T101+V101+X101+Z101+AB101+AD101+H101</f>
        <v>0</v>
      </c>
      <c r="C101" s="107">
        <f>SUM(H101)</f>
        <v>0</v>
      </c>
      <c r="D101" s="107">
        <f>E101</f>
        <v>0</v>
      </c>
      <c r="E101" s="107">
        <f>SUM(I101,K101,M101,O101,Q101,S101,U101,W101,Y101,AA101,AC101,AE101)</f>
        <v>0</v>
      </c>
      <c r="F101" s="107"/>
      <c r="G101" s="107"/>
      <c r="H101" s="107"/>
      <c r="I101" s="107"/>
      <c r="J101" s="107"/>
      <c r="K101" s="107"/>
      <c r="L101" s="107"/>
      <c r="M101" s="107"/>
      <c r="N101" s="107"/>
      <c r="O101" s="107"/>
      <c r="P101" s="107"/>
      <c r="Q101" s="107"/>
      <c r="R101" s="107"/>
      <c r="S101" s="107"/>
      <c r="T101" s="107"/>
      <c r="U101" s="107"/>
      <c r="V101" s="107"/>
      <c r="W101" s="107"/>
      <c r="X101" s="107"/>
      <c r="Y101" s="107"/>
      <c r="Z101" s="107"/>
      <c r="AA101" s="107"/>
      <c r="AB101" s="107"/>
      <c r="AC101" s="107"/>
      <c r="AD101" s="107"/>
      <c r="AE101" s="107"/>
      <c r="AF101" s="101"/>
      <c r="AG101" s="102">
        <f t="shared" si="30"/>
        <v>0</v>
      </c>
      <c r="AH101" s="155">
        <f t="shared" si="31"/>
        <v>0</v>
      </c>
    </row>
    <row r="102" spans="1:35" x14ac:dyDescent="0.3">
      <c r="A102" s="106" t="s">
        <v>33</v>
      </c>
      <c r="B102" s="107">
        <f>J102+L102+N102+P102+R102+T102+V102+X102+Z102+AB102+AD102+H102</f>
        <v>6225.0999999999995</v>
      </c>
      <c r="C102" s="107">
        <f>H102+J102+L102</f>
        <v>4902.7</v>
      </c>
      <c r="D102" s="107">
        <f>E102</f>
        <v>2871.2999999999997</v>
      </c>
      <c r="E102" s="107">
        <f>SUM(I102,K102,M102,O102,Q102,S102,U102,W102,Y102,AA102,AC102,AE102)</f>
        <v>2871.2999999999997</v>
      </c>
      <c r="F102" s="107">
        <f>IFERROR(E102/B102*100,0)</f>
        <v>46.124560248028146</v>
      </c>
      <c r="G102" s="107">
        <f>IFERROR(E102/C102*100,0)</f>
        <v>58.565688294205231</v>
      </c>
      <c r="H102" s="107">
        <v>864.9</v>
      </c>
      <c r="I102" s="701">
        <v>691.6</v>
      </c>
      <c r="J102" s="107">
        <v>3672.1</v>
      </c>
      <c r="K102" s="107">
        <v>879.6</v>
      </c>
      <c r="L102" s="107">
        <v>365.7</v>
      </c>
      <c r="M102" s="107">
        <v>506.3</v>
      </c>
      <c r="N102" s="107">
        <v>384.8</v>
      </c>
      <c r="O102" s="107">
        <v>358.1</v>
      </c>
      <c r="P102" s="107">
        <v>179.6</v>
      </c>
      <c r="Q102" s="107">
        <v>435.7</v>
      </c>
      <c r="R102" s="107">
        <v>0</v>
      </c>
      <c r="S102" s="107">
        <v>0</v>
      </c>
      <c r="T102" s="107">
        <v>0</v>
      </c>
      <c r="U102" s="107">
        <v>0</v>
      </c>
      <c r="V102" s="107">
        <v>0</v>
      </c>
      <c r="W102" s="107">
        <v>0</v>
      </c>
      <c r="X102" s="107">
        <v>0</v>
      </c>
      <c r="Y102" s="107">
        <v>0</v>
      </c>
      <c r="Z102" s="107">
        <v>266.39999999999998</v>
      </c>
      <c r="AA102" s="107">
        <v>0</v>
      </c>
      <c r="AB102" s="107">
        <v>245.8</v>
      </c>
      <c r="AC102" s="107">
        <v>0</v>
      </c>
      <c r="AD102" s="107">
        <v>245.8</v>
      </c>
      <c r="AE102" s="107">
        <v>0</v>
      </c>
      <c r="AF102" s="101"/>
      <c r="AG102" s="102">
        <f t="shared" si="30"/>
        <v>0</v>
      </c>
      <c r="AH102" s="737">
        <f t="shared" si="31"/>
        <v>2031.4</v>
      </c>
    </row>
    <row r="103" spans="1:35" x14ac:dyDescent="0.3">
      <c r="A103" s="106" t="s">
        <v>170</v>
      </c>
      <c r="B103" s="107">
        <f>J103+L103+N103+P103+R103+T103+V103+X103+Z103+AB103+AD103+H103</f>
        <v>0</v>
      </c>
      <c r="C103" s="107">
        <f>SUM(H103)</f>
        <v>0</v>
      </c>
      <c r="D103" s="107">
        <f>E103</f>
        <v>0</v>
      </c>
      <c r="E103" s="107">
        <f>SUM(I103,K103,M103,O103,Q103,S103,U103,W103,Y103,AA103,AC103,AE103)</f>
        <v>0</v>
      </c>
      <c r="F103" s="107">
        <f>IFERROR(E103/B103*100,0)</f>
        <v>0</v>
      </c>
      <c r="G103" s="107">
        <f>IFERROR(E103/C103*100,0)</f>
        <v>0</v>
      </c>
      <c r="H103" s="107"/>
      <c r="I103" s="107"/>
      <c r="J103" s="107"/>
      <c r="K103" s="107"/>
      <c r="L103" s="107"/>
      <c r="M103" s="107"/>
      <c r="N103" s="107"/>
      <c r="O103" s="107"/>
      <c r="P103" s="107"/>
      <c r="Q103" s="107"/>
      <c r="R103" s="107"/>
      <c r="S103" s="107"/>
      <c r="T103" s="107"/>
      <c r="U103" s="107"/>
      <c r="V103" s="107"/>
      <c r="W103" s="107"/>
      <c r="X103" s="107"/>
      <c r="Y103" s="107"/>
      <c r="Z103" s="107"/>
      <c r="AA103" s="107"/>
      <c r="AB103" s="107"/>
      <c r="AC103" s="107"/>
      <c r="AD103" s="107"/>
      <c r="AE103" s="107"/>
      <c r="AF103" s="101"/>
      <c r="AG103" s="102">
        <f t="shared" si="30"/>
        <v>0</v>
      </c>
      <c r="AH103" s="155">
        <f t="shared" si="31"/>
        <v>0</v>
      </c>
    </row>
    <row r="104" spans="1:35" ht="409.5" x14ac:dyDescent="0.3">
      <c r="A104" s="124" t="s">
        <v>266</v>
      </c>
      <c r="B104" s="107"/>
      <c r="C104" s="136"/>
      <c r="D104" s="136"/>
      <c r="E104" s="136"/>
      <c r="F104" s="136"/>
      <c r="G104" s="136"/>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107"/>
      <c r="AE104" s="107"/>
      <c r="AF104" s="751" t="s">
        <v>522</v>
      </c>
      <c r="AG104" s="102">
        <f t="shared" si="30"/>
        <v>0</v>
      </c>
      <c r="AH104" s="155">
        <f t="shared" si="31"/>
        <v>0</v>
      </c>
    </row>
    <row r="105" spans="1:35" x14ac:dyDescent="0.3">
      <c r="A105" s="103" t="s">
        <v>31</v>
      </c>
      <c r="B105" s="104">
        <f ca="1">B106+B107+B108+B109</f>
        <v>24540.301299999999</v>
      </c>
      <c r="C105" s="104">
        <f ca="1">C106+C107+C108+C109</f>
        <v>5144.3370000000004</v>
      </c>
      <c r="D105" s="104">
        <f ca="1">D106+D107+D108+D109</f>
        <v>10473.76</v>
      </c>
      <c r="E105" s="104">
        <f ca="1">E106+E107+E108+E109</f>
        <v>10473.76</v>
      </c>
      <c r="F105" s="107">
        <v>0</v>
      </c>
      <c r="G105" s="107">
        <v>0</v>
      </c>
      <c r="H105" s="104">
        <f ca="1">H106+H107+H108+H109</f>
        <v>1840.1669999999999</v>
      </c>
      <c r="I105" s="104">
        <f t="shared" ref="I105:AE105" ca="1" si="35">I106+I107+I108+I109</f>
        <v>1840.17</v>
      </c>
      <c r="J105" s="104">
        <f t="shared" ca="1" si="35"/>
        <v>1214.27</v>
      </c>
      <c r="K105" s="104">
        <f t="shared" ca="1" si="35"/>
        <v>1103.78</v>
      </c>
      <c r="L105" s="104">
        <f t="shared" ca="1" si="35"/>
        <v>2089.9</v>
      </c>
      <c r="M105" s="104">
        <f t="shared" ca="1" si="35"/>
        <v>1900.1100000000001</v>
      </c>
      <c r="N105" s="104">
        <f t="shared" ca="1" si="35"/>
        <v>2923.2709999999997</v>
      </c>
      <c r="O105" s="104">
        <f t="shared" ca="1" si="35"/>
        <v>1545.22</v>
      </c>
      <c r="P105" s="104">
        <f t="shared" ca="1" si="35"/>
        <v>7151.32</v>
      </c>
      <c r="Q105" s="104">
        <f>SUM(Q108+Q107)</f>
        <v>4084.4799999999996</v>
      </c>
      <c r="R105" s="104">
        <f t="shared" ca="1" si="35"/>
        <v>3549.3666599999997</v>
      </c>
      <c r="S105" s="104">
        <f t="shared" ca="1" si="35"/>
        <v>0</v>
      </c>
      <c r="T105" s="104">
        <f t="shared" ca="1" si="35"/>
        <v>774.67</v>
      </c>
      <c r="U105" s="104">
        <f t="shared" ca="1" si="35"/>
        <v>0</v>
      </c>
      <c r="V105" s="104">
        <f t="shared" ca="1" si="35"/>
        <v>938.06999999999994</v>
      </c>
      <c r="W105" s="104">
        <f t="shared" ca="1" si="35"/>
        <v>0</v>
      </c>
      <c r="X105" s="104">
        <f t="shared" ca="1" si="35"/>
        <v>1079.6666600000001</v>
      </c>
      <c r="Y105" s="104">
        <f t="shared" ca="1" si="35"/>
        <v>0</v>
      </c>
      <c r="Z105" s="104">
        <f t="shared" ca="1" si="35"/>
        <v>1973.9166599999999</v>
      </c>
      <c r="AA105" s="104">
        <f t="shared" ca="1" si="35"/>
        <v>0</v>
      </c>
      <c r="AB105" s="104">
        <f t="shared" ca="1" si="35"/>
        <v>991.41665999999998</v>
      </c>
      <c r="AC105" s="104">
        <f t="shared" ca="1" si="35"/>
        <v>0</v>
      </c>
      <c r="AD105" s="104">
        <f t="shared" ca="1" si="35"/>
        <v>14.26666</v>
      </c>
      <c r="AE105" s="104">
        <f t="shared" si="35"/>
        <v>0</v>
      </c>
      <c r="AF105" s="101"/>
      <c r="AG105" s="102">
        <f t="shared" ca="1" si="30"/>
        <v>-3.5225156125306967E-12</v>
      </c>
      <c r="AH105" s="155">
        <f t="shared" ca="1" si="31"/>
        <v>-5329.4229999999998</v>
      </c>
    </row>
    <row r="106" spans="1:35" x14ac:dyDescent="0.3">
      <c r="A106" s="106" t="s">
        <v>169</v>
      </c>
      <c r="B106" s="107">
        <f ca="1">J106+L106+N106+P106+R106+T106+V106+X106+Z106+AB106+AD106+H106</f>
        <v>0</v>
      </c>
      <c r="C106" s="107">
        <f ca="1">H106+J106+L106+N106+P106+R106+T106+V106+X106+Z106+AB106+AD106</f>
        <v>0</v>
      </c>
      <c r="D106" s="107">
        <f ca="1">E106</f>
        <v>0</v>
      </c>
      <c r="E106" s="107">
        <f t="shared" ref="E106:AE106" ca="1" si="36">SUM(I106,K106,M106,O106,Q106,S106,U106,W106,Y106,AA106,AC106,AE106)</f>
        <v>0</v>
      </c>
      <c r="F106" s="107">
        <f t="shared" ca="1" si="36"/>
        <v>0</v>
      </c>
      <c r="G106" s="107">
        <f t="shared" ca="1" si="36"/>
        <v>0</v>
      </c>
      <c r="H106" s="107">
        <f t="shared" ca="1" si="36"/>
        <v>0</v>
      </c>
      <c r="I106" s="107">
        <f t="shared" ca="1" si="36"/>
        <v>0</v>
      </c>
      <c r="J106" s="107">
        <f t="shared" ca="1" si="36"/>
        <v>0</v>
      </c>
      <c r="K106" s="107">
        <f t="shared" ca="1" si="36"/>
        <v>0</v>
      </c>
      <c r="L106" s="107">
        <f t="shared" ca="1" si="36"/>
        <v>0</v>
      </c>
      <c r="M106" s="107">
        <f t="shared" ca="1" si="36"/>
        <v>0</v>
      </c>
      <c r="N106" s="107">
        <f t="shared" ca="1" si="36"/>
        <v>0</v>
      </c>
      <c r="O106" s="107">
        <f t="shared" ca="1" si="36"/>
        <v>0</v>
      </c>
      <c r="P106" s="107">
        <f t="shared" ca="1" si="36"/>
        <v>0</v>
      </c>
      <c r="Q106" s="107">
        <f t="shared" ca="1" si="36"/>
        <v>0</v>
      </c>
      <c r="R106" s="107">
        <f t="shared" ca="1" si="36"/>
        <v>0</v>
      </c>
      <c r="S106" s="107">
        <f t="shared" ca="1" si="36"/>
        <v>0</v>
      </c>
      <c r="T106" s="107">
        <f t="shared" ca="1" si="36"/>
        <v>0</v>
      </c>
      <c r="U106" s="107">
        <f t="shared" ca="1" si="36"/>
        <v>0</v>
      </c>
      <c r="V106" s="107">
        <f t="shared" ca="1" si="36"/>
        <v>0</v>
      </c>
      <c r="W106" s="107">
        <f t="shared" ca="1" si="36"/>
        <v>0</v>
      </c>
      <c r="X106" s="107">
        <f t="shared" ca="1" si="36"/>
        <v>0</v>
      </c>
      <c r="Y106" s="107">
        <f t="shared" ca="1" si="36"/>
        <v>0</v>
      </c>
      <c r="Z106" s="107">
        <f t="shared" ca="1" si="36"/>
        <v>0</v>
      </c>
      <c r="AA106" s="107">
        <f t="shared" ca="1" si="36"/>
        <v>0</v>
      </c>
      <c r="AB106" s="107">
        <f t="shared" ca="1" si="36"/>
        <v>0</v>
      </c>
      <c r="AC106" s="107">
        <f t="shared" ca="1" si="36"/>
        <v>0</v>
      </c>
      <c r="AD106" s="107">
        <f t="shared" ca="1" si="36"/>
        <v>0</v>
      </c>
      <c r="AE106" s="107">
        <f t="shared" si="36"/>
        <v>0</v>
      </c>
      <c r="AF106" s="101"/>
      <c r="AG106" s="102">
        <f t="shared" ca="1" si="30"/>
        <v>0</v>
      </c>
      <c r="AH106" s="155">
        <f t="shared" ca="1" si="31"/>
        <v>0</v>
      </c>
    </row>
    <row r="107" spans="1:35" x14ac:dyDescent="0.3">
      <c r="A107" s="682" t="s">
        <v>32</v>
      </c>
      <c r="B107" s="742">
        <f>J107+L107+N107+P107+R107+T107+V107+X107+Z107+AB107+AD107+H107</f>
        <v>8211.9950000000008</v>
      </c>
      <c r="C107" s="744">
        <f>H107+J107+L107</f>
        <v>372.46</v>
      </c>
      <c r="D107" s="107">
        <f>E107</f>
        <v>4410.82</v>
      </c>
      <c r="E107" s="107">
        <f>SUM(I107,K107,M107,O107,Q107,S107,U107,W107,Y107,AA107,AC107,AE107)</f>
        <v>4410.82</v>
      </c>
      <c r="F107" s="107"/>
      <c r="G107" s="107"/>
      <c r="H107" s="107">
        <v>0</v>
      </c>
      <c r="I107" s="107">
        <v>0</v>
      </c>
      <c r="J107" s="107">
        <v>0</v>
      </c>
      <c r="K107" s="107">
        <v>0</v>
      </c>
      <c r="L107" s="107">
        <v>372.46</v>
      </c>
      <c r="M107" s="107">
        <v>372.46</v>
      </c>
      <c r="N107" s="107">
        <v>1545.22</v>
      </c>
      <c r="O107" s="107">
        <v>1545.22</v>
      </c>
      <c r="P107" s="107">
        <v>3234.65</v>
      </c>
      <c r="Q107" s="107">
        <v>2493.14</v>
      </c>
      <c r="R107" s="107">
        <v>2435.1</v>
      </c>
      <c r="S107" s="107">
        <v>0</v>
      </c>
      <c r="T107" s="107">
        <v>0</v>
      </c>
      <c r="U107" s="107">
        <v>0</v>
      </c>
      <c r="V107" s="107">
        <v>223.95</v>
      </c>
      <c r="W107" s="107">
        <v>0</v>
      </c>
      <c r="X107" s="107">
        <v>0</v>
      </c>
      <c r="Y107" s="107">
        <v>0</v>
      </c>
      <c r="Z107" s="107">
        <v>246.95249999999999</v>
      </c>
      <c r="AA107" s="107">
        <v>0</v>
      </c>
      <c r="AB107" s="107">
        <v>153.66249999999999</v>
      </c>
      <c r="AC107" s="107">
        <v>0</v>
      </c>
      <c r="AD107" s="107">
        <v>0</v>
      </c>
      <c r="AE107" s="107">
        <v>0</v>
      </c>
      <c r="AF107" s="101"/>
      <c r="AG107" s="102">
        <f t="shared" si="30"/>
        <v>5.4001247917767614E-13</v>
      </c>
      <c r="AH107" s="155">
        <f t="shared" si="31"/>
        <v>-4038.3599999999997</v>
      </c>
    </row>
    <row r="108" spans="1:35" x14ac:dyDescent="0.3">
      <c r="A108" s="106" t="s">
        <v>33</v>
      </c>
      <c r="B108" s="742">
        <f>J108+L108+N108+P108+R108+T108+V108+X108+Z108+AB108+AD108+H108</f>
        <v>16328.3063</v>
      </c>
      <c r="C108" s="744">
        <f>H108+J108+L108</f>
        <v>4771.8770000000004</v>
      </c>
      <c r="D108" s="107">
        <f>E108</f>
        <v>6062.9400000000005</v>
      </c>
      <c r="E108" s="742">
        <f>SUM(I108,K108,M108,O108,Q108,S108,U108,W108,Y108,AA108,AC108,AE108)</f>
        <v>6062.9400000000005</v>
      </c>
      <c r="F108" s="107">
        <f>IFERROR(E108/B108*100,0)</f>
        <v>37.131469048936204</v>
      </c>
      <c r="G108" s="107">
        <f>IFERROR(E108/C108*100,0)</f>
        <v>127.05566384045524</v>
      </c>
      <c r="H108" s="107">
        <v>1840.1669999999999</v>
      </c>
      <c r="I108" s="701">
        <v>1840.17</v>
      </c>
      <c r="J108" s="107">
        <v>1214.27</v>
      </c>
      <c r="K108" s="107">
        <v>1103.78</v>
      </c>
      <c r="L108" s="107">
        <v>1717.44</v>
      </c>
      <c r="M108" s="107">
        <v>1527.65</v>
      </c>
      <c r="N108" s="107">
        <v>1378.0509999999999</v>
      </c>
      <c r="O108" s="107">
        <v>0</v>
      </c>
      <c r="P108" s="107">
        <v>3916.67</v>
      </c>
      <c r="Q108" s="107">
        <v>1591.34</v>
      </c>
      <c r="R108" s="107">
        <v>1114.26666</v>
      </c>
      <c r="S108" s="107">
        <v>0</v>
      </c>
      <c r="T108" s="107">
        <v>774.67</v>
      </c>
      <c r="U108" s="107">
        <v>0</v>
      </c>
      <c r="V108" s="107">
        <v>714.12</v>
      </c>
      <c r="W108" s="107">
        <v>0</v>
      </c>
      <c r="X108" s="107">
        <v>1079.6666600000001</v>
      </c>
      <c r="Y108" s="107">
        <v>0</v>
      </c>
      <c r="Z108" s="107">
        <v>1726.96416</v>
      </c>
      <c r="AA108" s="107">
        <v>0</v>
      </c>
      <c r="AB108" s="107">
        <v>837.75415999999996</v>
      </c>
      <c r="AC108" s="107">
        <v>0</v>
      </c>
      <c r="AD108" s="107">
        <v>14.26666</v>
      </c>
      <c r="AE108" s="107">
        <v>0</v>
      </c>
      <c r="AF108" s="821" t="s">
        <v>544</v>
      </c>
      <c r="AG108" s="102">
        <f t="shared" si="30"/>
        <v>2.2915003228263231E-13</v>
      </c>
      <c r="AH108" s="745">
        <f t="shared" si="31"/>
        <v>-1291.0630000000001</v>
      </c>
      <c r="AI108" s="738">
        <v>0</v>
      </c>
    </row>
    <row r="109" spans="1:35" x14ac:dyDescent="0.3">
      <c r="A109" s="106" t="s">
        <v>170</v>
      </c>
      <c r="B109" s="107">
        <f>J109+L109+N109+P109+R109+T109+V109+X109+Z109+AB109+AD109+H109</f>
        <v>0</v>
      </c>
      <c r="C109" s="107">
        <f>H109+J109+L109+N109+P109+R109+T109+V109+X109+Z109+AB109+AD109</f>
        <v>0</v>
      </c>
      <c r="D109" s="107">
        <f>E109</f>
        <v>0</v>
      </c>
      <c r="E109" s="107">
        <f>SUM(I109,K109,M109,O109,Q109,S109,U109,W109,Y109,AA109,AC109,AE109)</f>
        <v>0</v>
      </c>
      <c r="F109" s="107"/>
      <c r="G109" s="107"/>
      <c r="H109" s="107"/>
      <c r="I109" s="107"/>
      <c r="J109" s="107"/>
      <c r="K109" s="107"/>
      <c r="L109" s="107"/>
      <c r="M109" s="107"/>
      <c r="N109" s="107"/>
      <c r="O109" s="107"/>
      <c r="P109" s="107"/>
      <c r="Q109" s="107"/>
      <c r="R109" s="107"/>
      <c r="S109" s="107"/>
      <c r="T109" s="107"/>
      <c r="U109" s="107"/>
      <c r="V109" s="107"/>
      <c r="W109" s="107"/>
      <c r="X109" s="107"/>
      <c r="Y109" s="107"/>
      <c r="Z109" s="107"/>
      <c r="AA109" s="107"/>
      <c r="AB109" s="107"/>
      <c r="AC109" s="107"/>
      <c r="AD109" s="107"/>
      <c r="AE109" s="107"/>
      <c r="AF109" s="101"/>
      <c r="AG109" s="102">
        <f t="shared" si="30"/>
        <v>0</v>
      </c>
      <c r="AH109" s="155">
        <f t="shared" si="31"/>
        <v>0</v>
      </c>
    </row>
    <row r="110" spans="1:35" x14ac:dyDescent="0.3">
      <c r="A110" s="1032" t="s">
        <v>267</v>
      </c>
      <c r="B110" s="1033"/>
      <c r="C110" s="1033"/>
      <c r="D110" s="1033"/>
      <c r="E110" s="1033"/>
      <c r="F110" s="1033"/>
      <c r="G110" s="1033"/>
      <c r="H110" s="1033"/>
      <c r="I110" s="1033"/>
      <c r="J110" s="1033"/>
      <c r="K110" s="1033"/>
      <c r="L110" s="1033"/>
      <c r="M110" s="1033"/>
      <c r="N110" s="1033"/>
      <c r="O110" s="1033"/>
      <c r="P110" s="1033"/>
      <c r="Q110" s="1033"/>
      <c r="R110" s="1033"/>
      <c r="S110" s="1033"/>
      <c r="T110" s="1033"/>
      <c r="U110" s="1033"/>
      <c r="V110" s="1033"/>
      <c r="W110" s="1033"/>
      <c r="X110" s="1033"/>
      <c r="Y110" s="1033"/>
      <c r="Z110" s="1033"/>
      <c r="AA110" s="1033"/>
      <c r="AB110" s="1033"/>
      <c r="AC110" s="1033"/>
      <c r="AD110" s="1033"/>
      <c r="AE110" s="1033"/>
      <c r="AF110" s="1034"/>
      <c r="AG110" s="102">
        <f t="shared" si="30"/>
        <v>0</v>
      </c>
      <c r="AH110" s="155">
        <f t="shared" si="31"/>
        <v>0</v>
      </c>
    </row>
    <row r="111" spans="1:35" x14ac:dyDescent="0.3">
      <c r="A111" s="1032" t="s">
        <v>54</v>
      </c>
      <c r="B111" s="1033"/>
      <c r="C111" s="1033"/>
      <c r="D111" s="1033"/>
      <c r="E111" s="1033"/>
      <c r="F111" s="1033"/>
      <c r="G111" s="1033"/>
      <c r="H111" s="1033"/>
      <c r="I111" s="1033"/>
      <c r="J111" s="1033"/>
      <c r="K111" s="1033"/>
      <c r="L111" s="1033"/>
      <c r="M111" s="1033"/>
      <c r="N111" s="1033"/>
      <c r="O111" s="1033"/>
      <c r="P111" s="1033"/>
      <c r="Q111" s="1033"/>
      <c r="R111" s="1033"/>
      <c r="S111" s="1033"/>
      <c r="T111" s="1033"/>
      <c r="U111" s="1033"/>
      <c r="V111" s="1033"/>
      <c r="W111" s="1033"/>
      <c r="X111" s="1033"/>
      <c r="Y111" s="1033"/>
      <c r="Z111" s="1033"/>
      <c r="AA111" s="1033"/>
      <c r="AB111" s="1033"/>
      <c r="AC111" s="1033"/>
      <c r="AD111" s="1033"/>
      <c r="AE111" s="1033"/>
      <c r="AF111" s="1034"/>
      <c r="AG111" s="102">
        <f t="shared" si="30"/>
        <v>0</v>
      </c>
      <c r="AH111" s="155">
        <f t="shared" si="31"/>
        <v>0</v>
      </c>
    </row>
    <row r="112" spans="1:35" ht="75" x14ac:dyDescent="0.3">
      <c r="A112" s="138" t="s">
        <v>268</v>
      </c>
      <c r="B112" s="139"/>
      <c r="C112" s="140"/>
      <c r="D112" s="140"/>
      <c r="E112" s="140"/>
      <c r="F112" s="140"/>
      <c r="G112" s="140"/>
      <c r="H112" s="139"/>
      <c r="I112" s="139"/>
      <c r="J112" s="139"/>
      <c r="K112" s="139"/>
      <c r="L112" s="139"/>
      <c r="M112" s="139"/>
      <c r="N112" s="139"/>
      <c r="O112" s="139"/>
      <c r="P112" s="139"/>
      <c r="Q112" s="139"/>
      <c r="R112" s="139"/>
      <c r="S112" s="139"/>
      <c r="T112" s="139"/>
      <c r="U112" s="139"/>
      <c r="V112" s="139"/>
      <c r="W112" s="139"/>
      <c r="X112" s="139"/>
      <c r="Y112" s="139"/>
      <c r="Z112" s="139"/>
      <c r="AA112" s="139"/>
      <c r="AB112" s="139"/>
      <c r="AC112" s="139"/>
      <c r="AD112" s="139"/>
      <c r="AE112" s="139"/>
      <c r="AF112" s="101"/>
      <c r="AG112" s="102">
        <f t="shared" si="30"/>
        <v>0</v>
      </c>
      <c r="AH112" s="155">
        <f t="shared" si="31"/>
        <v>0</v>
      </c>
    </row>
    <row r="113" spans="1:35" x14ac:dyDescent="0.3">
      <c r="A113" s="103" t="s">
        <v>31</v>
      </c>
      <c r="B113" s="104">
        <f>B114+B115+B116+B117</f>
        <v>7595.7899999999991</v>
      </c>
      <c r="C113" s="104">
        <f>C114+C115+C116+C117</f>
        <v>2262.1779999999999</v>
      </c>
      <c r="D113" s="104">
        <f>D114+D115+D116+D117</f>
        <v>3104.9170000000004</v>
      </c>
      <c r="E113" s="104">
        <f>E114+E115+E116+E117</f>
        <v>3104.9170000000004</v>
      </c>
      <c r="F113" s="107">
        <f>IFERROR(E113/B113*100,0)</f>
        <v>40.87681465654002</v>
      </c>
      <c r="G113" s="107">
        <f>IFERROR(E113/C113*100,0)</f>
        <v>137.25343452195187</v>
      </c>
      <c r="H113" s="104">
        <f>H114+H115+H116+H117</f>
        <v>1041.415</v>
      </c>
      <c r="I113" s="104">
        <f t="shared" ref="I113:AE113" si="37">I114+I115+I116+I117</f>
        <v>647.00599999999997</v>
      </c>
      <c r="J113" s="104">
        <f t="shared" si="37"/>
        <v>637.91399999999999</v>
      </c>
      <c r="K113" s="104">
        <f>K114+K115+K116+K117</f>
        <v>662.84900000000005</v>
      </c>
      <c r="L113" s="104">
        <f t="shared" si="37"/>
        <v>506.85899999999998</v>
      </c>
      <c r="M113" s="104">
        <f t="shared" si="37"/>
        <v>510.65899999999999</v>
      </c>
      <c r="N113" s="104">
        <f t="shared" si="37"/>
        <v>746.16800000000001</v>
      </c>
      <c r="O113" s="104">
        <f t="shared" si="37"/>
        <v>509.983</v>
      </c>
      <c r="P113" s="104">
        <f t="shared" si="37"/>
        <v>655.12099999999998</v>
      </c>
      <c r="Q113" s="104">
        <f t="shared" si="37"/>
        <v>774.42</v>
      </c>
      <c r="R113" s="104">
        <f t="shared" si="37"/>
        <v>506.85899999999998</v>
      </c>
      <c r="S113" s="104">
        <f t="shared" si="37"/>
        <v>0</v>
      </c>
      <c r="T113" s="104">
        <f t="shared" si="37"/>
        <v>746.16800000000001</v>
      </c>
      <c r="U113" s="104">
        <f t="shared" si="37"/>
        <v>0</v>
      </c>
      <c r="V113" s="104">
        <f t="shared" si="37"/>
        <v>579.13099999999997</v>
      </c>
      <c r="W113" s="104">
        <f t="shared" si="37"/>
        <v>0</v>
      </c>
      <c r="X113" s="104">
        <f t="shared" si="37"/>
        <v>506.85899999999998</v>
      </c>
      <c r="Y113" s="104">
        <f t="shared" si="37"/>
        <v>0</v>
      </c>
      <c r="Z113" s="104">
        <f t="shared" si="37"/>
        <v>746.16800000000001</v>
      </c>
      <c r="AA113" s="104">
        <f t="shared" si="37"/>
        <v>0</v>
      </c>
      <c r="AB113" s="104">
        <f t="shared" si="37"/>
        <v>563.83399999999995</v>
      </c>
      <c r="AC113" s="104">
        <f t="shared" si="37"/>
        <v>0</v>
      </c>
      <c r="AD113" s="104">
        <f t="shared" si="37"/>
        <v>359.29399999999998</v>
      </c>
      <c r="AE113" s="104">
        <f t="shared" si="37"/>
        <v>0</v>
      </c>
      <c r="AF113" s="101"/>
      <c r="AG113" s="102">
        <f t="shared" si="30"/>
        <v>-5.6843418860808015E-13</v>
      </c>
      <c r="AH113" s="155">
        <f t="shared" si="31"/>
        <v>-842.73900000000049</v>
      </c>
    </row>
    <row r="114" spans="1:35" x14ac:dyDescent="0.3">
      <c r="A114" s="106" t="s">
        <v>169</v>
      </c>
      <c r="B114" s="107">
        <f>J114+L114+N114+P114+R114+T114+V114+X114+Z114+AB114+AD114+H114</f>
        <v>0</v>
      </c>
      <c r="C114" s="107">
        <f>H114+J114+L114+N114+P114+R114+T114+V114+X114+Z114+AB114+AD114</f>
        <v>0</v>
      </c>
      <c r="D114" s="107">
        <f>E114</f>
        <v>0</v>
      </c>
      <c r="E114" s="107">
        <f>SUM(I114,K114,M114,O114,Q114,S114,U114,W114,Y114,AA114,AC114,AE114)</f>
        <v>0</v>
      </c>
      <c r="F114" s="107"/>
      <c r="G114" s="107"/>
      <c r="H114" s="107"/>
      <c r="I114" s="107"/>
      <c r="J114" s="107"/>
      <c r="K114" s="107"/>
      <c r="L114" s="107"/>
      <c r="M114" s="107"/>
      <c r="N114" s="107"/>
      <c r="O114" s="107"/>
      <c r="P114" s="107"/>
      <c r="Q114" s="107"/>
      <c r="R114" s="107"/>
      <c r="S114" s="107"/>
      <c r="T114" s="107"/>
      <c r="U114" s="107"/>
      <c r="V114" s="107"/>
      <c r="W114" s="107"/>
      <c r="X114" s="107"/>
      <c r="Y114" s="107"/>
      <c r="Z114" s="107"/>
      <c r="AA114" s="107"/>
      <c r="AB114" s="107"/>
      <c r="AC114" s="107"/>
      <c r="AD114" s="107"/>
      <c r="AE114" s="107"/>
      <c r="AF114" s="101"/>
      <c r="AG114" s="102">
        <f t="shared" si="30"/>
        <v>0</v>
      </c>
      <c r="AH114" s="155">
        <f t="shared" si="31"/>
        <v>0</v>
      </c>
    </row>
    <row r="115" spans="1:35" x14ac:dyDescent="0.3">
      <c r="A115" s="106" t="s">
        <v>32</v>
      </c>
      <c r="B115" s="107">
        <f>J115+L115+N115+P115+R115+T115+V115+X115+Z115+AB115+AD115+H115</f>
        <v>75.989999999999995</v>
      </c>
      <c r="C115" s="107">
        <f>H115+J115+L115+N115+P115+R115+T115+V115+X115+Z115+AB115+AD115</f>
        <v>75.989999999999995</v>
      </c>
      <c r="D115" s="107">
        <f>E115</f>
        <v>0</v>
      </c>
      <c r="E115" s="107">
        <f>SUM(I115,K115,M115,O115,Q115,S115,U115,W115,Y115,AA115,AC115,AE115)</f>
        <v>0</v>
      </c>
      <c r="F115" s="107">
        <v>0</v>
      </c>
      <c r="G115" s="107">
        <v>0</v>
      </c>
      <c r="H115" s="107">
        <v>0</v>
      </c>
      <c r="I115" s="107">
        <v>0</v>
      </c>
      <c r="J115" s="107">
        <v>0</v>
      </c>
      <c r="K115" s="107">
        <v>0</v>
      </c>
      <c r="L115" s="107">
        <v>0</v>
      </c>
      <c r="M115" s="869">
        <v>0</v>
      </c>
      <c r="N115" s="107">
        <v>0</v>
      </c>
      <c r="O115" s="107">
        <v>0</v>
      </c>
      <c r="P115" s="107">
        <v>75.989999999999995</v>
      </c>
      <c r="Q115" s="107">
        <v>0</v>
      </c>
      <c r="R115" s="107">
        <v>0</v>
      </c>
      <c r="S115" s="107">
        <v>0</v>
      </c>
      <c r="T115" s="107">
        <v>0</v>
      </c>
      <c r="U115" s="107">
        <v>0</v>
      </c>
      <c r="V115" s="107">
        <v>0</v>
      </c>
      <c r="W115" s="107">
        <v>0</v>
      </c>
      <c r="X115" s="107">
        <v>0</v>
      </c>
      <c r="Y115" s="107">
        <v>0</v>
      </c>
      <c r="Z115" s="107">
        <v>0</v>
      </c>
      <c r="AA115" s="107">
        <v>0</v>
      </c>
      <c r="AB115" s="107">
        <v>0</v>
      </c>
      <c r="AC115" s="107">
        <v>0</v>
      </c>
      <c r="AD115" s="107">
        <v>0</v>
      </c>
      <c r="AE115" s="107">
        <v>0</v>
      </c>
      <c r="AF115" s="101"/>
      <c r="AG115" s="102">
        <f t="shared" si="30"/>
        <v>0</v>
      </c>
      <c r="AH115" s="155">
        <f t="shared" si="31"/>
        <v>75.989999999999995</v>
      </c>
    </row>
    <row r="116" spans="1:35" x14ac:dyDescent="0.3">
      <c r="A116" s="106" t="s">
        <v>33</v>
      </c>
      <c r="B116" s="744">
        <f>J116+L116+N116+P116+R116+T116+V116+X116+Z116+AB116+AD116+H116</f>
        <v>7519.7999999999993</v>
      </c>
      <c r="C116" s="744">
        <f>H116+J116+L116</f>
        <v>2186.1880000000001</v>
      </c>
      <c r="D116" s="744">
        <f>E116</f>
        <v>3104.9170000000004</v>
      </c>
      <c r="E116" s="107">
        <f>SUM(I116,K116,M116,O116,Q116,S116,U116,W116,Y116,AA116,AC116,AE116)</f>
        <v>3104.9170000000004</v>
      </c>
      <c r="F116" s="107">
        <f>IFERROR(E116/B116*100,0)</f>
        <v>41.28988802893695</v>
      </c>
      <c r="G116" s="107">
        <f>IFERROR(E116/C116*100,0)</f>
        <v>142.02424494142315</v>
      </c>
      <c r="H116" s="107">
        <v>1041.415</v>
      </c>
      <c r="I116" s="107">
        <v>647.00599999999997</v>
      </c>
      <c r="J116" s="107">
        <v>637.91399999999999</v>
      </c>
      <c r="K116" s="107">
        <v>662.84900000000005</v>
      </c>
      <c r="L116" s="107">
        <v>506.85899999999998</v>
      </c>
      <c r="M116" s="871">
        <v>510.65899999999999</v>
      </c>
      <c r="N116" s="107">
        <v>746.16800000000001</v>
      </c>
      <c r="O116" s="107">
        <v>509.983</v>
      </c>
      <c r="P116" s="107">
        <v>579.13099999999997</v>
      </c>
      <c r="Q116" s="107">
        <v>774.42</v>
      </c>
      <c r="R116" s="107">
        <v>506.85899999999998</v>
      </c>
      <c r="S116" s="107"/>
      <c r="T116" s="107">
        <v>746.16800000000001</v>
      </c>
      <c r="U116" s="107"/>
      <c r="V116" s="107">
        <v>579.13099999999997</v>
      </c>
      <c r="W116" s="107"/>
      <c r="X116" s="107">
        <v>506.85899999999998</v>
      </c>
      <c r="Y116" s="107"/>
      <c r="Z116" s="107">
        <v>746.16800000000001</v>
      </c>
      <c r="AA116" s="107"/>
      <c r="AB116" s="107">
        <v>563.83399999999995</v>
      </c>
      <c r="AC116" s="107"/>
      <c r="AD116" s="107">
        <v>359.29399999999998</v>
      </c>
      <c r="AE116" s="107"/>
      <c r="AF116" s="748" t="s">
        <v>518</v>
      </c>
      <c r="AG116" s="102">
        <f t="shared" si="30"/>
        <v>0</v>
      </c>
      <c r="AH116" s="737">
        <f t="shared" si="31"/>
        <v>-918.72900000000027</v>
      </c>
    </row>
    <row r="117" spans="1:35" x14ac:dyDescent="0.3">
      <c r="A117" s="106" t="s">
        <v>170</v>
      </c>
      <c r="B117" s="107">
        <f>J117+L117+N117+P117+R117+T117+V117+X117+Z117+AB117+AD117+H117</f>
        <v>0</v>
      </c>
      <c r="C117" s="107">
        <f>H117+J117+L117+N117+P117+R117+T117+V117+X117+Z117+AB117+AD117</f>
        <v>0</v>
      </c>
      <c r="D117" s="107">
        <f>E117</f>
        <v>0</v>
      </c>
      <c r="E117" s="107">
        <f>SUM(I117,K117,M117,O117,Q117,S117,U117,W117,Y117,AA117,AC117,AE117)</f>
        <v>0</v>
      </c>
      <c r="F117" s="107"/>
      <c r="G117" s="107"/>
      <c r="H117" s="107"/>
      <c r="I117" s="107"/>
      <c r="J117" s="107"/>
      <c r="K117" s="107"/>
      <c r="L117" s="107"/>
      <c r="M117" s="870"/>
      <c r="N117" s="107"/>
      <c r="O117" s="107"/>
      <c r="P117" s="107"/>
      <c r="Q117" s="107"/>
      <c r="R117" s="107"/>
      <c r="S117" s="107"/>
      <c r="T117" s="107"/>
      <c r="U117" s="107"/>
      <c r="V117" s="107"/>
      <c r="W117" s="107"/>
      <c r="X117" s="107"/>
      <c r="Y117" s="107"/>
      <c r="Z117" s="107"/>
      <c r="AA117" s="107"/>
      <c r="AB117" s="107"/>
      <c r="AC117" s="107"/>
      <c r="AD117" s="107"/>
      <c r="AE117" s="107"/>
      <c r="AF117" s="101"/>
      <c r="AG117" s="102">
        <f t="shared" si="30"/>
        <v>0</v>
      </c>
      <c r="AH117" s="155">
        <f t="shared" si="31"/>
        <v>0</v>
      </c>
    </row>
    <row r="118" spans="1:35" x14ac:dyDescent="0.3">
      <c r="A118" s="1032" t="s">
        <v>269</v>
      </c>
      <c r="B118" s="1033"/>
      <c r="C118" s="1033"/>
      <c r="D118" s="1033"/>
      <c r="E118" s="1033"/>
      <c r="F118" s="1033"/>
      <c r="G118" s="1033"/>
      <c r="H118" s="1033"/>
      <c r="I118" s="1033"/>
      <c r="J118" s="1033"/>
      <c r="K118" s="1033"/>
      <c r="L118" s="1033"/>
      <c r="M118" s="1033"/>
      <c r="N118" s="1033"/>
      <c r="O118" s="1033"/>
      <c r="P118" s="1033"/>
      <c r="Q118" s="1033"/>
      <c r="R118" s="1033"/>
      <c r="S118" s="1033"/>
      <c r="T118" s="1033"/>
      <c r="U118" s="1033"/>
      <c r="V118" s="1033"/>
      <c r="W118" s="1033"/>
      <c r="X118" s="1033"/>
      <c r="Y118" s="1033"/>
      <c r="Z118" s="1033"/>
      <c r="AA118" s="1033"/>
      <c r="AB118" s="1033"/>
      <c r="AC118" s="1033"/>
      <c r="AD118" s="1033"/>
      <c r="AE118" s="1033"/>
      <c r="AF118" s="1034"/>
      <c r="AG118" s="102">
        <f t="shared" si="30"/>
        <v>0</v>
      </c>
      <c r="AH118" s="155">
        <f t="shared" si="31"/>
        <v>0</v>
      </c>
    </row>
    <row r="119" spans="1:35" x14ac:dyDescent="0.3">
      <c r="A119" s="1032" t="s">
        <v>54</v>
      </c>
      <c r="B119" s="1033"/>
      <c r="C119" s="1033"/>
      <c r="D119" s="1033"/>
      <c r="E119" s="1033"/>
      <c r="F119" s="1033"/>
      <c r="G119" s="1033"/>
      <c r="H119" s="1033"/>
      <c r="I119" s="1033"/>
      <c r="J119" s="1033"/>
      <c r="K119" s="1033"/>
      <c r="L119" s="1033"/>
      <c r="M119" s="1033"/>
      <c r="N119" s="1033"/>
      <c r="O119" s="1033"/>
      <c r="P119" s="1033"/>
      <c r="Q119" s="1033"/>
      <c r="R119" s="1033"/>
      <c r="S119" s="1033"/>
      <c r="T119" s="1033"/>
      <c r="U119" s="1033"/>
      <c r="V119" s="1033"/>
      <c r="W119" s="1033"/>
      <c r="X119" s="1033"/>
      <c r="Y119" s="1033"/>
      <c r="Z119" s="1033"/>
      <c r="AA119" s="1033"/>
      <c r="AB119" s="1033"/>
      <c r="AC119" s="1033"/>
      <c r="AD119" s="1033"/>
      <c r="AE119" s="1033"/>
      <c r="AF119" s="1034"/>
      <c r="AG119" s="102">
        <f t="shared" si="30"/>
        <v>0</v>
      </c>
      <c r="AH119" s="155">
        <f t="shared" si="31"/>
        <v>0</v>
      </c>
    </row>
    <row r="120" spans="1:35" ht="300" x14ac:dyDescent="0.3">
      <c r="A120" s="98" t="s">
        <v>270</v>
      </c>
      <c r="B120" s="143"/>
      <c r="C120" s="144"/>
      <c r="D120" s="144"/>
      <c r="E120" s="144"/>
      <c r="F120" s="144"/>
      <c r="G120" s="144"/>
      <c r="H120" s="143"/>
      <c r="I120" s="143"/>
      <c r="J120" s="143"/>
      <c r="K120" s="143"/>
      <c r="L120" s="143"/>
      <c r="M120" s="143"/>
      <c r="N120" s="143"/>
      <c r="O120" s="143"/>
      <c r="P120" s="143"/>
      <c r="Q120" s="143"/>
      <c r="R120" s="143"/>
      <c r="S120" s="143"/>
      <c r="T120" s="143"/>
      <c r="U120" s="143"/>
      <c r="V120" s="143"/>
      <c r="W120" s="143"/>
      <c r="X120" s="143"/>
      <c r="Y120" s="143"/>
      <c r="Z120" s="143"/>
      <c r="AA120" s="143"/>
      <c r="AB120" s="143"/>
      <c r="AC120" s="143"/>
      <c r="AD120" s="143"/>
      <c r="AE120" s="143"/>
      <c r="AF120" s="735" t="s">
        <v>516</v>
      </c>
      <c r="AG120" s="102">
        <f t="shared" si="30"/>
        <v>0</v>
      </c>
      <c r="AH120" s="155">
        <f t="shared" si="31"/>
        <v>0</v>
      </c>
    </row>
    <row r="121" spans="1:35" x14ac:dyDescent="0.3">
      <c r="A121" s="145" t="s">
        <v>31</v>
      </c>
      <c r="B121" s="104">
        <f>B122+B123+B124+B125</f>
        <v>249</v>
      </c>
      <c r="C121" s="104">
        <f>C122+C123+C124+C125</f>
        <v>210.70859999999999</v>
      </c>
      <c r="D121" s="104">
        <f>D122+D123+D124+D125</f>
        <v>43.6</v>
      </c>
      <c r="E121" s="104">
        <f>E122+E123+E124+E125</f>
        <v>43.6</v>
      </c>
      <c r="F121" s="107">
        <f>IFERROR(E121/B121*100,0)</f>
        <v>17.510040160642571</v>
      </c>
      <c r="G121" s="107">
        <f>IFERROR(E121/C121*100,0)</f>
        <v>20.692083759277033</v>
      </c>
      <c r="H121" s="104">
        <f t="shared" ref="H121:AE121" si="38">H122+H123+H124+H125</f>
        <v>0</v>
      </c>
      <c r="I121" s="104">
        <f t="shared" si="38"/>
        <v>0</v>
      </c>
      <c r="J121" s="104">
        <f t="shared" si="38"/>
        <v>210.70859999999999</v>
      </c>
      <c r="K121" s="104">
        <f t="shared" si="38"/>
        <v>17.600000000000001</v>
      </c>
      <c r="L121" s="104">
        <f t="shared" si="38"/>
        <v>0</v>
      </c>
      <c r="M121" s="104">
        <f t="shared" si="38"/>
        <v>26</v>
      </c>
      <c r="N121" s="104">
        <f t="shared" si="38"/>
        <v>0</v>
      </c>
      <c r="O121" s="104">
        <f t="shared" si="38"/>
        <v>0</v>
      </c>
      <c r="P121" s="104">
        <f t="shared" si="38"/>
        <v>0</v>
      </c>
      <c r="Q121" s="104">
        <f t="shared" si="38"/>
        <v>0</v>
      </c>
      <c r="R121" s="104">
        <f t="shared" si="38"/>
        <v>0</v>
      </c>
      <c r="S121" s="104">
        <f t="shared" si="38"/>
        <v>0</v>
      </c>
      <c r="T121" s="104">
        <f t="shared" si="38"/>
        <v>0</v>
      </c>
      <c r="U121" s="104">
        <f t="shared" si="38"/>
        <v>0</v>
      </c>
      <c r="V121" s="104">
        <f t="shared" si="38"/>
        <v>0</v>
      </c>
      <c r="W121" s="104">
        <f t="shared" si="38"/>
        <v>0</v>
      </c>
      <c r="X121" s="104">
        <f t="shared" si="38"/>
        <v>38.291400000000003</v>
      </c>
      <c r="Y121" s="104">
        <f t="shared" si="38"/>
        <v>0</v>
      </c>
      <c r="Z121" s="104">
        <f t="shared" si="38"/>
        <v>0</v>
      </c>
      <c r="AA121" s="104">
        <f t="shared" si="38"/>
        <v>0</v>
      </c>
      <c r="AB121" s="104">
        <f t="shared" si="38"/>
        <v>0</v>
      </c>
      <c r="AC121" s="104">
        <f t="shared" si="38"/>
        <v>0</v>
      </c>
      <c r="AD121" s="104">
        <f t="shared" si="38"/>
        <v>0</v>
      </c>
      <c r="AE121" s="104">
        <f t="shared" si="38"/>
        <v>0</v>
      </c>
      <c r="AF121" s="101"/>
      <c r="AG121" s="102">
        <f t="shared" si="30"/>
        <v>7.1054273576010019E-15</v>
      </c>
      <c r="AH121" s="155">
        <f t="shared" si="31"/>
        <v>167.1086</v>
      </c>
    </row>
    <row r="122" spans="1:35" x14ac:dyDescent="0.3">
      <c r="A122" s="146" t="s">
        <v>169</v>
      </c>
      <c r="B122" s="107">
        <f>J122+L122+N122+P122+R122+T122+V122+X122+Z122+AB122+AD122+H122</f>
        <v>0</v>
      </c>
      <c r="C122" s="107">
        <f>H122+J122+L122+N122+P122+R122+T122+V122+X122+Z122+AB122+AD122</f>
        <v>0</v>
      </c>
      <c r="D122" s="107">
        <f>E122</f>
        <v>0</v>
      </c>
      <c r="E122" s="107">
        <f>SUM(I122,K122,M122,O122,Q122,S122,U122,W122,Y122,AA122,AC122,AE122)</f>
        <v>0</v>
      </c>
      <c r="F122" s="107"/>
      <c r="G122" s="107"/>
      <c r="H122" s="107"/>
      <c r="I122" s="107"/>
      <c r="J122" s="107"/>
      <c r="K122" s="107"/>
      <c r="L122" s="107"/>
      <c r="M122" s="107"/>
      <c r="N122" s="107"/>
      <c r="O122" s="107"/>
      <c r="P122" s="107"/>
      <c r="Q122" s="107"/>
      <c r="R122" s="107"/>
      <c r="S122" s="107"/>
      <c r="T122" s="107"/>
      <c r="U122" s="107"/>
      <c r="V122" s="107"/>
      <c r="W122" s="107"/>
      <c r="X122" s="107"/>
      <c r="Y122" s="107"/>
      <c r="Z122" s="107"/>
      <c r="AA122" s="107"/>
      <c r="AB122" s="107"/>
      <c r="AC122" s="107"/>
      <c r="AD122" s="107"/>
      <c r="AE122" s="107"/>
      <c r="AF122" s="101"/>
      <c r="AG122" s="102">
        <f t="shared" si="30"/>
        <v>0</v>
      </c>
      <c r="AH122" s="155">
        <f t="shared" si="31"/>
        <v>0</v>
      </c>
    </row>
    <row r="123" spans="1:35" x14ac:dyDescent="0.3">
      <c r="A123" s="146" t="s">
        <v>32</v>
      </c>
      <c r="B123" s="107">
        <f>J123+L123+N123+P123+R123+T123+V123+X123+Z123+AB123+AD123+H123</f>
        <v>0</v>
      </c>
      <c r="C123" s="107">
        <f>H123+J123+L123+N123+P123+R123+T123+V123+X123+Z123+AB123+AD123</f>
        <v>0</v>
      </c>
      <c r="D123" s="107">
        <f>E123</f>
        <v>0</v>
      </c>
      <c r="E123" s="107">
        <f>SUM(I123,K123,M123,O123,Q123,S123,U123,W123,Y123,AA123,AC123,AE123)</f>
        <v>0</v>
      </c>
      <c r="F123" s="107"/>
      <c r="G123" s="107"/>
      <c r="H123" s="107"/>
      <c r="I123" s="107"/>
      <c r="J123" s="107"/>
      <c r="K123" s="107"/>
      <c r="L123" s="107"/>
      <c r="M123" s="107"/>
      <c r="N123" s="107"/>
      <c r="O123" s="107"/>
      <c r="P123" s="107"/>
      <c r="Q123" s="107"/>
      <c r="R123" s="107"/>
      <c r="S123" s="107"/>
      <c r="T123" s="107"/>
      <c r="U123" s="107"/>
      <c r="V123" s="107"/>
      <c r="W123" s="107"/>
      <c r="X123" s="107"/>
      <c r="Y123" s="107"/>
      <c r="Z123" s="107"/>
      <c r="AA123" s="107"/>
      <c r="AB123" s="107"/>
      <c r="AC123" s="107"/>
      <c r="AD123" s="107"/>
      <c r="AE123" s="107"/>
      <c r="AF123" s="101"/>
      <c r="AG123" s="102">
        <f t="shared" si="30"/>
        <v>0</v>
      </c>
      <c r="AH123" s="155">
        <f t="shared" si="31"/>
        <v>0</v>
      </c>
    </row>
    <row r="124" spans="1:35" x14ac:dyDescent="0.3">
      <c r="A124" s="146" t="s">
        <v>33</v>
      </c>
      <c r="B124" s="744">
        <f>J124+L124+N124+P124+R124+T124+V124+X124+Z124+AB124+AD124+H124</f>
        <v>249</v>
      </c>
      <c r="C124" s="744">
        <f>H124+J124+L124</f>
        <v>210.70859999999999</v>
      </c>
      <c r="D124" s="107">
        <f>E124</f>
        <v>43.6</v>
      </c>
      <c r="E124" s="742">
        <f>SUM(I124,K124,M124,O124,Q124,S124,U124,W124,Y124,AA124,AC124,AE124)</f>
        <v>43.6</v>
      </c>
      <c r="F124" s="107">
        <f>IFERROR(E124/B124*100,0)</f>
        <v>17.510040160642571</v>
      </c>
      <c r="G124" s="107">
        <f>IFERROR(E124/C124*100,0)</f>
        <v>20.692083759277033</v>
      </c>
      <c r="H124" s="107"/>
      <c r="I124" s="107"/>
      <c r="J124" s="107">
        <v>210.70859999999999</v>
      </c>
      <c r="K124" s="107">
        <v>17.600000000000001</v>
      </c>
      <c r="L124" s="107">
        <v>0</v>
      </c>
      <c r="M124" s="107">
        <v>26</v>
      </c>
      <c r="N124" s="107"/>
      <c r="O124" s="107"/>
      <c r="P124" s="107"/>
      <c r="Q124" s="107"/>
      <c r="R124" s="107"/>
      <c r="S124" s="107"/>
      <c r="T124" s="107"/>
      <c r="U124" s="107"/>
      <c r="V124" s="107"/>
      <c r="W124" s="107"/>
      <c r="X124" s="107">
        <v>38.291400000000003</v>
      </c>
      <c r="Y124" s="107"/>
      <c r="Z124" s="107"/>
      <c r="AA124" s="107"/>
      <c r="AB124" s="107"/>
      <c r="AC124" s="107"/>
      <c r="AD124" s="107"/>
      <c r="AE124" s="107"/>
      <c r="AF124" s="101"/>
      <c r="AG124" s="102">
        <f t="shared" si="30"/>
        <v>7.1054273576010019E-15</v>
      </c>
      <c r="AH124" s="745">
        <f t="shared" si="31"/>
        <v>167.1086</v>
      </c>
      <c r="AI124" s="738">
        <v>0</v>
      </c>
    </row>
    <row r="125" spans="1:35" x14ac:dyDescent="0.3">
      <c r="A125" s="146" t="s">
        <v>170</v>
      </c>
      <c r="B125" s="107">
        <f>J125+L125+N125+P125+R125+T125+V125+X125+Z125+AB125+AD125+H125</f>
        <v>0</v>
      </c>
      <c r="C125" s="107">
        <f>H125+J125+L125+N125+P125+R125+T125+V125+X125+Z125+AB125+AD125</f>
        <v>0</v>
      </c>
      <c r="D125" s="107">
        <f>E125</f>
        <v>0</v>
      </c>
      <c r="E125" s="107">
        <f>SUM(I125,K125,M125,O125,Q125,S125,U125,W125,Y125,AA125,AC125,AE125)</f>
        <v>0</v>
      </c>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107"/>
      <c r="AE125" s="107"/>
      <c r="AF125" s="101"/>
      <c r="AG125" s="102">
        <f t="shared" si="30"/>
        <v>0</v>
      </c>
      <c r="AH125" s="155">
        <f t="shared" si="31"/>
        <v>0</v>
      </c>
    </row>
    <row r="126" spans="1:35" ht="83.25" customHeight="1" x14ac:dyDescent="0.3">
      <c r="A126" s="98" t="s">
        <v>271</v>
      </c>
      <c r="B126" s="143"/>
      <c r="C126" s="144"/>
      <c r="D126" s="144"/>
      <c r="E126" s="144"/>
      <c r="F126" s="144"/>
      <c r="G126" s="144"/>
      <c r="H126" s="143"/>
      <c r="I126" s="143"/>
      <c r="J126" s="143"/>
      <c r="K126" s="143"/>
      <c r="L126" s="143"/>
      <c r="M126" s="143"/>
      <c r="N126" s="143"/>
      <c r="O126" s="143"/>
      <c r="P126" s="143"/>
      <c r="Q126" s="143"/>
      <c r="R126" s="143"/>
      <c r="S126" s="143"/>
      <c r="T126" s="143"/>
      <c r="U126" s="143"/>
      <c r="V126" s="143"/>
      <c r="W126" s="143"/>
      <c r="X126" s="143"/>
      <c r="Y126" s="143"/>
      <c r="Z126" s="143"/>
      <c r="AA126" s="143"/>
      <c r="AB126" s="143"/>
      <c r="AC126" s="143"/>
      <c r="AD126" s="143"/>
      <c r="AE126" s="143"/>
      <c r="AF126" s="101"/>
      <c r="AG126" s="102">
        <f t="shared" si="30"/>
        <v>0</v>
      </c>
      <c r="AH126" s="155">
        <f t="shared" si="31"/>
        <v>0</v>
      </c>
    </row>
    <row r="127" spans="1:35" x14ac:dyDescent="0.3">
      <c r="A127" s="145" t="s">
        <v>31</v>
      </c>
      <c r="B127" s="104">
        <f>B128+B129+B130+B131</f>
        <v>0</v>
      </c>
      <c r="C127" s="104">
        <f>C128+C129+C130+C131</f>
        <v>0</v>
      </c>
      <c r="D127" s="104">
        <f>D128+D129+D130+D131</f>
        <v>0</v>
      </c>
      <c r="E127" s="104">
        <f>E128+E129+E130+E131</f>
        <v>0</v>
      </c>
      <c r="F127" s="107">
        <f>IFERROR(E127/B127*100,0)</f>
        <v>0</v>
      </c>
      <c r="G127" s="107">
        <f>IFERROR(E127/C127*100,0)</f>
        <v>0</v>
      </c>
      <c r="H127" s="104">
        <f t="shared" ref="H127:AE127" si="39">H128+H129+H130+H131</f>
        <v>0</v>
      </c>
      <c r="I127" s="104">
        <f t="shared" si="39"/>
        <v>0</v>
      </c>
      <c r="J127" s="104">
        <f t="shared" si="39"/>
        <v>0</v>
      </c>
      <c r="K127" s="104">
        <f t="shared" si="39"/>
        <v>0</v>
      </c>
      <c r="L127" s="104">
        <f t="shared" si="39"/>
        <v>0</v>
      </c>
      <c r="M127" s="104">
        <f t="shared" si="39"/>
        <v>0</v>
      </c>
      <c r="N127" s="104">
        <f t="shared" si="39"/>
        <v>0</v>
      </c>
      <c r="O127" s="104">
        <f t="shared" si="39"/>
        <v>0</v>
      </c>
      <c r="P127" s="104">
        <f t="shared" si="39"/>
        <v>0</v>
      </c>
      <c r="Q127" s="104">
        <f t="shared" si="39"/>
        <v>0</v>
      </c>
      <c r="R127" s="104">
        <f t="shared" si="39"/>
        <v>0</v>
      </c>
      <c r="S127" s="104">
        <f t="shared" si="39"/>
        <v>0</v>
      </c>
      <c r="T127" s="104">
        <f t="shared" si="39"/>
        <v>0</v>
      </c>
      <c r="U127" s="104">
        <f t="shared" si="39"/>
        <v>0</v>
      </c>
      <c r="V127" s="104">
        <f t="shared" si="39"/>
        <v>0</v>
      </c>
      <c r="W127" s="104">
        <f t="shared" si="39"/>
        <v>0</v>
      </c>
      <c r="X127" s="104">
        <f t="shared" si="39"/>
        <v>0</v>
      </c>
      <c r="Y127" s="104">
        <f t="shared" si="39"/>
        <v>0</v>
      </c>
      <c r="Z127" s="104">
        <f t="shared" si="39"/>
        <v>0</v>
      </c>
      <c r="AA127" s="104">
        <f t="shared" si="39"/>
        <v>0</v>
      </c>
      <c r="AB127" s="104">
        <f t="shared" si="39"/>
        <v>0</v>
      </c>
      <c r="AC127" s="104">
        <f t="shared" si="39"/>
        <v>0</v>
      </c>
      <c r="AD127" s="104">
        <f t="shared" si="39"/>
        <v>0</v>
      </c>
      <c r="AE127" s="104">
        <f t="shared" si="39"/>
        <v>0</v>
      </c>
      <c r="AF127" s="101"/>
      <c r="AG127" s="102">
        <f t="shared" si="30"/>
        <v>0</v>
      </c>
      <c r="AH127" s="155">
        <f t="shared" si="31"/>
        <v>0</v>
      </c>
    </row>
    <row r="128" spans="1:35" x14ac:dyDescent="0.3">
      <c r="A128" s="146" t="s">
        <v>169</v>
      </c>
      <c r="B128" s="107">
        <f>J128+L128+N128+P128+R128+T128+V128+X128+Z128+AB128+AD128+H128</f>
        <v>0</v>
      </c>
      <c r="C128" s="107">
        <f>SUM(H128)</f>
        <v>0</v>
      </c>
      <c r="D128" s="107">
        <f>E128</f>
        <v>0</v>
      </c>
      <c r="E128" s="107">
        <f>SUM(I128,K128,M128,O128,Q128,S128,U128,W128,Y128,AA128,AC128,AE128)</f>
        <v>0</v>
      </c>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107"/>
      <c r="AE128" s="107"/>
      <c r="AF128" s="101"/>
      <c r="AG128" s="102">
        <f t="shared" si="30"/>
        <v>0</v>
      </c>
      <c r="AH128" s="155">
        <f t="shared" si="31"/>
        <v>0</v>
      </c>
    </row>
    <row r="129" spans="1:34" x14ac:dyDescent="0.3">
      <c r="A129" s="146" t="s">
        <v>32</v>
      </c>
      <c r="B129" s="107">
        <f>J129+L129+N129+P129+R129+T129+V129+X129+Z129+AB129+AD129+H129</f>
        <v>0</v>
      </c>
      <c r="C129" s="107">
        <f>SUM(H129)</f>
        <v>0</v>
      </c>
      <c r="D129" s="107">
        <f>E129</f>
        <v>0</v>
      </c>
      <c r="E129" s="107">
        <f>SUM(I129,K129,M129,O129,Q129,S129,U129,W129,Y129,AA129,AC129,AE129)</f>
        <v>0</v>
      </c>
      <c r="F129" s="107"/>
      <c r="G129" s="107"/>
      <c r="H129" s="107"/>
      <c r="I129" s="107"/>
      <c r="J129" s="107"/>
      <c r="K129" s="107"/>
      <c r="L129" s="107"/>
      <c r="M129" s="107"/>
      <c r="N129" s="107"/>
      <c r="O129" s="107"/>
      <c r="P129" s="107"/>
      <c r="Q129" s="107"/>
      <c r="R129" s="107"/>
      <c r="S129" s="107"/>
      <c r="T129" s="107"/>
      <c r="U129" s="107"/>
      <c r="V129" s="107"/>
      <c r="W129" s="107"/>
      <c r="X129" s="107"/>
      <c r="Y129" s="107"/>
      <c r="Z129" s="107"/>
      <c r="AA129" s="107"/>
      <c r="AB129" s="107"/>
      <c r="AC129" s="107"/>
      <c r="AD129" s="107"/>
      <c r="AE129" s="107"/>
      <c r="AF129" s="101"/>
      <c r="AG129" s="102">
        <f t="shared" si="30"/>
        <v>0</v>
      </c>
      <c r="AH129" s="155">
        <f t="shared" si="31"/>
        <v>0</v>
      </c>
    </row>
    <row r="130" spans="1:34" x14ac:dyDescent="0.3">
      <c r="A130" s="146" t="s">
        <v>33</v>
      </c>
      <c r="B130" s="107">
        <f>J130+L130+N130+P130+R130+T130+V130+X130+Z130+AB130+AD130+H130</f>
        <v>0</v>
      </c>
      <c r="C130" s="107">
        <f>SUM(H130)</f>
        <v>0</v>
      </c>
      <c r="D130" s="107">
        <f>E130</f>
        <v>0</v>
      </c>
      <c r="E130" s="107">
        <f>SUM(I130,K130,M130,O130,Q130,S130,U130,W130,Y130,AA130,AC130,AE130)</f>
        <v>0</v>
      </c>
      <c r="F130" s="107">
        <f>IFERROR(E130/B130*100,0)</f>
        <v>0</v>
      </c>
      <c r="G130" s="107">
        <f>IFERROR(E130/C130*100,0)</f>
        <v>0</v>
      </c>
      <c r="H130" s="107"/>
      <c r="I130" s="107"/>
      <c r="J130" s="107"/>
      <c r="K130" s="107"/>
      <c r="L130" s="107"/>
      <c r="M130" s="107"/>
      <c r="N130" s="107"/>
      <c r="O130" s="107"/>
      <c r="P130" s="107"/>
      <c r="Q130" s="107"/>
      <c r="R130" s="107"/>
      <c r="S130" s="107"/>
      <c r="T130" s="107"/>
      <c r="U130" s="107"/>
      <c r="V130" s="107"/>
      <c r="W130" s="107"/>
      <c r="X130" s="107"/>
      <c r="Y130" s="107"/>
      <c r="Z130" s="107"/>
      <c r="AA130" s="107"/>
      <c r="AB130" s="107"/>
      <c r="AC130" s="107"/>
      <c r="AD130" s="107"/>
      <c r="AE130" s="107"/>
      <c r="AF130" s="101"/>
      <c r="AG130" s="102">
        <f t="shared" si="30"/>
        <v>0</v>
      </c>
      <c r="AH130" s="155">
        <f t="shared" si="31"/>
        <v>0</v>
      </c>
    </row>
    <row r="131" spans="1:34" x14ac:dyDescent="0.3">
      <c r="A131" s="146" t="s">
        <v>170</v>
      </c>
      <c r="B131" s="107">
        <f>J131+L131+N131+P131+R131+T131+V131+X131+Z131+AB131+AD131+H131</f>
        <v>0</v>
      </c>
      <c r="C131" s="107">
        <f>SUM(H131)</f>
        <v>0</v>
      </c>
      <c r="D131" s="107">
        <f>E131</f>
        <v>0</v>
      </c>
      <c r="E131" s="107">
        <f>SUM(I131,K131,M131,O131,Q131,S131,U131,W131,Y131,AA131,AC131,AE131)</f>
        <v>0</v>
      </c>
      <c r="F131" s="107"/>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c r="AE131" s="107"/>
      <c r="AF131" s="101"/>
      <c r="AG131" s="102">
        <f t="shared" si="30"/>
        <v>0</v>
      </c>
      <c r="AH131" s="155">
        <f t="shared" si="31"/>
        <v>0</v>
      </c>
    </row>
    <row r="132" spans="1:34" ht="68.25" customHeight="1" x14ac:dyDescent="0.3">
      <c r="A132" s="98" t="s">
        <v>272</v>
      </c>
      <c r="B132" s="143"/>
      <c r="C132" s="144"/>
      <c r="D132" s="144"/>
      <c r="E132" s="144"/>
      <c r="F132" s="144"/>
      <c r="G132" s="144"/>
      <c r="H132" s="143"/>
      <c r="I132" s="143"/>
      <c r="J132" s="143"/>
      <c r="K132" s="143"/>
      <c r="L132" s="143"/>
      <c r="M132" s="143"/>
      <c r="N132" s="143"/>
      <c r="O132" s="143"/>
      <c r="P132" s="143"/>
      <c r="Q132" s="143"/>
      <c r="R132" s="143"/>
      <c r="S132" s="143"/>
      <c r="T132" s="143"/>
      <c r="U132" s="143"/>
      <c r="V132" s="143"/>
      <c r="W132" s="143"/>
      <c r="X132" s="143"/>
      <c r="Y132" s="143"/>
      <c r="Z132" s="143"/>
      <c r="AA132" s="143"/>
      <c r="AB132" s="143"/>
      <c r="AC132" s="143"/>
      <c r="AD132" s="143"/>
      <c r="AE132" s="143"/>
      <c r="AF132" s="101"/>
      <c r="AG132" s="102">
        <f t="shared" si="30"/>
        <v>0</v>
      </c>
      <c r="AH132" s="155">
        <f t="shared" si="31"/>
        <v>0</v>
      </c>
    </row>
    <row r="133" spans="1:34" x14ac:dyDescent="0.3">
      <c r="A133" s="145" t="s">
        <v>31</v>
      </c>
      <c r="B133" s="104">
        <f>B134+B135+B136+B137</f>
        <v>0</v>
      </c>
      <c r="C133" s="104">
        <f>C134+C135+C136+C137</f>
        <v>0</v>
      </c>
      <c r="D133" s="104">
        <f>D134+D135+D136+D137</f>
        <v>0</v>
      </c>
      <c r="E133" s="104">
        <f>E134+E135+E136+E137</f>
        <v>0</v>
      </c>
      <c r="F133" s="107">
        <f>IFERROR(E133/B133*100,0)</f>
        <v>0</v>
      </c>
      <c r="G133" s="107">
        <f>IFERROR(E133/C133*100,0)</f>
        <v>0</v>
      </c>
      <c r="H133" s="104">
        <f t="shared" ref="H133:AE133" si="40">H134+H135+H136+H137</f>
        <v>0</v>
      </c>
      <c r="I133" s="104">
        <f t="shared" si="40"/>
        <v>0</v>
      </c>
      <c r="J133" s="104">
        <f t="shared" si="40"/>
        <v>0</v>
      </c>
      <c r="K133" s="104">
        <f t="shared" si="40"/>
        <v>0</v>
      </c>
      <c r="L133" s="104">
        <f t="shared" si="40"/>
        <v>0</v>
      </c>
      <c r="M133" s="104">
        <f t="shared" si="40"/>
        <v>0</v>
      </c>
      <c r="N133" s="104">
        <f t="shared" si="40"/>
        <v>0</v>
      </c>
      <c r="O133" s="104">
        <f t="shared" si="40"/>
        <v>0</v>
      </c>
      <c r="P133" s="104">
        <f t="shared" si="40"/>
        <v>0</v>
      </c>
      <c r="Q133" s="104">
        <f t="shared" si="40"/>
        <v>0</v>
      </c>
      <c r="R133" s="104">
        <f t="shared" si="40"/>
        <v>0</v>
      </c>
      <c r="S133" s="104">
        <f t="shared" si="40"/>
        <v>0</v>
      </c>
      <c r="T133" s="104">
        <f t="shared" si="40"/>
        <v>0</v>
      </c>
      <c r="U133" s="104">
        <f t="shared" si="40"/>
        <v>0</v>
      </c>
      <c r="V133" s="104">
        <f t="shared" si="40"/>
        <v>0</v>
      </c>
      <c r="W133" s="104">
        <f t="shared" si="40"/>
        <v>0</v>
      </c>
      <c r="X133" s="104">
        <f t="shared" si="40"/>
        <v>0</v>
      </c>
      <c r="Y133" s="104">
        <f t="shared" si="40"/>
        <v>0</v>
      </c>
      <c r="Z133" s="104">
        <f t="shared" si="40"/>
        <v>0</v>
      </c>
      <c r="AA133" s="104">
        <f t="shared" si="40"/>
        <v>0</v>
      </c>
      <c r="AB133" s="104">
        <f t="shared" si="40"/>
        <v>0</v>
      </c>
      <c r="AC133" s="104">
        <f t="shared" si="40"/>
        <v>0</v>
      </c>
      <c r="AD133" s="104">
        <f t="shared" si="40"/>
        <v>0</v>
      </c>
      <c r="AE133" s="104">
        <f t="shared" si="40"/>
        <v>0</v>
      </c>
      <c r="AF133" s="101"/>
      <c r="AG133" s="102">
        <f t="shared" si="30"/>
        <v>0</v>
      </c>
      <c r="AH133" s="155">
        <f t="shared" si="31"/>
        <v>0</v>
      </c>
    </row>
    <row r="134" spans="1:34" x14ac:dyDescent="0.3">
      <c r="A134" s="146" t="s">
        <v>169</v>
      </c>
      <c r="B134" s="107">
        <f>J134+L134+N134+P134+R134+T134+V134+X134+Z134+AB134+AD134+H134</f>
        <v>0</v>
      </c>
      <c r="C134" s="107">
        <f>SUM(H134)</f>
        <v>0</v>
      </c>
      <c r="D134" s="107">
        <f>E134</f>
        <v>0</v>
      </c>
      <c r="E134" s="107">
        <f>SUM(I134,K134,M134,O134,Q134,S134,U134,W134,Y134,AA134,AC134,AE134)</f>
        <v>0</v>
      </c>
      <c r="F134" s="107"/>
      <c r="G134" s="107"/>
      <c r="H134" s="107"/>
      <c r="I134" s="107"/>
      <c r="J134" s="107"/>
      <c r="K134" s="107"/>
      <c r="L134" s="107"/>
      <c r="M134" s="107"/>
      <c r="N134" s="107"/>
      <c r="O134" s="107"/>
      <c r="P134" s="107"/>
      <c r="Q134" s="107"/>
      <c r="R134" s="107"/>
      <c r="S134" s="107"/>
      <c r="T134" s="107"/>
      <c r="U134" s="107"/>
      <c r="V134" s="107"/>
      <c r="W134" s="107"/>
      <c r="X134" s="107"/>
      <c r="Y134" s="107"/>
      <c r="Z134" s="107"/>
      <c r="AA134" s="107"/>
      <c r="AB134" s="107"/>
      <c r="AC134" s="107"/>
      <c r="AD134" s="107"/>
      <c r="AE134" s="107"/>
      <c r="AF134" s="101"/>
      <c r="AG134" s="102">
        <f t="shared" si="30"/>
        <v>0</v>
      </c>
      <c r="AH134" s="155">
        <f t="shared" si="31"/>
        <v>0</v>
      </c>
    </row>
    <row r="135" spans="1:34" x14ac:dyDescent="0.3">
      <c r="A135" s="146" t="s">
        <v>32</v>
      </c>
      <c r="B135" s="107">
        <f>J135+L135+N135+P135+R135+T135+V135+X135+Z135+AB135+AD135+H135</f>
        <v>0</v>
      </c>
      <c r="C135" s="107">
        <f>SUM(H135)</f>
        <v>0</v>
      </c>
      <c r="D135" s="107">
        <f>E135</f>
        <v>0</v>
      </c>
      <c r="E135" s="107">
        <f>SUM(I135,K135,M135,O135,Q135,S135,U135,W135,Y135,AA135,AC135,AE135)</f>
        <v>0</v>
      </c>
      <c r="F135" s="107"/>
      <c r="G135" s="107"/>
      <c r="H135" s="107"/>
      <c r="I135" s="107"/>
      <c r="J135" s="107"/>
      <c r="K135" s="107"/>
      <c r="L135" s="107"/>
      <c r="M135" s="107"/>
      <c r="N135" s="107"/>
      <c r="O135" s="107"/>
      <c r="P135" s="107"/>
      <c r="Q135" s="107"/>
      <c r="R135" s="107"/>
      <c r="S135" s="107"/>
      <c r="T135" s="107"/>
      <c r="U135" s="107"/>
      <c r="V135" s="107"/>
      <c r="W135" s="107"/>
      <c r="X135" s="107"/>
      <c r="Y135" s="107"/>
      <c r="Z135" s="107"/>
      <c r="AA135" s="107"/>
      <c r="AB135" s="107"/>
      <c r="AC135" s="107"/>
      <c r="AD135" s="107"/>
      <c r="AE135" s="107"/>
      <c r="AF135" s="101"/>
      <c r="AG135" s="102">
        <f t="shared" si="30"/>
        <v>0</v>
      </c>
      <c r="AH135" s="155">
        <f t="shared" si="31"/>
        <v>0</v>
      </c>
    </row>
    <row r="136" spans="1:34" x14ac:dyDescent="0.3">
      <c r="A136" s="146" t="s">
        <v>33</v>
      </c>
      <c r="B136" s="107">
        <f>J136+L136+N136+P136+R136+T136+V136+X136+Z136+AB136+AD136+H136</f>
        <v>0</v>
      </c>
      <c r="C136" s="107">
        <f>SUM(H136)</f>
        <v>0</v>
      </c>
      <c r="D136" s="107">
        <f>E136</f>
        <v>0</v>
      </c>
      <c r="E136" s="107">
        <f>SUM(I136,K136,M136,O136,Q136,S136,U136,W136,Y136,AA136,AC136,AE136)</f>
        <v>0</v>
      </c>
      <c r="F136" s="107">
        <f>IFERROR(E136/B136*100,0)</f>
        <v>0</v>
      </c>
      <c r="G136" s="107">
        <f>IFERROR(E136/C136*100,0)</f>
        <v>0</v>
      </c>
      <c r="H136" s="107"/>
      <c r="I136" s="107"/>
      <c r="J136" s="107"/>
      <c r="K136" s="107"/>
      <c r="L136" s="107"/>
      <c r="M136" s="107"/>
      <c r="N136" s="107"/>
      <c r="O136" s="107"/>
      <c r="P136" s="107"/>
      <c r="Q136" s="107"/>
      <c r="R136" s="107"/>
      <c r="S136" s="107"/>
      <c r="T136" s="107"/>
      <c r="U136" s="107"/>
      <c r="V136" s="107"/>
      <c r="W136" s="107"/>
      <c r="X136" s="107"/>
      <c r="Y136" s="107"/>
      <c r="Z136" s="107"/>
      <c r="AA136" s="107"/>
      <c r="AB136" s="107"/>
      <c r="AC136" s="107"/>
      <c r="AD136" s="107"/>
      <c r="AE136" s="107"/>
      <c r="AF136" s="101"/>
      <c r="AG136" s="102">
        <f t="shared" si="30"/>
        <v>0</v>
      </c>
      <c r="AH136" s="155">
        <f t="shared" si="31"/>
        <v>0</v>
      </c>
    </row>
    <row r="137" spans="1:34" x14ac:dyDescent="0.3">
      <c r="A137" s="146" t="s">
        <v>170</v>
      </c>
      <c r="B137" s="107">
        <f>J137+L137+N137+P137+R137+T137+V137+X137+Z137+AB137+AD137+H137</f>
        <v>0</v>
      </c>
      <c r="C137" s="107">
        <f>SUM(H137)</f>
        <v>0</v>
      </c>
      <c r="D137" s="107">
        <f>E137</f>
        <v>0</v>
      </c>
      <c r="E137" s="107">
        <f>SUM(I137,K137,M137,O137,Q137,S137,U137,W137,Y137,AA137,AC137,AE137)</f>
        <v>0</v>
      </c>
      <c r="F137" s="107"/>
      <c r="G137" s="107"/>
      <c r="H137" s="107"/>
      <c r="I137" s="107"/>
      <c r="J137" s="107"/>
      <c r="K137" s="107"/>
      <c r="L137" s="107"/>
      <c r="M137" s="107"/>
      <c r="N137" s="107"/>
      <c r="O137" s="107"/>
      <c r="P137" s="107"/>
      <c r="Q137" s="107"/>
      <c r="R137" s="107"/>
      <c r="S137" s="107"/>
      <c r="T137" s="107"/>
      <c r="U137" s="107"/>
      <c r="V137" s="107"/>
      <c r="W137" s="107"/>
      <c r="X137" s="107"/>
      <c r="Y137" s="107"/>
      <c r="Z137" s="107"/>
      <c r="AA137" s="107"/>
      <c r="AB137" s="107"/>
      <c r="AC137" s="107"/>
      <c r="AD137" s="107"/>
      <c r="AE137" s="107"/>
      <c r="AF137" s="101"/>
      <c r="AG137" s="102">
        <f t="shared" si="30"/>
        <v>0</v>
      </c>
      <c r="AH137" s="155">
        <f t="shared" si="31"/>
        <v>0</v>
      </c>
    </row>
    <row r="138" spans="1:34" x14ac:dyDescent="0.3">
      <c r="A138" s="148" t="s">
        <v>217</v>
      </c>
      <c r="B138" s="796">
        <f ca="1">B139+B140+B141+B142</f>
        <v>298207.75417999999</v>
      </c>
      <c r="C138" s="796">
        <f ca="1">C139+C140+C141</f>
        <v>105652.65931999998</v>
      </c>
      <c r="D138" s="149">
        <f ca="1">D139+D140+D141</f>
        <v>123372.56000000003</v>
      </c>
      <c r="E138" s="796">
        <f ca="1">E139+E140+E141</f>
        <v>123372.56000000003</v>
      </c>
      <c r="F138" s="149">
        <f t="shared" ref="F138:F152" ca="1" si="41">IFERROR(E138/B138*100,0)</f>
        <v>41.371345402887009</v>
      </c>
      <c r="G138" s="149">
        <f t="shared" ref="G138:G152" ca="1" si="42">IFERROR(E138/C138*100,0)</f>
        <v>116.7718453979754</v>
      </c>
      <c r="H138" s="149">
        <f t="shared" ref="H138:AE138" ca="1" si="43">H139+H140+H141+H142</f>
        <v>44037.336600000002</v>
      </c>
      <c r="I138" s="149">
        <f t="shared" ca="1" si="43"/>
        <v>45180.282999999996</v>
      </c>
      <c r="J138" s="149">
        <f t="shared" ca="1" si="43"/>
        <v>33621.776099999988</v>
      </c>
      <c r="K138" s="149">
        <f t="shared" ca="1" si="43"/>
        <v>22511.485999999994</v>
      </c>
      <c r="L138" s="149">
        <f t="shared" ca="1" si="43"/>
        <v>27917.556619999999</v>
      </c>
      <c r="M138" s="149">
        <f t="shared" ca="1" si="43"/>
        <v>21624.206999999999</v>
      </c>
      <c r="N138" s="149">
        <f t="shared" ca="1" si="43"/>
        <v>31811.3681</v>
      </c>
      <c r="O138" s="149">
        <f t="shared" ca="1" si="43"/>
        <v>20540.434000000001</v>
      </c>
      <c r="P138" s="149">
        <f t="shared" ca="1" si="43"/>
        <v>30051.880999999994</v>
      </c>
      <c r="Q138" s="149">
        <f t="shared" ca="1" si="43"/>
        <v>14924.760000000002</v>
      </c>
      <c r="R138" s="149">
        <f t="shared" ca="1" si="43"/>
        <v>24939.145660000002</v>
      </c>
      <c r="S138" s="149">
        <f t="shared" ca="1" si="43"/>
        <v>0</v>
      </c>
      <c r="T138" s="149">
        <f t="shared" ca="1" si="43"/>
        <v>19852.039799999999</v>
      </c>
      <c r="U138" s="149">
        <f t="shared" ca="1" si="43"/>
        <v>0</v>
      </c>
      <c r="V138" s="149">
        <f t="shared" ca="1" si="43"/>
        <v>18274.712800000001</v>
      </c>
      <c r="W138" s="149">
        <f t="shared" ca="1" si="43"/>
        <v>0</v>
      </c>
      <c r="X138" s="149">
        <f t="shared" ca="1" si="43"/>
        <v>14365.533460000001</v>
      </c>
      <c r="Y138" s="149">
        <f t="shared" ca="1" si="43"/>
        <v>0</v>
      </c>
      <c r="Z138" s="149">
        <f t="shared" ca="1" si="43"/>
        <v>18109.728160000002</v>
      </c>
      <c r="AA138" s="149">
        <f t="shared" ca="1" si="43"/>
        <v>0</v>
      </c>
      <c r="AB138" s="149">
        <f t="shared" ca="1" si="43"/>
        <v>16560.870159999999</v>
      </c>
      <c r="AC138" s="149">
        <f t="shared" ca="1" si="43"/>
        <v>0</v>
      </c>
      <c r="AD138" s="149">
        <f t="shared" ca="1" si="43"/>
        <v>18864.705719999998</v>
      </c>
      <c r="AE138" s="149">
        <f t="shared" ca="1" si="43"/>
        <v>0</v>
      </c>
      <c r="AF138" s="149"/>
      <c r="AG138" s="102">
        <f t="shared" ca="1" si="30"/>
        <v>-198.90000000000146</v>
      </c>
      <c r="AH138" s="155">
        <f t="shared" ca="1" si="31"/>
        <v>-17719.90068000005</v>
      </c>
    </row>
    <row r="139" spans="1:34" x14ac:dyDescent="0.3">
      <c r="A139" s="150" t="s">
        <v>169</v>
      </c>
      <c r="B139" s="151">
        <f t="shared" ref="B139:E141" ca="1" si="44">B26+B62+B74+B100+B106+B114+B122+B80+B13+B128+B134</f>
        <v>0</v>
      </c>
      <c r="C139" s="151">
        <f t="shared" ca="1" si="44"/>
        <v>0</v>
      </c>
      <c r="D139" s="151">
        <f t="shared" ca="1" si="44"/>
        <v>0</v>
      </c>
      <c r="E139" s="151">
        <f t="shared" ca="1" si="44"/>
        <v>0</v>
      </c>
      <c r="F139" s="151">
        <f t="shared" ca="1" si="41"/>
        <v>0</v>
      </c>
      <c r="G139" s="151">
        <f t="shared" ca="1" si="42"/>
        <v>0</v>
      </c>
      <c r="H139" s="151">
        <f t="shared" ref="H139:AE139" ca="1" si="45">H26+H62+H74+H100+H106+H114+H122+H80+H13+H128+H134</f>
        <v>0</v>
      </c>
      <c r="I139" s="151">
        <f t="shared" ca="1" si="45"/>
        <v>0</v>
      </c>
      <c r="J139" s="151">
        <f t="shared" ca="1" si="45"/>
        <v>0</v>
      </c>
      <c r="K139" s="151">
        <f t="shared" ca="1" si="45"/>
        <v>0</v>
      </c>
      <c r="L139" s="151">
        <f t="shared" ca="1" si="45"/>
        <v>0</v>
      </c>
      <c r="M139" s="151">
        <f t="shared" ca="1" si="45"/>
        <v>0</v>
      </c>
      <c r="N139" s="151">
        <f t="shared" ca="1" si="45"/>
        <v>0</v>
      </c>
      <c r="O139" s="151">
        <f t="shared" ca="1" si="45"/>
        <v>0</v>
      </c>
      <c r="P139" s="151">
        <f t="shared" ca="1" si="45"/>
        <v>0</v>
      </c>
      <c r="Q139" s="151">
        <f t="shared" ca="1" si="45"/>
        <v>0</v>
      </c>
      <c r="R139" s="151">
        <f t="shared" ca="1" si="45"/>
        <v>0</v>
      </c>
      <c r="S139" s="151">
        <f t="shared" ca="1" si="45"/>
        <v>0</v>
      </c>
      <c r="T139" s="151">
        <f t="shared" ca="1" si="45"/>
        <v>0</v>
      </c>
      <c r="U139" s="151">
        <f t="shared" ca="1" si="45"/>
        <v>0</v>
      </c>
      <c r="V139" s="151">
        <f t="shared" ca="1" si="45"/>
        <v>0</v>
      </c>
      <c r="W139" s="151">
        <f t="shared" ca="1" si="45"/>
        <v>0</v>
      </c>
      <c r="X139" s="151">
        <f t="shared" ca="1" si="45"/>
        <v>0</v>
      </c>
      <c r="Y139" s="151">
        <f t="shared" ca="1" si="45"/>
        <v>0</v>
      </c>
      <c r="Z139" s="151">
        <f t="shared" ca="1" si="45"/>
        <v>0</v>
      </c>
      <c r="AA139" s="151">
        <f t="shared" ca="1" si="45"/>
        <v>0</v>
      </c>
      <c r="AB139" s="151">
        <f t="shared" ca="1" si="45"/>
        <v>0</v>
      </c>
      <c r="AC139" s="151">
        <f t="shared" ca="1" si="45"/>
        <v>0</v>
      </c>
      <c r="AD139" s="151">
        <f t="shared" ca="1" si="45"/>
        <v>0</v>
      </c>
      <c r="AE139" s="151">
        <f t="shared" ca="1" si="45"/>
        <v>0</v>
      </c>
      <c r="AF139" s="151"/>
      <c r="AG139" s="102">
        <f t="shared" ca="1" si="30"/>
        <v>0</v>
      </c>
      <c r="AH139" s="155">
        <f t="shared" ca="1" si="31"/>
        <v>0</v>
      </c>
    </row>
    <row r="140" spans="1:34" x14ac:dyDescent="0.3">
      <c r="A140" s="150" t="s">
        <v>32</v>
      </c>
      <c r="B140" s="797">
        <f t="shared" ca="1" si="44"/>
        <v>10029.184999999999</v>
      </c>
      <c r="C140" s="151">
        <f t="shared" ca="1" si="44"/>
        <v>448.45</v>
      </c>
      <c r="D140" s="151">
        <f t="shared" ca="1" si="44"/>
        <v>4410.82</v>
      </c>
      <c r="E140" s="151">
        <f t="shared" ca="1" si="44"/>
        <v>4410.82</v>
      </c>
      <c r="F140" s="151">
        <f t="shared" ca="1" si="41"/>
        <v>43.979844822884409</v>
      </c>
      <c r="G140" s="151">
        <f t="shared" ca="1" si="42"/>
        <v>983.57007470175051</v>
      </c>
      <c r="H140" s="151">
        <f t="shared" ref="H140:AE140" ca="1" si="46">H27+H63+H75+H101+H107+H115+H123+H81+H14+H129+H135</f>
        <v>0</v>
      </c>
      <c r="I140" s="151">
        <f t="shared" ca="1" si="46"/>
        <v>0</v>
      </c>
      <c r="J140" s="151">
        <f t="shared" ca="1" si="46"/>
        <v>0</v>
      </c>
      <c r="K140" s="151">
        <f t="shared" ca="1" si="46"/>
        <v>0</v>
      </c>
      <c r="L140" s="151">
        <f t="shared" ca="1" si="46"/>
        <v>372.46</v>
      </c>
      <c r="M140" s="151">
        <f t="shared" ca="1" si="46"/>
        <v>372.46</v>
      </c>
      <c r="N140" s="151">
        <f t="shared" ca="1" si="46"/>
        <v>1545.22</v>
      </c>
      <c r="O140" s="151">
        <f t="shared" ca="1" si="46"/>
        <v>1545.22</v>
      </c>
      <c r="P140" s="151">
        <f t="shared" ca="1" si="46"/>
        <v>3310.64</v>
      </c>
      <c r="Q140" s="151">
        <f t="shared" ca="1" si="46"/>
        <v>3901.75</v>
      </c>
      <c r="R140" s="151">
        <f t="shared" ca="1" si="46"/>
        <v>3525.7</v>
      </c>
      <c r="S140" s="151">
        <f t="shared" ca="1" si="46"/>
        <v>0</v>
      </c>
      <c r="T140" s="151">
        <f t="shared" ca="1" si="46"/>
        <v>650.6</v>
      </c>
      <c r="U140" s="151">
        <f t="shared" ca="1" si="46"/>
        <v>0</v>
      </c>
      <c r="V140" s="151">
        <f t="shared" ca="1" si="46"/>
        <v>223.95</v>
      </c>
      <c r="W140" s="151">
        <f t="shared" ca="1" si="46"/>
        <v>0</v>
      </c>
      <c r="X140" s="151">
        <f t="shared" ca="1" si="46"/>
        <v>0</v>
      </c>
      <c r="Y140" s="151">
        <f t="shared" ca="1" si="46"/>
        <v>0</v>
      </c>
      <c r="Z140" s="151">
        <f t="shared" ca="1" si="46"/>
        <v>246.95249999999999</v>
      </c>
      <c r="AA140" s="151">
        <f t="shared" ca="1" si="46"/>
        <v>0</v>
      </c>
      <c r="AB140" s="151">
        <f t="shared" ca="1" si="46"/>
        <v>153.66249999999999</v>
      </c>
      <c r="AC140" s="151">
        <f t="shared" ca="1" si="46"/>
        <v>0</v>
      </c>
      <c r="AD140" s="151">
        <f t="shared" ca="1" si="46"/>
        <v>0</v>
      </c>
      <c r="AE140" s="151">
        <f t="shared" ca="1" si="46"/>
        <v>0</v>
      </c>
      <c r="AF140" s="151"/>
      <c r="AG140" s="102">
        <f t="shared" ca="1" si="30"/>
        <v>-2.8421709430404007E-14</v>
      </c>
      <c r="AH140" s="155">
        <f t="shared" ca="1" si="31"/>
        <v>-3962.37</v>
      </c>
    </row>
    <row r="141" spans="1:34" x14ac:dyDescent="0.3">
      <c r="A141" s="150" t="s">
        <v>33</v>
      </c>
      <c r="B141" s="797">
        <f t="shared" ca="1" si="44"/>
        <v>288178.56917999999</v>
      </c>
      <c r="C141" s="151">
        <f t="shared" ca="1" si="44"/>
        <v>105204.20931999998</v>
      </c>
      <c r="D141" s="151">
        <f t="shared" ca="1" si="44"/>
        <v>118961.74000000002</v>
      </c>
      <c r="E141" s="151">
        <f t="shared" ca="1" si="44"/>
        <v>118961.74000000002</v>
      </c>
      <c r="F141" s="151">
        <f t="shared" ca="1" si="41"/>
        <v>41.28056445644124</v>
      </c>
      <c r="G141" s="151">
        <f t="shared" ca="1" si="42"/>
        <v>113.07697740320799</v>
      </c>
      <c r="H141" s="151">
        <f t="shared" ref="H141:AE141" ca="1" si="47">H28+H64+H76+H102+H108+H116+H124+H82+H15+H130+H136</f>
        <v>44037.336600000002</v>
      </c>
      <c r="I141" s="151">
        <f t="shared" ca="1" si="47"/>
        <v>45180.282999999996</v>
      </c>
      <c r="J141" s="151">
        <f t="shared" ca="1" si="47"/>
        <v>33621.776099999988</v>
      </c>
      <c r="K141" s="151">
        <f t="shared" ca="1" si="47"/>
        <v>22511.485999999994</v>
      </c>
      <c r="L141" s="151">
        <f t="shared" si="47"/>
        <v>27545.09662</v>
      </c>
      <c r="M141" s="151">
        <f t="shared" si="47"/>
        <v>21251.746999999999</v>
      </c>
      <c r="N141" s="151">
        <f t="shared" si="47"/>
        <v>30067.248099999997</v>
      </c>
      <c r="O141" s="151">
        <f t="shared" si="47"/>
        <v>18995.214</v>
      </c>
      <c r="P141" s="151">
        <f t="shared" si="47"/>
        <v>26741.240999999995</v>
      </c>
      <c r="Q141" s="151">
        <f t="shared" si="47"/>
        <v>11023.010000000002</v>
      </c>
      <c r="R141" s="151">
        <f t="shared" si="47"/>
        <v>21413.445660000001</v>
      </c>
      <c r="S141" s="151">
        <f t="shared" si="47"/>
        <v>0</v>
      </c>
      <c r="T141" s="151">
        <f t="shared" si="47"/>
        <v>19201.4398</v>
      </c>
      <c r="U141" s="151">
        <f t="shared" si="47"/>
        <v>0</v>
      </c>
      <c r="V141" s="151">
        <f t="shared" si="47"/>
        <v>18050.7628</v>
      </c>
      <c r="W141" s="151">
        <f t="shared" si="47"/>
        <v>0</v>
      </c>
      <c r="X141" s="151">
        <f t="shared" si="47"/>
        <v>14365.533460000001</v>
      </c>
      <c r="Y141" s="151">
        <f t="shared" si="47"/>
        <v>0</v>
      </c>
      <c r="Z141" s="151">
        <f t="shared" si="47"/>
        <v>17862.775660000003</v>
      </c>
      <c r="AA141" s="151">
        <f t="shared" si="47"/>
        <v>0</v>
      </c>
      <c r="AB141" s="151">
        <f t="shared" si="47"/>
        <v>16407.20766</v>
      </c>
      <c r="AC141" s="151">
        <f t="shared" si="47"/>
        <v>0</v>
      </c>
      <c r="AD141" s="151">
        <f t="shared" si="47"/>
        <v>18864.705719999998</v>
      </c>
      <c r="AE141" s="151">
        <f t="shared" si="47"/>
        <v>0</v>
      </c>
      <c r="AF141" s="151"/>
      <c r="AG141" s="102">
        <f t="shared" ca="1" si="30"/>
        <v>0</v>
      </c>
      <c r="AH141" s="155">
        <f t="shared" ca="1" si="31"/>
        <v>-13757.53068000004</v>
      </c>
    </row>
    <row r="142" spans="1:34" x14ac:dyDescent="0.3">
      <c r="A142" s="152" t="s">
        <v>170</v>
      </c>
      <c r="B142" s="151">
        <f>B29+B65+B77+B103+B109+B117+B125+B83+B16+B131+B137</f>
        <v>0</v>
      </c>
      <c r="C142" s="151">
        <f ca="1">C29+C65+C77+C103+C109+C117+C125+C83+C16+C131+C137</f>
        <v>0</v>
      </c>
      <c r="D142" s="151">
        <f>D29+D65+D77+D103+D109+D117+D125+D83+D16+D131+D137</f>
        <v>0</v>
      </c>
      <c r="E142" s="151">
        <f>E29+E65+E77+E103+E109+E117+E125+E83+E16+E131+E137</f>
        <v>0</v>
      </c>
      <c r="F142" s="151">
        <f t="shared" si="41"/>
        <v>0</v>
      </c>
      <c r="G142" s="151">
        <f t="shared" ca="1" si="42"/>
        <v>0</v>
      </c>
      <c r="H142" s="151">
        <f t="shared" ref="H142:AE142" ca="1" si="48">H29+H65+H77+H103+H109+H117+H125+H83+H16+H131+H137</f>
        <v>0</v>
      </c>
      <c r="I142" s="151">
        <f t="shared" ca="1" si="48"/>
        <v>0</v>
      </c>
      <c r="J142" s="151">
        <f t="shared" ca="1" si="48"/>
        <v>0</v>
      </c>
      <c r="K142" s="151">
        <f t="shared" ca="1" si="48"/>
        <v>0</v>
      </c>
      <c r="L142" s="151">
        <f t="shared" si="48"/>
        <v>0</v>
      </c>
      <c r="M142" s="151">
        <f t="shared" si="48"/>
        <v>0</v>
      </c>
      <c r="N142" s="151">
        <f t="shared" si="48"/>
        <v>198.9</v>
      </c>
      <c r="O142" s="151">
        <f t="shared" si="48"/>
        <v>0</v>
      </c>
      <c r="P142" s="151">
        <f t="shared" si="48"/>
        <v>0</v>
      </c>
      <c r="Q142" s="151">
        <f t="shared" si="48"/>
        <v>0</v>
      </c>
      <c r="R142" s="151">
        <f t="shared" si="48"/>
        <v>0</v>
      </c>
      <c r="S142" s="151">
        <f t="shared" si="48"/>
        <v>0</v>
      </c>
      <c r="T142" s="151">
        <f t="shared" si="48"/>
        <v>0</v>
      </c>
      <c r="U142" s="151">
        <f t="shared" si="48"/>
        <v>0</v>
      </c>
      <c r="V142" s="151">
        <f t="shared" si="48"/>
        <v>0</v>
      </c>
      <c r="W142" s="151">
        <f t="shared" si="48"/>
        <v>0</v>
      </c>
      <c r="X142" s="151">
        <f t="shared" si="48"/>
        <v>0</v>
      </c>
      <c r="Y142" s="151">
        <f t="shared" si="48"/>
        <v>0</v>
      </c>
      <c r="Z142" s="151">
        <f t="shared" si="48"/>
        <v>0</v>
      </c>
      <c r="AA142" s="151">
        <f t="shared" si="48"/>
        <v>0</v>
      </c>
      <c r="AB142" s="151">
        <f t="shared" si="48"/>
        <v>0</v>
      </c>
      <c r="AC142" s="151">
        <f t="shared" si="48"/>
        <v>0</v>
      </c>
      <c r="AD142" s="151">
        <f t="shared" si="48"/>
        <v>0</v>
      </c>
      <c r="AE142" s="151">
        <f t="shared" si="48"/>
        <v>0</v>
      </c>
      <c r="AF142" s="151"/>
      <c r="AG142" s="102">
        <f t="shared" ca="1" si="30"/>
        <v>-198.9</v>
      </c>
      <c r="AH142" s="155">
        <f t="shared" ca="1" si="31"/>
        <v>0</v>
      </c>
    </row>
    <row r="143" spans="1:34" ht="37.5" x14ac:dyDescent="0.3">
      <c r="A143" s="148" t="s">
        <v>218</v>
      </c>
      <c r="B143" s="104">
        <f ca="1">B144+B145+B146+B147</f>
        <v>15871.8</v>
      </c>
      <c r="C143" s="104">
        <f ca="1">C144+C145+C146+C147</f>
        <v>0</v>
      </c>
      <c r="D143" s="104">
        <f ca="1">D144+D145+D146+D147</f>
        <v>0</v>
      </c>
      <c r="E143" s="104">
        <f ca="1">E144+E145+E146+E147</f>
        <v>0</v>
      </c>
      <c r="F143" s="105">
        <f t="shared" ca="1" si="41"/>
        <v>0</v>
      </c>
      <c r="G143" s="105">
        <f t="shared" ca="1" si="42"/>
        <v>0</v>
      </c>
      <c r="H143" s="105">
        <f t="shared" ref="H143:U144" ca="1" si="49">IFERROR(F143/D143*100,0)</f>
        <v>0</v>
      </c>
      <c r="I143" s="105">
        <f t="shared" ca="1" si="49"/>
        <v>0</v>
      </c>
      <c r="J143" s="105">
        <f t="shared" ca="1" si="49"/>
        <v>0</v>
      </c>
      <c r="K143" s="105">
        <f t="shared" ca="1" si="49"/>
        <v>0</v>
      </c>
      <c r="L143" s="105">
        <f t="shared" ca="1" si="49"/>
        <v>0</v>
      </c>
      <c r="M143" s="105">
        <f t="shared" ca="1" si="49"/>
        <v>0</v>
      </c>
      <c r="N143" s="105">
        <f t="shared" ca="1" si="49"/>
        <v>0</v>
      </c>
      <c r="O143" s="105">
        <f t="shared" ca="1" si="49"/>
        <v>0</v>
      </c>
      <c r="P143" s="105">
        <f t="shared" ca="1" si="49"/>
        <v>0</v>
      </c>
      <c r="Q143" s="105">
        <f t="shared" ca="1" si="49"/>
        <v>0</v>
      </c>
      <c r="R143" s="105">
        <f t="shared" ca="1" si="49"/>
        <v>0</v>
      </c>
      <c r="S143" s="105">
        <f t="shared" ca="1" si="49"/>
        <v>0</v>
      </c>
      <c r="T143" s="105">
        <f t="shared" ca="1" si="49"/>
        <v>0</v>
      </c>
      <c r="U143" s="105">
        <f t="shared" ca="1" si="49"/>
        <v>0</v>
      </c>
      <c r="V143" s="105">
        <f ca="1">SUM(V144:V147)</f>
        <v>10212.799999999999</v>
      </c>
      <c r="W143" s="105">
        <f ca="1">IFERROR(U143/S143*100,0)</f>
        <v>0</v>
      </c>
      <c r="X143" s="105">
        <f ca="1">SUM(X144:X147)</f>
        <v>1859</v>
      </c>
      <c r="Y143" s="105">
        <f t="shared" ref="Y143:AE145" ca="1" si="50">IFERROR(W143/U143*100,0)</f>
        <v>0</v>
      </c>
      <c r="Z143" s="105">
        <f t="shared" ca="1" si="50"/>
        <v>18.20264765784114</v>
      </c>
      <c r="AA143" s="105">
        <f t="shared" ca="1" si="50"/>
        <v>0</v>
      </c>
      <c r="AB143" s="105">
        <f t="shared" ca="1" si="50"/>
        <v>0.97916340278865732</v>
      </c>
      <c r="AC143" s="105">
        <f t="shared" ca="1" si="50"/>
        <v>0</v>
      </c>
      <c r="AD143" s="105">
        <f t="shared" ca="1" si="50"/>
        <v>5.3792361484669176</v>
      </c>
      <c r="AE143" s="105">
        <f t="shared" ca="1" si="50"/>
        <v>0</v>
      </c>
      <c r="AF143" s="101"/>
      <c r="AG143" s="102">
        <f t="shared" ca="1" si="30"/>
        <v>3775.4389527909029</v>
      </c>
      <c r="AH143" s="155">
        <f t="shared" ca="1" si="31"/>
        <v>0</v>
      </c>
    </row>
    <row r="144" spans="1:34" x14ac:dyDescent="0.3">
      <c r="A144" s="150" t="s">
        <v>169</v>
      </c>
      <c r="B144" s="107">
        <f ca="1">J144+L144+N144+P144+R144+T144+V144+X144+Z144+AB144+AD144+H144</f>
        <v>0</v>
      </c>
      <c r="C144" s="107">
        <f ca="1">SUM(H144)</f>
        <v>0</v>
      </c>
      <c r="D144" s="107">
        <f ca="1">E144</f>
        <v>0</v>
      </c>
      <c r="E144" s="107">
        <f ca="1">SUM(I144,K144,M144,O144,Q144,S144,U144,W144,Y144,AA144,AC144,AE144)</f>
        <v>0</v>
      </c>
      <c r="F144" s="107">
        <f t="shared" ca="1" si="41"/>
        <v>0</v>
      </c>
      <c r="G144" s="107">
        <f t="shared" ca="1" si="42"/>
        <v>0</v>
      </c>
      <c r="H144" s="107">
        <f t="shared" ca="1" si="49"/>
        <v>0</v>
      </c>
      <c r="I144" s="107">
        <f t="shared" ca="1" si="49"/>
        <v>0</v>
      </c>
      <c r="J144" s="107">
        <f t="shared" ca="1" si="49"/>
        <v>0</v>
      </c>
      <c r="K144" s="107">
        <f t="shared" ca="1" si="49"/>
        <v>0</v>
      </c>
      <c r="L144" s="107">
        <f t="shared" ca="1" si="49"/>
        <v>0</v>
      </c>
      <c r="M144" s="107">
        <f t="shared" ca="1" si="49"/>
        <v>0</v>
      </c>
      <c r="N144" s="107">
        <f t="shared" ca="1" si="49"/>
        <v>0</v>
      </c>
      <c r="O144" s="107">
        <f t="shared" ca="1" si="49"/>
        <v>0</v>
      </c>
      <c r="P144" s="107">
        <f t="shared" ca="1" si="49"/>
        <v>0</v>
      </c>
      <c r="Q144" s="107">
        <f t="shared" ca="1" si="49"/>
        <v>0</v>
      </c>
      <c r="R144" s="107">
        <f t="shared" ca="1" si="49"/>
        <v>0</v>
      </c>
      <c r="S144" s="107">
        <f t="shared" ca="1" si="49"/>
        <v>0</v>
      </c>
      <c r="T144" s="107">
        <f t="shared" ca="1" si="49"/>
        <v>0</v>
      </c>
      <c r="U144" s="107">
        <f t="shared" ca="1" si="49"/>
        <v>0</v>
      </c>
      <c r="V144" s="107">
        <f ca="1">IFERROR(T144/R144*100,0)</f>
        <v>0</v>
      </c>
      <c r="W144" s="107">
        <f ca="1">IFERROR(U144/S144*100,0)</f>
        <v>0</v>
      </c>
      <c r="X144" s="107">
        <f ca="1">IFERROR(V144/T144*100,0)</f>
        <v>0</v>
      </c>
      <c r="Y144" s="107">
        <f t="shared" ca="1" si="50"/>
        <v>0</v>
      </c>
      <c r="Z144" s="107">
        <f t="shared" ca="1" si="50"/>
        <v>0</v>
      </c>
      <c r="AA144" s="107">
        <f t="shared" ca="1" si="50"/>
        <v>0</v>
      </c>
      <c r="AB144" s="107">
        <f t="shared" ca="1" si="50"/>
        <v>0</v>
      </c>
      <c r="AC144" s="107">
        <f t="shared" ca="1" si="50"/>
        <v>0</v>
      </c>
      <c r="AD144" s="107">
        <f t="shared" ca="1" si="50"/>
        <v>0</v>
      </c>
      <c r="AE144" s="107">
        <f t="shared" ca="1" si="50"/>
        <v>0</v>
      </c>
      <c r="AF144" s="101"/>
      <c r="AG144" s="102">
        <f t="shared" ca="1" si="30"/>
        <v>0</v>
      </c>
      <c r="AH144" s="155">
        <f t="shared" ca="1" si="31"/>
        <v>0</v>
      </c>
    </row>
    <row r="145" spans="1:34" x14ac:dyDescent="0.3">
      <c r="A145" s="150" t="s">
        <v>32</v>
      </c>
      <c r="B145" s="107">
        <f ca="1">J145+L145+N145+P145+R145+T145+V145+X145+Z145+AB145+AD145+H145</f>
        <v>10000</v>
      </c>
      <c r="C145" s="107">
        <f ca="1">SUM(H145)</f>
        <v>0</v>
      </c>
      <c r="D145" s="107">
        <f ca="1">E145</f>
        <v>0</v>
      </c>
      <c r="E145" s="107">
        <f ca="1">SUM(I145,K145,M145,O145,Q145,S145,U145,W145,Y145,AA145,AC145,AE145)</f>
        <v>0</v>
      </c>
      <c r="F145" s="107">
        <f t="shared" ca="1" si="41"/>
        <v>0</v>
      </c>
      <c r="G145" s="107">
        <f t="shared" ca="1" si="42"/>
        <v>0</v>
      </c>
      <c r="H145" s="107">
        <f t="shared" ref="H145:O147" ca="1" si="51">IFERROR(F145/D145*100,0)</f>
        <v>0</v>
      </c>
      <c r="I145" s="107">
        <f t="shared" ca="1" si="51"/>
        <v>0</v>
      </c>
      <c r="J145" s="107">
        <f t="shared" ca="1" si="51"/>
        <v>0</v>
      </c>
      <c r="K145" s="107">
        <f t="shared" ca="1" si="51"/>
        <v>0</v>
      </c>
      <c r="L145" s="107">
        <f t="shared" ca="1" si="51"/>
        <v>0</v>
      </c>
      <c r="M145" s="107">
        <f t="shared" ca="1" si="51"/>
        <v>0</v>
      </c>
      <c r="N145" s="107">
        <f t="shared" ca="1" si="51"/>
        <v>0</v>
      </c>
      <c r="O145" s="107">
        <f t="shared" ca="1" si="51"/>
        <v>0</v>
      </c>
      <c r="P145" s="107">
        <v>0</v>
      </c>
      <c r="Q145" s="107">
        <f t="shared" ref="Q145:S147" ca="1" si="52">IFERROR(O145/M145*100,0)</f>
        <v>0</v>
      </c>
      <c r="R145" s="107">
        <f t="shared" ca="1" si="52"/>
        <v>0</v>
      </c>
      <c r="S145" s="107">
        <f t="shared" ca="1" si="52"/>
        <v>0</v>
      </c>
      <c r="T145" s="107">
        <v>0</v>
      </c>
      <c r="U145" s="107">
        <f ca="1">IFERROR(S145/Q145*100,0)</f>
        <v>0</v>
      </c>
      <c r="V145" s="107">
        <v>10000</v>
      </c>
      <c r="W145" s="107">
        <f ca="1">IFERROR(U145/S145*100,0)</f>
        <v>0</v>
      </c>
      <c r="X145" s="107">
        <f>IFERROR(V145/T145*100,0)</f>
        <v>0</v>
      </c>
      <c r="Y145" s="107">
        <f t="shared" ca="1" si="50"/>
        <v>0</v>
      </c>
      <c r="Z145" s="107">
        <f t="shared" si="50"/>
        <v>0</v>
      </c>
      <c r="AA145" s="107">
        <f t="shared" ca="1" si="50"/>
        <v>0</v>
      </c>
      <c r="AB145" s="107">
        <f t="shared" si="50"/>
        <v>0</v>
      </c>
      <c r="AC145" s="107">
        <f t="shared" ca="1" si="50"/>
        <v>0</v>
      </c>
      <c r="AD145" s="107">
        <f t="shared" si="50"/>
        <v>0</v>
      </c>
      <c r="AE145" s="107">
        <f t="shared" ca="1" si="50"/>
        <v>0</v>
      </c>
      <c r="AF145" s="101"/>
      <c r="AG145" s="102">
        <f t="shared" ca="1" si="30"/>
        <v>0</v>
      </c>
      <c r="AH145" s="155">
        <f t="shared" ca="1" si="31"/>
        <v>0</v>
      </c>
    </row>
    <row r="146" spans="1:34" x14ac:dyDescent="0.3">
      <c r="A146" s="150" t="s">
        <v>33</v>
      </c>
      <c r="B146" s="107">
        <f ca="1">J146+L146+N146+P146+R146+T146+V146+X146+Z146+AB146+AD146+H146</f>
        <v>5059.3</v>
      </c>
      <c r="C146" s="107">
        <f ca="1">SUM(H146)</f>
        <v>0</v>
      </c>
      <c r="D146" s="107">
        <f ca="1">E146</f>
        <v>0</v>
      </c>
      <c r="E146" s="107">
        <f ca="1">SUM(I146,K146,M146,O146,Q146,S146,U146,W146,Y146,AA146,AC146,AE146)</f>
        <v>0</v>
      </c>
      <c r="F146" s="107">
        <f t="shared" ca="1" si="41"/>
        <v>0</v>
      </c>
      <c r="G146" s="107">
        <f t="shared" ca="1" si="42"/>
        <v>0</v>
      </c>
      <c r="H146" s="107">
        <f t="shared" ca="1" si="51"/>
        <v>0</v>
      </c>
      <c r="I146" s="107">
        <f t="shared" ca="1" si="51"/>
        <v>0</v>
      </c>
      <c r="J146" s="107">
        <f t="shared" ca="1" si="51"/>
        <v>0</v>
      </c>
      <c r="K146" s="107">
        <f t="shared" ca="1" si="51"/>
        <v>0</v>
      </c>
      <c r="L146" s="107">
        <f t="shared" ca="1" si="51"/>
        <v>0</v>
      </c>
      <c r="M146" s="107">
        <f t="shared" ca="1" si="51"/>
        <v>0</v>
      </c>
      <c r="N146" s="107">
        <f t="shared" ca="1" si="51"/>
        <v>0</v>
      </c>
      <c r="O146" s="107">
        <f t="shared" ca="1" si="51"/>
        <v>0</v>
      </c>
      <c r="P146" s="107">
        <v>1800</v>
      </c>
      <c r="Q146" s="107">
        <f t="shared" ca="1" si="52"/>
        <v>0</v>
      </c>
      <c r="R146" s="107">
        <f t="shared" ca="1" si="52"/>
        <v>0</v>
      </c>
      <c r="S146" s="107">
        <f t="shared" ca="1" si="52"/>
        <v>0</v>
      </c>
      <c r="T146" s="107">
        <v>2000</v>
      </c>
      <c r="U146" s="107">
        <f ca="1">IFERROR(S146/Q146*100,0)</f>
        <v>0</v>
      </c>
      <c r="V146" s="107">
        <v>212.8</v>
      </c>
      <c r="W146" s="107">
        <f ca="1">IFERROR(U146/S146*100,0)</f>
        <v>0</v>
      </c>
      <c r="X146" s="107">
        <v>1046.5</v>
      </c>
      <c r="Y146" s="107">
        <f ca="1">IFERROR(W146/U146*100,0)</f>
        <v>0</v>
      </c>
      <c r="Z146" s="107">
        <v>0</v>
      </c>
      <c r="AA146" s="107">
        <f t="shared" ref="AA146:AE147" ca="1" si="53">IFERROR(Y146/W146*100,0)</f>
        <v>0</v>
      </c>
      <c r="AB146" s="107">
        <f t="shared" si="53"/>
        <v>0</v>
      </c>
      <c r="AC146" s="107">
        <f t="shared" ca="1" si="53"/>
        <v>0</v>
      </c>
      <c r="AD146" s="107">
        <f t="shared" si="53"/>
        <v>0</v>
      </c>
      <c r="AE146" s="107">
        <f t="shared" ca="1" si="53"/>
        <v>0</v>
      </c>
      <c r="AF146" s="101"/>
      <c r="AG146" s="102">
        <f t="shared" ref="AG146:AG157" ca="1" si="54">B146-H146-J146-L146-N146-P146-R146-T146-V146-X146-Z146-AB146-AD146</f>
        <v>2.2737367544323206E-13</v>
      </c>
      <c r="AH146" s="155">
        <f t="shared" ca="1" si="31"/>
        <v>0</v>
      </c>
    </row>
    <row r="147" spans="1:34" x14ac:dyDescent="0.3">
      <c r="A147" s="152" t="s">
        <v>170</v>
      </c>
      <c r="B147" s="107">
        <f ca="1">J147+L147+N147+P147+R147+T147+V147+X147+Z147+AB147+AD147+H147</f>
        <v>812.5</v>
      </c>
      <c r="C147" s="107">
        <f ca="1">SUM(H147)</f>
        <v>0</v>
      </c>
      <c r="D147" s="107">
        <f ca="1">E147</f>
        <v>0</v>
      </c>
      <c r="E147" s="107">
        <f ca="1">SUM(I147,K147,M147,O147,Q147,S147,U147,W147,Y147,AA147,AC147,AE147)</f>
        <v>0</v>
      </c>
      <c r="F147" s="107">
        <f t="shared" ca="1" si="41"/>
        <v>0</v>
      </c>
      <c r="G147" s="107">
        <f t="shared" ca="1" si="42"/>
        <v>0</v>
      </c>
      <c r="H147" s="107">
        <f t="shared" ca="1" si="51"/>
        <v>0</v>
      </c>
      <c r="I147" s="107">
        <f t="shared" ca="1" si="51"/>
        <v>0</v>
      </c>
      <c r="J147" s="107">
        <f t="shared" ca="1" si="51"/>
        <v>0</v>
      </c>
      <c r="K147" s="107">
        <f t="shared" ca="1" si="51"/>
        <v>0</v>
      </c>
      <c r="L147" s="107">
        <f t="shared" ca="1" si="51"/>
        <v>0</v>
      </c>
      <c r="M147" s="107">
        <f t="shared" ca="1" si="51"/>
        <v>0</v>
      </c>
      <c r="N147" s="107">
        <f t="shared" ca="1" si="51"/>
        <v>0</v>
      </c>
      <c r="O147" s="107">
        <f t="shared" ca="1" si="51"/>
        <v>0</v>
      </c>
      <c r="P147" s="107">
        <f ca="1">IFERROR(N147/L147*100,0)</f>
        <v>0</v>
      </c>
      <c r="Q147" s="107">
        <f t="shared" ca="1" si="52"/>
        <v>0</v>
      </c>
      <c r="R147" s="107">
        <f t="shared" ca="1" si="52"/>
        <v>0</v>
      </c>
      <c r="S147" s="107">
        <f t="shared" ca="1" si="52"/>
        <v>0</v>
      </c>
      <c r="T147" s="107">
        <f ca="1">IFERROR(R147/P147*100,0)</f>
        <v>0</v>
      </c>
      <c r="U147" s="107">
        <f ca="1">IFERROR(S147/Q147*100,0)</f>
        <v>0</v>
      </c>
      <c r="V147" s="107">
        <f ca="1">IFERROR(T147/R147*100,0)</f>
        <v>0</v>
      </c>
      <c r="W147" s="107">
        <f ca="1">IFERROR(U147/S147*100,0)</f>
        <v>0</v>
      </c>
      <c r="X147" s="107">
        <v>812.5</v>
      </c>
      <c r="Y147" s="107">
        <f ca="1">IFERROR(W147/U147*100,0)</f>
        <v>0</v>
      </c>
      <c r="Z147" s="107">
        <f ca="1">IFERROR(X147/V147*100,0)</f>
        <v>0</v>
      </c>
      <c r="AA147" s="107">
        <f t="shared" ca="1" si="53"/>
        <v>0</v>
      </c>
      <c r="AB147" s="107">
        <f t="shared" ca="1" si="53"/>
        <v>0</v>
      </c>
      <c r="AC147" s="107">
        <f t="shared" ca="1" si="53"/>
        <v>0</v>
      </c>
      <c r="AD147" s="107">
        <f t="shared" ca="1" si="53"/>
        <v>0</v>
      </c>
      <c r="AE147" s="107">
        <f t="shared" ca="1" si="53"/>
        <v>0</v>
      </c>
      <c r="AF147" s="101"/>
      <c r="AG147" s="102">
        <f t="shared" ca="1" si="54"/>
        <v>0</v>
      </c>
      <c r="AH147" s="155">
        <f t="shared" ref="AH147:AH152" ca="1" si="55">C147-E147</f>
        <v>0</v>
      </c>
    </row>
    <row r="148" spans="1:34" ht="37.5" x14ac:dyDescent="0.3">
      <c r="A148" s="148" t="s">
        <v>219</v>
      </c>
      <c r="B148" s="736">
        <f ca="1">B149+B150+B151+B152</f>
        <v>298207.75417999999</v>
      </c>
      <c r="C148" s="736">
        <f ca="1">C149+C150+C151</f>
        <v>105652.65931999998</v>
      </c>
      <c r="D148" s="149">
        <f ca="1">D149+D150+D151</f>
        <v>123372.56000000003</v>
      </c>
      <c r="E148" s="736">
        <f ca="1">E149+E150+E151</f>
        <v>123372.56000000003</v>
      </c>
      <c r="F148" s="149">
        <f t="shared" ca="1" si="41"/>
        <v>41.371345402887009</v>
      </c>
      <c r="G148" s="149">
        <f t="shared" ca="1" si="42"/>
        <v>116.7718453979754</v>
      </c>
      <c r="H148" s="149">
        <f t="shared" ref="H148:AE148" ca="1" si="56">H149+H150+H151+H152</f>
        <v>44037.336600000002</v>
      </c>
      <c r="I148" s="149">
        <f t="shared" ca="1" si="56"/>
        <v>45180.282999999996</v>
      </c>
      <c r="J148" s="149">
        <f t="shared" ca="1" si="56"/>
        <v>33621.776099999988</v>
      </c>
      <c r="K148" s="149">
        <f t="shared" ca="1" si="56"/>
        <v>22511.485999999994</v>
      </c>
      <c r="L148" s="149">
        <f t="shared" ca="1" si="56"/>
        <v>27917.556619999999</v>
      </c>
      <c r="M148" s="149">
        <f t="shared" ca="1" si="56"/>
        <v>21624.206999999999</v>
      </c>
      <c r="N148" s="149">
        <f t="shared" ca="1" si="56"/>
        <v>31811.3681</v>
      </c>
      <c r="O148" s="149">
        <f t="shared" ca="1" si="56"/>
        <v>20540.434000000001</v>
      </c>
      <c r="P148" s="149">
        <f t="shared" ca="1" si="56"/>
        <v>30051.880999999994</v>
      </c>
      <c r="Q148" s="149">
        <f t="shared" ca="1" si="56"/>
        <v>14924.760000000002</v>
      </c>
      <c r="R148" s="149">
        <f t="shared" ca="1" si="56"/>
        <v>24939.145660000002</v>
      </c>
      <c r="S148" s="149">
        <f t="shared" ca="1" si="56"/>
        <v>0</v>
      </c>
      <c r="T148" s="149">
        <f t="shared" ca="1" si="56"/>
        <v>19852.039799999999</v>
      </c>
      <c r="U148" s="149">
        <f t="shared" ca="1" si="56"/>
        <v>0</v>
      </c>
      <c r="V148" s="149">
        <f t="shared" ca="1" si="56"/>
        <v>18274.712800000001</v>
      </c>
      <c r="W148" s="149">
        <f t="shared" ca="1" si="56"/>
        <v>0</v>
      </c>
      <c r="X148" s="149">
        <f t="shared" ca="1" si="56"/>
        <v>14365.533460000001</v>
      </c>
      <c r="Y148" s="149">
        <f t="shared" ca="1" si="56"/>
        <v>0</v>
      </c>
      <c r="Z148" s="149">
        <f t="shared" ca="1" si="56"/>
        <v>18109.728160000002</v>
      </c>
      <c r="AA148" s="149">
        <f t="shared" ca="1" si="56"/>
        <v>0</v>
      </c>
      <c r="AB148" s="149">
        <f t="shared" ca="1" si="56"/>
        <v>16560.870159999999</v>
      </c>
      <c r="AC148" s="149">
        <f t="shared" ca="1" si="56"/>
        <v>0</v>
      </c>
      <c r="AD148" s="149">
        <f t="shared" ca="1" si="56"/>
        <v>18864.705720000002</v>
      </c>
      <c r="AE148" s="149">
        <f t="shared" ca="1" si="56"/>
        <v>0</v>
      </c>
      <c r="AF148" s="149"/>
      <c r="AG148" s="102">
        <f t="shared" ca="1" si="54"/>
        <v>-198.90000000000509</v>
      </c>
      <c r="AH148" s="155">
        <f t="shared" ca="1" si="55"/>
        <v>-17719.90068000005</v>
      </c>
    </row>
    <row r="149" spans="1:34" x14ac:dyDescent="0.3">
      <c r="A149" s="150" t="s">
        <v>169</v>
      </c>
      <c r="B149" s="151">
        <f ca="1">B26+B62+B74+B80+B100+B106+B114+B122+B128+B134</f>
        <v>0</v>
      </c>
      <c r="C149" s="151">
        <f ca="1">C26+C62+C74+C80+C100+C106+C114+C122+C128+C134</f>
        <v>0</v>
      </c>
      <c r="D149" s="151">
        <f ca="1">D26+D62+D74+D80+D100+D106+D114+D122+D128+D134</f>
        <v>0</v>
      </c>
      <c r="E149" s="151">
        <f ca="1">E26+E62+E74+E80+E100+E106+E114+E122+E128+E134</f>
        <v>0</v>
      </c>
      <c r="F149" s="151">
        <f t="shared" ca="1" si="41"/>
        <v>0</v>
      </c>
      <c r="G149" s="151">
        <f t="shared" ca="1" si="42"/>
        <v>0</v>
      </c>
      <c r="H149" s="151">
        <f t="shared" ref="H149:AE152" ca="1" si="57">H26+H62+H74+H80+H100+H106+H114+H122+H128+H134</f>
        <v>0</v>
      </c>
      <c r="I149" s="151">
        <f t="shared" ca="1" si="57"/>
        <v>0</v>
      </c>
      <c r="J149" s="151">
        <f t="shared" ca="1" si="57"/>
        <v>0</v>
      </c>
      <c r="K149" s="151">
        <f t="shared" ca="1" si="57"/>
        <v>0</v>
      </c>
      <c r="L149" s="151">
        <f t="shared" ca="1" si="57"/>
        <v>0</v>
      </c>
      <c r="M149" s="151">
        <f t="shared" ca="1" si="57"/>
        <v>0</v>
      </c>
      <c r="N149" s="151">
        <f t="shared" ca="1" si="57"/>
        <v>0</v>
      </c>
      <c r="O149" s="151">
        <f t="shared" ca="1" si="57"/>
        <v>0</v>
      </c>
      <c r="P149" s="151">
        <f t="shared" ca="1" si="57"/>
        <v>0</v>
      </c>
      <c r="Q149" s="151">
        <f t="shared" ca="1" si="57"/>
        <v>0</v>
      </c>
      <c r="R149" s="151">
        <f t="shared" ca="1" si="57"/>
        <v>0</v>
      </c>
      <c r="S149" s="151">
        <f t="shared" ca="1" si="57"/>
        <v>0</v>
      </c>
      <c r="T149" s="151">
        <f t="shared" ca="1" si="57"/>
        <v>0</v>
      </c>
      <c r="U149" s="151">
        <f t="shared" ca="1" si="57"/>
        <v>0</v>
      </c>
      <c r="V149" s="151">
        <f t="shared" ca="1" si="57"/>
        <v>0</v>
      </c>
      <c r="W149" s="151">
        <f t="shared" ca="1" si="57"/>
        <v>0</v>
      </c>
      <c r="X149" s="151">
        <f t="shared" ca="1" si="57"/>
        <v>0</v>
      </c>
      <c r="Y149" s="151">
        <f t="shared" ca="1" si="57"/>
        <v>0</v>
      </c>
      <c r="Z149" s="151">
        <f t="shared" ca="1" si="57"/>
        <v>0</v>
      </c>
      <c r="AA149" s="151">
        <f t="shared" ca="1" si="57"/>
        <v>0</v>
      </c>
      <c r="AB149" s="151">
        <f t="shared" ca="1" si="57"/>
        <v>0</v>
      </c>
      <c r="AC149" s="151">
        <f t="shared" ca="1" si="57"/>
        <v>0</v>
      </c>
      <c r="AD149" s="151">
        <f t="shared" ca="1" si="57"/>
        <v>0</v>
      </c>
      <c r="AE149" s="151">
        <f t="shared" ca="1" si="57"/>
        <v>0</v>
      </c>
      <c r="AF149" s="151"/>
      <c r="AG149" s="102">
        <f t="shared" ca="1" si="54"/>
        <v>0</v>
      </c>
      <c r="AH149" s="155">
        <f t="shared" ca="1" si="55"/>
        <v>0</v>
      </c>
    </row>
    <row r="150" spans="1:34" x14ac:dyDescent="0.3">
      <c r="A150" s="150" t="s">
        <v>32</v>
      </c>
      <c r="B150" s="151">
        <f ca="1">B27+B63+B75+B81+B101+B107+B115+B123+B129+B135</f>
        <v>10029.184999999999</v>
      </c>
      <c r="C150" s="151">
        <f ca="1">C27+C63+C75+C81+C101+C107+C115+C123+C129+C135</f>
        <v>448.45</v>
      </c>
      <c r="D150" s="151">
        <f t="shared" ref="B150:E152" ca="1" si="58">D27+D63+D75+D81+D101+D107+D115+D123+D129+D135</f>
        <v>4410.82</v>
      </c>
      <c r="E150" s="151">
        <f t="shared" ca="1" si="58"/>
        <v>4410.82</v>
      </c>
      <c r="F150" s="151">
        <f t="shared" ca="1" si="41"/>
        <v>43.979844822884409</v>
      </c>
      <c r="G150" s="151">
        <f t="shared" ca="1" si="42"/>
        <v>983.57007470175051</v>
      </c>
      <c r="H150" s="151">
        <f t="shared" ca="1" si="57"/>
        <v>0</v>
      </c>
      <c r="I150" s="151">
        <f t="shared" ca="1" si="57"/>
        <v>0</v>
      </c>
      <c r="J150" s="151">
        <f t="shared" ca="1" si="57"/>
        <v>0</v>
      </c>
      <c r="K150" s="151">
        <f t="shared" ca="1" si="57"/>
        <v>0</v>
      </c>
      <c r="L150" s="151">
        <f t="shared" ca="1" si="57"/>
        <v>372.46</v>
      </c>
      <c r="M150" s="151">
        <f t="shared" ca="1" si="57"/>
        <v>372.46</v>
      </c>
      <c r="N150" s="151">
        <f t="shared" ca="1" si="57"/>
        <v>1545.22</v>
      </c>
      <c r="O150" s="151">
        <f t="shared" ca="1" si="57"/>
        <v>1545.22</v>
      </c>
      <c r="P150" s="151">
        <f t="shared" ca="1" si="57"/>
        <v>3310.64</v>
      </c>
      <c r="Q150" s="151">
        <f t="shared" ca="1" si="57"/>
        <v>3901.75</v>
      </c>
      <c r="R150" s="151">
        <f t="shared" ca="1" si="57"/>
        <v>3525.7</v>
      </c>
      <c r="S150" s="151">
        <f t="shared" ca="1" si="57"/>
        <v>0</v>
      </c>
      <c r="T150" s="151">
        <f t="shared" ca="1" si="57"/>
        <v>650.6</v>
      </c>
      <c r="U150" s="151">
        <f t="shared" ca="1" si="57"/>
        <v>0</v>
      </c>
      <c r="V150" s="151">
        <f t="shared" ca="1" si="57"/>
        <v>223.95</v>
      </c>
      <c r="W150" s="151">
        <f t="shared" ca="1" si="57"/>
        <v>0</v>
      </c>
      <c r="X150" s="151">
        <f t="shared" ca="1" si="57"/>
        <v>0</v>
      </c>
      <c r="Y150" s="151">
        <f t="shared" ca="1" si="57"/>
        <v>0</v>
      </c>
      <c r="Z150" s="151">
        <f t="shared" ca="1" si="57"/>
        <v>246.95249999999999</v>
      </c>
      <c r="AA150" s="151">
        <f t="shared" ca="1" si="57"/>
        <v>0</v>
      </c>
      <c r="AB150" s="151">
        <f t="shared" ca="1" si="57"/>
        <v>153.66249999999999</v>
      </c>
      <c r="AC150" s="151">
        <f t="shared" ca="1" si="57"/>
        <v>0</v>
      </c>
      <c r="AD150" s="151">
        <f t="shared" ca="1" si="57"/>
        <v>0</v>
      </c>
      <c r="AE150" s="151">
        <f t="shared" ca="1" si="57"/>
        <v>0</v>
      </c>
      <c r="AF150" s="151"/>
      <c r="AG150" s="102">
        <f t="shared" ca="1" si="54"/>
        <v>-2.8421709430404007E-14</v>
      </c>
      <c r="AH150" s="155">
        <f t="shared" ca="1" si="55"/>
        <v>-3962.37</v>
      </c>
    </row>
    <row r="151" spans="1:34" x14ac:dyDescent="0.3">
      <c r="A151" s="150" t="s">
        <v>33</v>
      </c>
      <c r="B151" s="151">
        <f t="shared" ca="1" si="58"/>
        <v>288178.56917999999</v>
      </c>
      <c r="C151" s="151">
        <f t="shared" ca="1" si="58"/>
        <v>105204.20931999998</v>
      </c>
      <c r="D151" s="151">
        <f t="shared" ca="1" si="58"/>
        <v>118961.74000000002</v>
      </c>
      <c r="E151" s="151">
        <f ca="1">E28+E64+E76+E82+E102+E108+E116+E124+E130+E136</f>
        <v>118961.74000000002</v>
      </c>
      <c r="F151" s="151">
        <f t="shared" ca="1" si="41"/>
        <v>41.28056445644124</v>
      </c>
      <c r="G151" s="151">
        <f t="shared" ca="1" si="42"/>
        <v>113.07697740320799</v>
      </c>
      <c r="H151" s="151">
        <f t="shared" ca="1" si="57"/>
        <v>44037.336600000002</v>
      </c>
      <c r="I151" s="151">
        <f t="shared" ca="1" si="57"/>
        <v>45180.282999999996</v>
      </c>
      <c r="J151" s="151">
        <f t="shared" ca="1" si="57"/>
        <v>33621.776099999988</v>
      </c>
      <c r="K151" s="151">
        <f t="shared" ca="1" si="57"/>
        <v>22511.485999999994</v>
      </c>
      <c r="L151" s="151">
        <f t="shared" si="57"/>
        <v>27545.09662</v>
      </c>
      <c r="M151" s="151">
        <f t="shared" si="57"/>
        <v>21251.746999999999</v>
      </c>
      <c r="N151" s="151">
        <f t="shared" si="57"/>
        <v>30067.248099999997</v>
      </c>
      <c r="O151" s="151">
        <f t="shared" si="57"/>
        <v>18995.214</v>
      </c>
      <c r="P151" s="151">
        <f t="shared" si="57"/>
        <v>26741.240999999995</v>
      </c>
      <c r="Q151" s="151">
        <f t="shared" si="57"/>
        <v>11023.010000000002</v>
      </c>
      <c r="R151" s="151">
        <f t="shared" si="57"/>
        <v>21413.445660000001</v>
      </c>
      <c r="S151" s="151">
        <f t="shared" si="57"/>
        <v>0</v>
      </c>
      <c r="T151" s="151">
        <f t="shared" si="57"/>
        <v>19201.4398</v>
      </c>
      <c r="U151" s="151">
        <f t="shared" si="57"/>
        <v>0</v>
      </c>
      <c r="V151" s="151">
        <f t="shared" si="57"/>
        <v>18050.7628</v>
      </c>
      <c r="W151" s="151">
        <f t="shared" si="57"/>
        <v>0</v>
      </c>
      <c r="X151" s="151">
        <f t="shared" si="57"/>
        <v>14365.533460000001</v>
      </c>
      <c r="Y151" s="151">
        <f t="shared" si="57"/>
        <v>0</v>
      </c>
      <c r="Z151" s="151">
        <f t="shared" si="57"/>
        <v>17862.775660000003</v>
      </c>
      <c r="AA151" s="151">
        <f t="shared" si="57"/>
        <v>0</v>
      </c>
      <c r="AB151" s="151">
        <f t="shared" si="57"/>
        <v>16407.20766</v>
      </c>
      <c r="AC151" s="151">
        <f t="shared" si="57"/>
        <v>0</v>
      </c>
      <c r="AD151" s="151">
        <f t="shared" si="57"/>
        <v>18864.705720000002</v>
      </c>
      <c r="AE151" s="151">
        <f t="shared" si="57"/>
        <v>0</v>
      </c>
      <c r="AF151" s="151"/>
      <c r="AG151" s="102">
        <f t="shared" ca="1" si="54"/>
        <v>0</v>
      </c>
      <c r="AH151" s="155">
        <f t="shared" ca="1" si="55"/>
        <v>-13757.53068000004</v>
      </c>
    </row>
    <row r="152" spans="1:34" x14ac:dyDescent="0.3">
      <c r="A152" s="152" t="s">
        <v>170</v>
      </c>
      <c r="B152" s="151">
        <f t="shared" si="58"/>
        <v>0</v>
      </c>
      <c r="C152" s="151">
        <f t="shared" ca="1" si="58"/>
        <v>0</v>
      </c>
      <c r="D152" s="151">
        <f t="shared" si="58"/>
        <v>0</v>
      </c>
      <c r="E152" s="151">
        <f t="shared" si="58"/>
        <v>0</v>
      </c>
      <c r="F152" s="151">
        <f t="shared" si="41"/>
        <v>0</v>
      </c>
      <c r="G152" s="151">
        <f t="shared" ca="1" si="42"/>
        <v>0</v>
      </c>
      <c r="H152" s="151">
        <f t="shared" ca="1" si="57"/>
        <v>0</v>
      </c>
      <c r="I152" s="151">
        <f t="shared" ca="1" si="57"/>
        <v>0</v>
      </c>
      <c r="J152" s="151">
        <f t="shared" ca="1" si="57"/>
        <v>0</v>
      </c>
      <c r="K152" s="151">
        <f t="shared" ca="1" si="57"/>
        <v>0</v>
      </c>
      <c r="L152" s="151">
        <f t="shared" si="57"/>
        <v>0</v>
      </c>
      <c r="M152" s="151">
        <f t="shared" si="57"/>
        <v>0</v>
      </c>
      <c r="N152" s="151">
        <f t="shared" si="57"/>
        <v>198.9</v>
      </c>
      <c r="O152" s="151">
        <f t="shared" si="57"/>
        <v>0</v>
      </c>
      <c r="P152" s="151">
        <f t="shared" si="57"/>
        <v>0</v>
      </c>
      <c r="Q152" s="151">
        <f t="shared" si="57"/>
        <v>0</v>
      </c>
      <c r="R152" s="151">
        <f t="shared" si="57"/>
        <v>0</v>
      </c>
      <c r="S152" s="151">
        <f t="shared" si="57"/>
        <v>0</v>
      </c>
      <c r="T152" s="151">
        <f t="shared" si="57"/>
        <v>0</v>
      </c>
      <c r="U152" s="151">
        <f t="shared" si="57"/>
        <v>0</v>
      </c>
      <c r="V152" s="151">
        <f t="shared" si="57"/>
        <v>0</v>
      </c>
      <c r="W152" s="151">
        <f t="shared" si="57"/>
        <v>0</v>
      </c>
      <c r="X152" s="151">
        <f t="shared" si="57"/>
        <v>0</v>
      </c>
      <c r="Y152" s="151">
        <f t="shared" si="57"/>
        <v>0</v>
      </c>
      <c r="Z152" s="151">
        <f t="shared" si="57"/>
        <v>0</v>
      </c>
      <c r="AA152" s="151">
        <f t="shared" si="57"/>
        <v>0</v>
      </c>
      <c r="AB152" s="151">
        <f t="shared" si="57"/>
        <v>0</v>
      </c>
      <c r="AC152" s="151">
        <f t="shared" si="57"/>
        <v>0</v>
      </c>
      <c r="AD152" s="151">
        <f t="shared" si="57"/>
        <v>0</v>
      </c>
      <c r="AE152" s="151">
        <f t="shared" si="57"/>
        <v>0</v>
      </c>
      <c r="AF152" s="151"/>
      <c r="AG152" s="102">
        <f t="shared" ca="1" si="54"/>
        <v>-198.9</v>
      </c>
      <c r="AH152" s="155">
        <f t="shared" ca="1" si="55"/>
        <v>0</v>
      </c>
    </row>
    <row r="153" spans="1:34" x14ac:dyDescent="0.3">
      <c r="B153" s="155">
        <f t="shared" ref="B153:E157" ca="1" si="59">B138-B143-B148</f>
        <v>-15871.799999999988</v>
      </c>
      <c r="C153" s="155">
        <f t="shared" ca="1" si="59"/>
        <v>0</v>
      </c>
      <c r="D153" s="155">
        <f t="shared" ca="1" si="59"/>
        <v>0</v>
      </c>
      <c r="E153" s="155">
        <f t="shared" ca="1" si="59"/>
        <v>0</v>
      </c>
      <c r="F153" s="155"/>
      <c r="G153" s="155"/>
      <c r="H153" s="155">
        <f t="shared" ref="H153:AE157" ca="1" si="60">H138-H143-H148</f>
        <v>0</v>
      </c>
      <c r="I153" s="155">
        <f t="shared" ca="1" si="60"/>
        <v>0</v>
      </c>
      <c r="J153" s="155">
        <f t="shared" ca="1" si="60"/>
        <v>0</v>
      </c>
      <c r="K153" s="155">
        <f t="shared" ca="1" si="60"/>
        <v>0</v>
      </c>
      <c r="L153" s="155">
        <f t="shared" ca="1" si="60"/>
        <v>0</v>
      </c>
      <c r="M153" s="155">
        <f t="shared" ca="1" si="60"/>
        <v>0</v>
      </c>
      <c r="N153" s="155">
        <f t="shared" ca="1" si="60"/>
        <v>0</v>
      </c>
      <c r="O153" s="155">
        <f t="shared" ca="1" si="60"/>
        <v>0</v>
      </c>
      <c r="P153" s="155">
        <f t="shared" ca="1" si="60"/>
        <v>0</v>
      </c>
      <c r="Q153" s="155">
        <f t="shared" ca="1" si="60"/>
        <v>0</v>
      </c>
      <c r="R153" s="155">
        <f t="shared" ca="1" si="60"/>
        <v>0</v>
      </c>
      <c r="S153" s="155">
        <f t="shared" ca="1" si="60"/>
        <v>0</v>
      </c>
      <c r="T153" s="155">
        <f t="shared" ca="1" si="60"/>
        <v>0</v>
      </c>
      <c r="U153" s="155">
        <f t="shared" ca="1" si="60"/>
        <v>0</v>
      </c>
      <c r="V153" s="155">
        <f t="shared" ca="1" si="60"/>
        <v>-10212.799999999999</v>
      </c>
      <c r="W153" s="155">
        <f t="shared" ca="1" si="60"/>
        <v>0</v>
      </c>
      <c r="X153" s="155">
        <f t="shared" ca="1" si="60"/>
        <v>-1859</v>
      </c>
      <c r="Y153" s="155">
        <f t="shared" ca="1" si="60"/>
        <v>0</v>
      </c>
      <c r="Z153" s="155">
        <f t="shared" ca="1" si="60"/>
        <v>-18.202647657839407</v>
      </c>
      <c r="AA153" s="155">
        <f t="shared" ca="1" si="60"/>
        <v>0</v>
      </c>
      <c r="AB153" s="155">
        <f t="shared" ca="1" si="60"/>
        <v>-0.97916340278970893</v>
      </c>
      <c r="AC153" s="155">
        <f t="shared" ca="1" si="60"/>
        <v>0</v>
      </c>
      <c r="AD153" s="155">
        <f t="shared" ca="1" si="60"/>
        <v>-5.3792361484702269</v>
      </c>
      <c r="AE153" s="155">
        <f t="shared" ca="1" si="60"/>
        <v>0</v>
      </c>
      <c r="AG153" s="102">
        <f t="shared" ca="1" si="54"/>
        <v>-3775.4389527908897</v>
      </c>
    </row>
    <row r="154" spans="1:34" x14ac:dyDescent="0.3">
      <c r="A154" s="156" t="s">
        <v>169</v>
      </c>
      <c r="B154" s="155">
        <f t="shared" ca="1" si="59"/>
        <v>0</v>
      </c>
      <c r="C154" s="155">
        <f t="shared" ca="1" si="59"/>
        <v>0</v>
      </c>
      <c r="D154" s="155">
        <f t="shared" ca="1" si="59"/>
        <v>0</v>
      </c>
      <c r="E154" s="155">
        <f t="shared" ca="1" si="59"/>
        <v>0</v>
      </c>
      <c r="F154" s="155"/>
      <c r="G154" s="155"/>
      <c r="H154" s="155">
        <f t="shared" ca="1" si="60"/>
        <v>0</v>
      </c>
      <c r="I154" s="155">
        <f t="shared" ca="1" si="60"/>
        <v>0</v>
      </c>
      <c r="J154" s="155">
        <f t="shared" ca="1" si="60"/>
        <v>0</v>
      </c>
      <c r="K154" s="155">
        <f t="shared" ca="1" si="60"/>
        <v>0</v>
      </c>
      <c r="L154" s="155">
        <f t="shared" ca="1" si="60"/>
        <v>0</v>
      </c>
      <c r="M154" s="155">
        <f t="shared" ca="1" si="60"/>
        <v>0</v>
      </c>
      <c r="N154" s="155">
        <f t="shared" ca="1" si="60"/>
        <v>0</v>
      </c>
      <c r="O154" s="155">
        <f t="shared" ca="1" si="60"/>
        <v>0</v>
      </c>
      <c r="P154" s="155">
        <f t="shared" ca="1" si="60"/>
        <v>0</v>
      </c>
      <c r="Q154" s="155">
        <f t="shared" ca="1" si="60"/>
        <v>0</v>
      </c>
      <c r="R154" s="155">
        <f t="shared" ca="1" si="60"/>
        <v>0</v>
      </c>
      <c r="S154" s="155">
        <f t="shared" ca="1" si="60"/>
        <v>0</v>
      </c>
      <c r="T154" s="155">
        <f t="shared" ca="1" si="60"/>
        <v>0</v>
      </c>
      <c r="U154" s="155">
        <f t="shared" ca="1" si="60"/>
        <v>0</v>
      </c>
      <c r="V154" s="155">
        <f t="shared" ca="1" si="60"/>
        <v>0</v>
      </c>
      <c r="W154" s="155">
        <f t="shared" ca="1" si="60"/>
        <v>0</v>
      </c>
      <c r="X154" s="155">
        <f t="shared" ca="1" si="60"/>
        <v>0</v>
      </c>
      <c r="Y154" s="155">
        <f t="shared" ca="1" si="60"/>
        <v>0</v>
      </c>
      <c r="Z154" s="155">
        <f t="shared" ca="1" si="60"/>
        <v>0</v>
      </c>
      <c r="AA154" s="155">
        <f t="shared" ca="1" si="60"/>
        <v>0</v>
      </c>
      <c r="AB154" s="155">
        <f t="shared" ca="1" si="60"/>
        <v>0</v>
      </c>
      <c r="AC154" s="155">
        <f t="shared" ca="1" si="60"/>
        <v>0</v>
      </c>
      <c r="AD154" s="155">
        <f t="shared" ca="1" si="60"/>
        <v>0</v>
      </c>
      <c r="AE154" s="155">
        <f t="shared" ca="1" si="60"/>
        <v>0</v>
      </c>
      <c r="AG154" s="102">
        <f t="shared" ca="1" si="54"/>
        <v>0</v>
      </c>
    </row>
    <row r="155" spans="1:34" x14ac:dyDescent="0.3">
      <c r="A155" s="156" t="s">
        <v>32</v>
      </c>
      <c r="B155" s="155">
        <f t="shared" ca="1" si="59"/>
        <v>-10000</v>
      </c>
      <c r="C155" s="155">
        <f t="shared" ca="1" si="59"/>
        <v>0</v>
      </c>
      <c r="D155" s="155">
        <f t="shared" ca="1" si="59"/>
        <v>0</v>
      </c>
      <c r="E155" s="155">
        <f t="shared" ca="1" si="59"/>
        <v>0</v>
      </c>
      <c r="F155" s="155"/>
      <c r="G155" s="155"/>
      <c r="H155" s="155">
        <f t="shared" ca="1" si="60"/>
        <v>0</v>
      </c>
      <c r="I155" s="155">
        <f t="shared" ca="1" si="60"/>
        <v>0</v>
      </c>
      <c r="J155" s="155">
        <f t="shared" ca="1" si="60"/>
        <v>0</v>
      </c>
      <c r="K155" s="155">
        <f t="shared" ca="1" si="60"/>
        <v>0</v>
      </c>
      <c r="L155" s="155">
        <f t="shared" ca="1" si="60"/>
        <v>0</v>
      </c>
      <c r="M155" s="155">
        <f t="shared" ca="1" si="60"/>
        <v>0</v>
      </c>
      <c r="N155" s="155">
        <f t="shared" ca="1" si="60"/>
        <v>0</v>
      </c>
      <c r="O155" s="155">
        <f t="shared" ca="1" si="60"/>
        <v>0</v>
      </c>
      <c r="P155" s="155">
        <f t="shared" ca="1" si="60"/>
        <v>0</v>
      </c>
      <c r="Q155" s="155">
        <f t="shared" ca="1" si="60"/>
        <v>0</v>
      </c>
      <c r="R155" s="155">
        <f t="shared" ca="1" si="60"/>
        <v>0</v>
      </c>
      <c r="S155" s="155">
        <f t="shared" ca="1" si="60"/>
        <v>0</v>
      </c>
      <c r="T155" s="155">
        <f t="shared" ca="1" si="60"/>
        <v>0</v>
      </c>
      <c r="U155" s="155">
        <f t="shared" ca="1" si="60"/>
        <v>0</v>
      </c>
      <c r="V155" s="155">
        <f t="shared" ca="1" si="60"/>
        <v>-10000</v>
      </c>
      <c r="W155" s="155">
        <f t="shared" ca="1" si="60"/>
        <v>0</v>
      </c>
      <c r="X155" s="155">
        <f t="shared" ca="1" si="60"/>
        <v>0</v>
      </c>
      <c r="Y155" s="155">
        <f t="shared" ca="1" si="60"/>
        <v>0</v>
      </c>
      <c r="Z155" s="155">
        <f t="shared" ca="1" si="60"/>
        <v>0</v>
      </c>
      <c r="AA155" s="155">
        <f t="shared" ca="1" si="60"/>
        <v>0</v>
      </c>
      <c r="AB155" s="155">
        <f t="shared" ca="1" si="60"/>
        <v>0</v>
      </c>
      <c r="AC155" s="155">
        <f t="shared" ca="1" si="60"/>
        <v>0</v>
      </c>
      <c r="AD155" s="155">
        <f t="shared" ca="1" si="60"/>
        <v>0</v>
      </c>
      <c r="AE155" s="155">
        <f t="shared" ca="1" si="60"/>
        <v>0</v>
      </c>
      <c r="AG155" s="102">
        <f t="shared" ca="1" si="54"/>
        <v>0</v>
      </c>
    </row>
    <row r="156" spans="1:34" x14ac:dyDescent="0.3">
      <c r="A156" s="156" t="s">
        <v>33</v>
      </c>
      <c r="B156" s="155">
        <f t="shared" ca="1" si="59"/>
        <v>-5059.2999999999884</v>
      </c>
      <c r="C156" s="155">
        <f t="shared" ca="1" si="59"/>
        <v>0</v>
      </c>
      <c r="D156" s="155">
        <f t="shared" ca="1" si="59"/>
        <v>0</v>
      </c>
      <c r="E156" s="155">
        <f t="shared" ca="1" si="59"/>
        <v>0</v>
      </c>
      <c r="F156" s="155"/>
      <c r="G156" s="155"/>
      <c r="H156" s="155">
        <f t="shared" ca="1" si="60"/>
        <v>0</v>
      </c>
      <c r="I156" s="155">
        <f t="shared" ca="1" si="60"/>
        <v>0</v>
      </c>
      <c r="J156" s="155">
        <f t="shared" ca="1" si="60"/>
        <v>0</v>
      </c>
      <c r="K156" s="155">
        <f t="shared" ca="1" si="60"/>
        <v>0</v>
      </c>
      <c r="L156" s="155">
        <f t="shared" ca="1" si="60"/>
        <v>0</v>
      </c>
      <c r="M156" s="155">
        <f t="shared" ca="1" si="60"/>
        <v>0</v>
      </c>
      <c r="N156" s="155">
        <f t="shared" ca="1" si="60"/>
        <v>0</v>
      </c>
      <c r="O156" s="155">
        <f t="shared" ca="1" si="60"/>
        <v>0</v>
      </c>
      <c r="P156" s="155">
        <f t="shared" si="60"/>
        <v>-1800</v>
      </c>
      <c r="Q156" s="155">
        <f t="shared" ca="1" si="60"/>
        <v>0</v>
      </c>
      <c r="R156" s="155">
        <f t="shared" ca="1" si="60"/>
        <v>0</v>
      </c>
      <c r="S156" s="155">
        <f t="shared" ca="1" si="60"/>
        <v>0</v>
      </c>
      <c r="T156" s="155">
        <f t="shared" si="60"/>
        <v>-2000</v>
      </c>
      <c r="U156" s="155">
        <f t="shared" ca="1" si="60"/>
        <v>0</v>
      </c>
      <c r="V156" s="155">
        <f t="shared" si="60"/>
        <v>-212.79999999999927</v>
      </c>
      <c r="W156" s="155">
        <f t="shared" ca="1" si="60"/>
        <v>0</v>
      </c>
      <c r="X156" s="155">
        <f t="shared" si="60"/>
        <v>-1046.5</v>
      </c>
      <c r="Y156" s="155">
        <f t="shared" ca="1" si="60"/>
        <v>0</v>
      </c>
      <c r="Z156" s="155">
        <f t="shared" si="60"/>
        <v>0</v>
      </c>
      <c r="AA156" s="155">
        <f t="shared" ca="1" si="60"/>
        <v>0</v>
      </c>
      <c r="AB156" s="155">
        <f t="shared" si="60"/>
        <v>0</v>
      </c>
      <c r="AC156" s="155">
        <f t="shared" ca="1" si="60"/>
        <v>0</v>
      </c>
      <c r="AD156" s="155">
        <f t="shared" si="60"/>
        <v>0</v>
      </c>
      <c r="AE156" s="155">
        <f t="shared" ca="1" si="60"/>
        <v>0</v>
      </c>
      <c r="AG156" s="102">
        <f t="shared" ca="1" si="54"/>
        <v>1.0913936421275139E-11</v>
      </c>
    </row>
    <row r="157" spans="1:34" x14ac:dyDescent="0.3">
      <c r="A157" s="156" t="s">
        <v>170</v>
      </c>
      <c r="B157" s="155">
        <f t="shared" ca="1" si="59"/>
        <v>-812.5</v>
      </c>
      <c r="C157" s="155">
        <f t="shared" ca="1" si="59"/>
        <v>0</v>
      </c>
      <c r="D157" s="155">
        <f t="shared" ca="1" si="59"/>
        <v>0</v>
      </c>
      <c r="E157" s="155">
        <f t="shared" ca="1" si="59"/>
        <v>0</v>
      </c>
      <c r="F157" s="155"/>
      <c r="G157" s="155"/>
      <c r="H157" s="155">
        <f t="shared" ca="1" si="60"/>
        <v>0</v>
      </c>
      <c r="I157" s="155">
        <f t="shared" ca="1" si="60"/>
        <v>0</v>
      </c>
      <c r="J157" s="155">
        <f t="shared" ca="1" si="60"/>
        <v>0</v>
      </c>
      <c r="K157" s="155">
        <f t="shared" ca="1" si="60"/>
        <v>0</v>
      </c>
      <c r="L157" s="155">
        <f t="shared" ca="1" si="60"/>
        <v>0</v>
      </c>
      <c r="M157" s="155">
        <f t="shared" ca="1" si="60"/>
        <v>0</v>
      </c>
      <c r="N157" s="155">
        <f t="shared" ca="1" si="60"/>
        <v>0</v>
      </c>
      <c r="O157" s="155">
        <f t="shared" ca="1" si="60"/>
        <v>0</v>
      </c>
      <c r="P157" s="155">
        <f t="shared" ca="1" si="60"/>
        <v>0</v>
      </c>
      <c r="Q157" s="155">
        <f t="shared" ca="1" si="60"/>
        <v>0</v>
      </c>
      <c r="R157" s="155">
        <f t="shared" ca="1" si="60"/>
        <v>0</v>
      </c>
      <c r="S157" s="155">
        <f t="shared" ca="1" si="60"/>
        <v>0</v>
      </c>
      <c r="T157" s="155">
        <f t="shared" ca="1" si="60"/>
        <v>0</v>
      </c>
      <c r="U157" s="155">
        <f t="shared" ca="1" si="60"/>
        <v>0</v>
      </c>
      <c r="V157" s="155">
        <f t="shared" ca="1" si="60"/>
        <v>0</v>
      </c>
      <c r="W157" s="155">
        <f t="shared" ca="1" si="60"/>
        <v>0</v>
      </c>
      <c r="X157" s="155">
        <f t="shared" si="60"/>
        <v>-812.5</v>
      </c>
      <c r="Y157" s="155">
        <f t="shared" ca="1" si="60"/>
        <v>0</v>
      </c>
      <c r="Z157" s="155">
        <f t="shared" ca="1" si="60"/>
        <v>0</v>
      </c>
      <c r="AA157" s="155">
        <f t="shared" ca="1" si="60"/>
        <v>0</v>
      </c>
      <c r="AB157" s="155">
        <f t="shared" ca="1" si="60"/>
        <v>0</v>
      </c>
      <c r="AC157" s="155">
        <f t="shared" ca="1" si="60"/>
        <v>0</v>
      </c>
      <c r="AD157" s="155">
        <f t="shared" ca="1" si="60"/>
        <v>0</v>
      </c>
      <c r="AE157" s="155">
        <f t="shared" ca="1" si="60"/>
        <v>0</v>
      </c>
      <c r="AG157" s="102">
        <f t="shared" ca="1" si="54"/>
        <v>0</v>
      </c>
    </row>
    <row r="159" spans="1:34" x14ac:dyDescent="0.3">
      <c r="B159" s="155">
        <f t="shared" ref="B159:AE159" ca="1" si="61">B13+B32+B38+B44+B50+B56+B68+B74+B86+B92+B100+B106+B114+B122+B128+B134-B139</f>
        <v>0</v>
      </c>
      <c r="C159" s="155">
        <f t="shared" ca="1" si="61"/>
        <v>0</v>
      </c>
      <c r="D159" s="155">
        <f t="shared" ca="1" si="61"/>
        <v>0</v>
      </c>
      <c r="E159" s="155">
        <f t="shared" ca="1" si="61"/>
        <v>0</v>
      </c>
      <c r="F159" s="155">
        <f t="shared" ca="1" si="61"/>
        <v>0</v>
      </c>
      <c r="G159" s="155">
        <f t="shared" ca="1" si="61"/>
        <v>0</v>
      </c>
      <c r="H159" s="155">
        <f t="shared" ca="1" si="61"/>
        <v>0</v>
      </c>
      <c r="I159" s="155">
        <f t="shared" ca="1" si="61"/>
        <v>0</v>
      </c>
      <c r="J159" s="155">
        <f t="shared" ca="1" si="61"/>
        <v>0</v>
      </c>
      <c r="K159" s="155">
        <f t="shared" ca="1" si="61"/>
        <v>0</v>
      </c>
      <c r="L159" s="155">
        <f t="shared" ca="1" si="61"/>
        <v>0</v>
      </c>
      <c r="M159" s="155">
        <f t="shared" ca="1" si="61"/>
        <v>0</v>
      </c>
      <c r="N159" s="155">
        <f t="shared" ca="1" si="61"/>
        <v>0</v>
      </c>
      <c r="O159" s="155">
        <f t="shared" ca="1" si="61"/>
        <v>0</v>
      </c>
      <c r="P159" s="155">
        <f t="shared" ca="1" si="61"/>
        <v>0</v>
      </c>
      <c r="Q159" s="155">
        <f t="shared" ca="1" si="61"/>
        <v>0</v>
      </c>
      <c r="R159" s="155">
        <f t="shared" ca="1" si="61"/>
        <v>0</v>
      </c>
      <c r="S159" s="155">
        <f t="shared" ca="1" si="61"/>
        <v>0</v>
      </c>
      <c r="T159" s="155">
        <f t="shared" ca="1" si="61"/>
        <v>0</v>
      </c>
      <c r="U159" s="155">
        <f t="shared" ca="1" si="61"/>
        <v>0</v>
      </c>
      <c r="V159" s="155">
        <f t="shared" ca="1" si="61"/>
        <v>0</v>
      </c>
      <c r="W159" s="155">
        <f t="shared" ca="1" si="61"/>
        <v>0</v>
      </c>
      <c r="X159" s="155">
        <f t="shared" ca="1" si="61"/>
        <v>0</v>
      </c>
      <c r="Y159" s="155">
        <f t="shared" ca="1" si="61"/>
        <v>0</v>
      </c>
      <c r="Z159" s="155">
        <f t="shared" ca="1" si="61"/>
        <v>0</v>
      </c>
      <c r="AA159" s="155">
        <f t="shared" ca="1" si="61"/>
        <v>0</v>
      </c>
      <c r="AB159" s="155">
        <f t="shared" ca="1" si="61"/>
        <v>0</v>
      </c>
      <c r="AC159" s="155">
        <f t="shared" ca="1" si="61"/>
        <v>0</v>
      </c>
      <c r="AD159" s="155">
        <f t="shared" ca="1" si="61"/>
        <v>0</v>
      </c>
      <c r="AE159" s="155">
        <f t="shared" ca="1" si="61"/>
        <v>0</v>
      </c>
    </row>
    <row r="160" spans="1:34" x14ac:dyDescent="0.3">
      <c r="B160" s="155">
        <f t="shared" ref="B160:AE160" ca="1" si="62">B14+B33+B39+B45+B51+B57+B69+B75+B87+B93+B101+B107+B115+B123+B129+B135-B140</f>
        <v>0</v>
      </c>
      <c r="C160" s="155">
        <f t="shared" ca="1" si="62"/>
        <v>0</v>
      </c>
      <c r="D160" s="155">
        <f t="shared" ca="1" si="62"/>
        <v>0</v>
      </c>
      <c r="E160" s="155">
        <f t="shared" ca="1" si="62"/>
        <v>0</v>
      </c>
      <c r="F160" s="155">
        <f t="shared" ca="1" si="62"/>
        <v>-43.979844822884409</v>
      </c>
      <c r="G160" s="155">
        <f t="shared" ca="1" si="62"/>
        <v>-983.57007470175051</v>
      </c>
      <c r="H160" s="155">
        <f t="shared" ca="1" si="62"/>
        <v>0</v>
      </c>
      <c r="I160" s="155">
        <f t="shared" ca="1" si="62"/>
        <v>0</v>
      </c>
      <c r="J160" s="155">
        <f t="shared" ca="1" si="62"/>
        <v>0</v>
      </c>
      <c r="K160" s="155">
        <f t="shared" ca="1" si="62"/>
        <v>0</v>
      </c>
      <c r="L160" s="155">
        <f t="shared" ca="1" si="62"/>
        <v>0</v>
      </c>
      <c r="M160" s="155">
        <f t="shared" ca="1" si="62"/>
        <v>0</v>
      </c>
      <c r="N160" s="155">
        <f t="shared" ca="1" si="62"/>
        <v>0</v>
      </c>
      <c r="O160" s="155">
        <f t="shared" ca="1" si="62"/>
        <v>0</v>
      </c>
      <c r="P160" s="155">
        <f t="shared" ca="1" si="62"/>
        <v>0</v>
      </c>
      <c r="Q160" s="155">
        <f t="shared" ca="1" si="62"/>
        <v>0</v>
      </c>
      <c r="R160" s="155">
        <f t="shared" ca="1" si="62"/>
        <v>0</v>
      </c>
      <c r="S160" s="155">
        <f t="shared" ca="1" si="62"/>
        <v>0</v>
      </c>
      <c r="T160" s="155">
        <f t="shared" ca="1" si="62"/>
        <v>0</v>
      </c>
      <c r="U160" s="155">
        <f t="shared" ca="1" si="62"/>
        <v>0</v>
      </c>
      <c r="V160" s="155">
        <f t="shared" ca="1" si="62"/>
        <v>0</v>
      </c>
      <c r="W160" s="155">
        <f t="shared" ca="1" si="62"/>
        <v>0</v>
      </c>
      <c r="X160" s="155">
        <f t="shared" ca="1" si="62"/>
        <v>0</v>
      </c>
      <c r="Y160" s="155">
        <f t="shared" ca="1" si="62"/>
        <v>0</v>
      </c>
      <c r="Z160" s="155">
        <f t="shared" ca="1" si="62"/>
        <v>0</v>
      </c>
      <c r="AA160" s="155">
        <f t="shared" ca="1" si="62"/>
        <v>0</v>
      </c>
      <c r="AB160" s="155">
        <f t="shared" ca="1" si="62"/>
        <v>0</v>
      </c>
      <c r="AC160" s="155">
        <f t="shared" ca="1" si="62"/>
        <v>0</v>
      </c>
      <c r="AD160" s="155">
        <f t="shared" ca="1" si="62"/>
        <v>0</v>
      </c>
      <c r="AE160" s="155">
        <f t="shared" ca="1" si="62"/>
        <v>0</v>
      </c>
    </row>
    <row r="161" spans="2:33" x14ac:dyDescent="0.3">
      <c r="B161" s="155">
        <f t="shared" ref="B161:AE161" ca="1" si="63">B15+B34+B40+B46+B52+B58+B70+B76+B88+B94+B102+B108+B116+B124+B130+B136-B141</f>
        <v>0</v>
      </c>
      <c r="C161" s="155">
        <f t="shared" ca="1" si="63"/>
        <v>169.04730000000563</v>
      </c>
      <c r="D161" s="155">
        <f t="shared" ca="1" si="63"/>
        <v>0</v>
      </c>
      <c r="E161" s="155">
        <f t="shared" ca="1" si="63"/>
        <v>0</v>
      </c>
      <c r="F161" s="155">
        <f t="shared" ca="1" si="63"/>
        <v>367.88656343162978</v>
      </c>
      <c r="G161" s="155">
        <f t="shared" ca="1" si="63"/>
        <v>707.95217108731299</v>
      </c>
      <c r="H161" s="155">
        <f t="shared" ca="1" si="63"/>
        <v>0</v>
      </c>
      <c r="I161" s="155">
        <f t="shared" ca="1" si="63"/>
        <v>0</v>
      </c>
      <c r="J161" s="155">
        <f t="shared" ca="1" si="63"/>
        <v>0</v>
      </c>
      <c r="K161" s="155">
        <f t="shared" ca="1" si="63"/>
        <v>0</v>
      </c>
      <c r="L161" s="155">
        <f t="shared" si="63"/>
        <v>0</v>
      </c>
      <c r="M161" s="155">
        <f t="shared" si="63"/>
        <v>0</v>
      </c>
      <c r="N161" s="155">
        <f t="shared" si="63"/>
        <v>0</v>
      </c>
      <c r="O161" s="155">
        <f t="shared" si="63"/>
        <v>0</v>
      </c>
      <c r="P161" s="155">
        <f t="shared" si="63"/>
        <v>0</v>
      </c>
      <c r="Q161" s="155">
        <f t="shared" si="63"/>
        <v>0</v>
      </c>
      <c r="R161" s="155">
        <f t="shared" si="63"/>
        <v>0</v>
      </c>
      <c r="S161" s="155">
        <f t="shared" si="63"/>
        <v>0</v>
      </c>
      <c r="T161" s="155">
        <f t="shared" si="63"/>
        <v>0</v>
      </c>
      <c r="U161" s="155">
        <f t="shared" si="63"/>
        <v>0</v>
      </c>
      <c r="V161" s="155">
        <f t="shared" si="63"/>
        <v>0</v>
      </c>
      <c r="W161" s="155">
        <f t="shared" si="63"/>
        <v>0</v>
      </c>
      <c r="X161" s="155">
        <f t="shared" si="63"/>
        <v>0</v>
      </c>
      <c r="Y161" s="155">
        <f t="shared" si="63"/>
        <v>0</v>
      </c>
      <c r="Z161" s="155">
        <f t="shared" si="63"/>
        <v>0</v>
      </c>
      <c r="AA161" s="155">
        <f t="shared" si="63"/>
        <v>0</v>
      </c>
      <c r="AB161" s="155">
        <f t="shared" si="63"/>
        <v>0</v>
      </c>
      <c r="AC161" s="155">
        <f t="shared" si="63"/>
        <v>0</v>
      </c>
      <c r="AD161" s="155">
        <f t="shared" si="63"/>
        <v>0</v>
      </c>
      <c r="AE161" s="155">
        <f t="shared" si="63"/>
        <v>0</v>
      </c>
    </row>
    <row r="162" spans="2:33" x14ac:dyDescent="0.3">
      <c r="B162" s="155">
        <f t="shared" ref="B162:AE162" si="64">B16+B35+B41+B47+B53+B59+B71+B77+B89+B95+B103+B109+B117+B125+B131+B137-B142</f>
        <v>0</v>
      </c>
      <c r="C162" s="155">
        <f t="shared" ca="1" si="64"/>
        <v>0</v>
      </c>
      <c r="D162" s="155">
        <f t="shared" si="64"/>
        <v>0</v>
      </c>
      <c r="E162" s="155">
        <f t="shared" si="64"/>
        <v>0</v>
      </c>
      <c r="F162" s="155">
        <f t="shared" ca="1" si="64"/>
        <v>0</v>
      </c>
      <c r="G162" s="155">
        <f t="shared" ca="1" si="64"/>
        <v>0</v>
      </c>
      <c r="H162" s="155">
        <f t="shared" ca="1" si="64"/>
        <v>0</v>
      </c>
      <c r="I162" s="155">
        <f t="shared" ca="1" si="64"/>
        <v>0</v>
      </c>
      <c r="J162" s="155">
        <f t="shared" ca="1" si="64"/>
        <v>0</v>
      </c>
      <c r="K162" s="155">
        <f t="shared" ca="1" si="64"/>
        <v>0</v>
      </c>
      <c r="L162" s="155">
        <f t="shared" si="64"/>
        <v>0</v>
      </c>
      <c r="M162" s="155">
        <f t="shared" si="64"/>
        <v>0</v>
      </c>
      <c r="N162" s="155">
        <f t="shared" si="64"/>
        <v>0</v>
      </c>
      <c r="O162" s="155">
        <f t="shared" si="64"/>
        <v>0</v>
      </c>
      <c r="P162" s="155">
        <f t="shared" si="64"/>
        <v>0</v>
      </c>
      <c r="Q162" s="155">
        <f t="shared" si="64"/>
        <v>0</v>
      </c>
      <c r="R162" s="155">
        <f t="shared" si="64"/>
        <v>0</v>
      </c>
      <c r="S162" s="155">
        <f t="shared" si="64"/>
        <v>0</v>
      </c>
      <c r="T162" s="155">
        <f t="shared" si="64"/>
        <v>0</v>
      </c>
      <c r="U162" s="155">
        <f t="shared" si="64"/>
        <v>0</v>
      </c>
      <c r="V162" s="155">
        <f t="shared" si="64"/>
        <v>0</v>
      </c>
      <c r="W162" s="155">
        <f t="shared" si="64"/>
        <v>0</v>
      </c>
      <c r="X162" s="155">
        <f t="shared" si="64"/>
        <v>0</v>
      </c>
      <c r="Y162" s="155">
        <f t="shared" si="64"/>
        <v>0</v>
      </c>
      <c r="Z162" s="155">
        <f t="shared" si="64"/>
        <v>0</v>
      </c>
      <c r="AA162" s="155">
        <f t="shared" si="64"/>
        <v>0</v>
      </c>
      <c r="AB162" s="155">
        <f t="shared" si="64"/>
        <v>0</v>
      </c>
      <c r="AC162" s="155">
        <f t="shared" si="64"/>
        <v>0</v>
      </c>
      <c r="AD162" s="155">
        <f t="shared" si="64"/>
        <v>0</v>
      </c>
      <c r="AE162" s="155">
        <f t="shared" si="64"/>
        <v>0</v>
      </c>
    </row>
    <row r="163" spans="2:33" x14ac:dyDescent="0.3">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c r="AA163" s="155"/>
      <c r="AB163" s="155"/>
      <c r="AC163" s="155"/>
      <c r="AD163" s="155"/>
      <c r="AE163" s="155"/>
    </row>
    <row r="164" spans="2:33" x14ac:dyDescent="0.3">
      <c r="B164" s="737">
        <v>396624.17</v>
      </c>
      <c r="C164" s="737">
        <v>127535.26</v>
      </c>
      <c r="D164" s="738"/>
      <c r="E164" s="737">
        <v>116935.01</v>
      </c>
      <c r="F164" s="155"/>
      <c r="G164" s="155"/>
      <c r="H164" s="155"/>
      <c r="I164" s="155"/>
      <c r="J164" s="155"/>
      <c r="K164" s="155"/>
      <c r="L164" s="155"/>
      <c r="M164" s="155"/>
      <c r="N164" s="155"/>
      <c r="O164" s="155"/>
      <c r="P164" s="155"/>
      <c r="Q164" s="155"/>
      <c r="R164" s="155"/>
      <c r="S164" s="155"/>
      <c r="T164" s="155"/>
      <c r="U164" s="155"/>
      <c r="V164" s="155"/>
      <c r="W164" s="155"/>
      <c r="X164" s="155"/>
      <c r="Y164" s="155"/>
      <c r="Z164" s="155"/>
      <c r="AA164" s="155"/>
      <c r="AB164" s="155"/>
      <c r="AC164" s="155"/>
      <c r="AD164" s="155"/>
      <c r="AE164" s="155"/>
    </row>
    <row r="165" spans="2:33" x14ac:dyDescent="0.3">
      <c r="B165" s="737">
        <f ca="1">B164-B148</f>
        <v>98416.415819999995</v>
      </c>
      <c r="C165" s="737">
        <f ca="1">C164-C148</f>
        <v>21882.600680000018</v>
      </c>
      <c r="D165" s="738"/>
      <c r="E165" s="737">
        <f ca="1">E164-D148</f>
        <v>-6437.550000000032</v>
      </c>
      <c r="F165" s="155"/>
      <c r="G165" s="155"/>
      <c r="H165" s="155"/>
      <c r="I165" s="155"/>
      <c r="J165" s="155"/>
      <c r="K165" s="155"/>
      <c r="L165" s="155"/>
      <c r="M165" s="155"/>
      <c r="N165" s="155"/>
      <c r="O165" s="155"/>
      <c r="P165" s="155"/>
      <c r="Q165" s="155"/>
      <c r="R165" s="155"/>
      <c r="S165" s="155"/>
      <c r="T165" s="155"/>
      <c r="U165" s="155"/>
      <c r="V165" s="155"/>
      <c r="W165" s="155"/>
      <c r="X165" s="155"/>
      <c r="Y165" s="155"/>
      <c r="Z165" s="155"/>
      <c r="AA165" s="155"/>
      <c r="AB165" s="155"/>
      <c r="AC165" s="155"/>
      <c r="AD165" s="155"/>
      <c r="AE165" s="155"/>
      <c r="AG165" s="33" t="s">
        <v>562</v>
      </c>
    </row>
    <row r="166" spans="2:33" x14ac:dyDescent="0.3">
      <c r="B166" s="737"/>
      <c r="C166" s="737"/>
      <c r="D166" s="737"/>
      <c r="E166" s="737"/>
      <c r="F166" s="155"/>
      <c r="G166" s="155"/>
      <c r="H166" s="155"/>
      <c r="I166" s="155"/>
      <c r="J166" s="155"/>
      <c r="K166" s="155"/>
      <c r="L166" s="155"/>
      <c r="M166" s="155"/>
      <c r="N166" s="155"/>
      <c r="O166" s="155"/>
      <c r="P166" s="155"/>
      <c r="Q166" s="155"/>
      <c r="R166" s="155"/>
      <c r="S166" s="155"/>
      <c r="T166" s="155"/>
      <c r="U166" s="155"/>
      <c r="V166" s="155"/>
      <c r="W166" s="155"/>
      <c r="X166" s="155"/>
      <c r="Y166" s="155"/>
      <c r="Z166" s="155"/>
      <c r="AA166" s="155"/>
      <c r="AB166" s="155"/>
      <c r="AC166" s="155"/>
      <c r="AD166" s="155"/>
      <c r="AE166" s="155"/>
    </row>
  </sheetData>
  <customSheetViews>
    <customSheetView guid="{7C130984-112A-4861-AA43-E2940708E3DC}" scale="55" state="hidden">
      <pane xSplit="7" ySplit="10" topLeftCell="H11" activePane="bottomRight" state="frozen"/>
      <selection pane="bottomRight" activeCell="C109" sqref="C109"/>
      <pageMargins left="0.7" right="0.7" top="0.75" bottom="0.75" header="0.3" footer="0.3"/>
      <pageSetup paperSize="9" orientation="portrait" r:id="rId1"/>
    </customSheetView>
    <customSheetView guid="{4F41B9CC-959D-442C-80B0-1F0DB2C76D27}" scale="55">
      <pane xSplit="7" ySplit="9" topLeftCell="H105" activePane="bottomRight" state="frozen"/>
      <selection pane="bottomRight" activeCell="Q67" sqref="Q67"/>
      <pageMargins left="0.7" right="0.7" top="0.75" bottom="0.75" header="0.3" footer="0.3"/>
      <pageSetup paperSize="9" orientation="portrait" r:id="rId2"/>
    </customSheetView>
    <customSheetView guid="{391AB76E-B386-49C1-800F-016A48AA1A46}" scale="55">
      <pane xSplit="7" ySplit="10" topLeftCell="H105" activePane="bottomRight" state="frozen"/>
      <selection pane="bottomRight" activeCell="Q67" sqref="Q67"/>
      <pageMargins left="0.7" right="0.7" top="0.75" bottom="0.75" header="0.3" footer="0.3"/>
      <pageSetup paperSize="9" orientation="portrait" r:id="rId3"/>
    </customSheetView>
    <customSheetView guid="{D01FA037-9AEC-4167-ADB8-2F327C01ECE6}" scale="55">
      <pane xSplit="7" ySplit="10" topLeftCell="H105" activePane="bottomRight" state="frozen"/>
      <selection pane="bottomRight" activeCell="Q67" sqref="Q67"/>
      <pageMargins left="0.7" right="0.7" top="0.75" bottom="0.75" header="0.3" footer="0.3"/>
      <pageSetup paperSize="9" orientation="portrait" r:id="rId4"/>
    </customSheetView>
    <customSheetView guid="{6A602CB8-B24C-4ED4-B378-B27354BE0A1A}" scale="55">
      <pane xSplit="7" ySplit="10" topLeftCell="H105" activePane="bottomRight" state="frozen"/>
      <selection pane="bottomRight" activeCell="Q67" sqref="Q67"/>
      <pageMargins left="0.7" right="0.7" top="0.75" bottom="0.75" header="0.3" footer="0.3"/>
      <pageSetup paperSize="9" orientation="portrait" r:id="rId5"/>
    </customSheetView>
    <customSheetView guid="{DAA8A688-7558-4B5B-8DBD-E2629BD9E9A8}" scale="55">
      <pane xSplit="7" ySplit="10" topLeftCell="H105" activePane="bottomRight" state="frozen"/>
      <selection pane="bottomRight" activeCell="Q67" sqref="Q67"/>
      <pageMargins left="0.7" right="0.7" top="0.75" bottom="0.75" header="0.3" footer="0.3"/>
      <pageSetup paperSize="9" orientation="portrait" r:id="rId6"/>
    </customSheetView>
    <customSheetView guid="{0C2B9C2A-7B94-41EF-A2E6-F8AC9A67DE25}" scale="55">
      <pane xSplit="7" ySplit="10" topLeftCell="H105" activePane="bottomRight" state="frozen"/>
      <selection pane="bottomRight" activeCell="Q67" sqref="Q67"/>
      <pageMargins left="0.7" right="0.7" top="0.75" bottom="0.75" header="0.3" footer="0.3"/>
      <pageSetup paperSize="9" orientation="portrait" r:id="rId7"/>
    </customSheetView>
    <customSheetView guid="{87218168-6C8E-4D5B-A5E5-DCCC26803AA3}" scale="55">
      <pane xSplit="7" ySplit="10" topLeftCell="H105" activePane="bottomRight" state="frozen"/>
      <selection pane="bottomRight" activeCell="Q113" sqref="Q113"/>
      <pageMargins left="0.7" right="0.7" top="0.75" bottom="0.75" header="0.3" footer="0.3"/>
      <pageSetup paperSize="9" orientation="portrait" r:id="rId8"/>
    </customSheetView>
    <customSheetView guid="{533DC55B-6AD4-4674-9488-685EF2039F3E}" scale="55">
      <pane xSplit="7" ySplit="10" topLeftCell="H105" activePane="bottomRight" state="frozen"/>
      <selection pane="bottomRight" activeCell="Q113" sqref="Q113"/>
      <pageMargins left="0.7" right="0.7" top="0.75" bottom="0.75" header="0.3" footer="0.3"/>
      <pageSetup paperSize="9" orientation="portrait" r:id="rId9"/>
    </customSheetView>
    <customSheetView guid="{69DABE6F-6182-4403-A4A2-969F10F1C13A}" scale="55">
      <pane xSplit="7" ySplit="10" topLeftCell="H19" activePane="bottomRight" state="frozen"/>
      <selection pane="bottomRight" activeCell="E30" sqref="E30"/>
      <pageMargins left="0.7" right="0.7" top="0.75" bottom="0.75" header="0.3" footer="0.3"/>
      <pageSetup paperSize="9" orientation="portrait" r:id="rId10"/>
    </customSheetView>
    <customSheetView guid="{84867370-1F3E-4368-AF79-FBCE46FFFE92}" scale="55">
      <pane xSplit="7" ySplit="10" topLeftCell="H19" activePane="bottomRight" state="frozen"/>
      <selection pane="bottomRight" activeCell="E30" sqref="E30"/>
      <pageMargins left="0.7" right="0.7" top="0.75" bottom="0.75" header="0.3" footer="0.3"/>
      <pageSetup paperSize="9" orientation="portrait" r:id="rId11"/>
    </customSheetView>
    <customSheetView guid="{47B983AB-FE5F-4725-860C-A2F29420596D}" scale="55">
      <pane xSplit="7" ySplit="10" topLeftCell="H113" activePane="bottomRight" state="frozen"/>
      <selection pane="bottomRight" activeCell="E30" sqref="E30"/>
      <pageMargins left="0.7" right="0.7" top="0.75" bottom="0.75" header="0.3" footer="0.3"/>
      <pageSetup paperSize="9" orientation="portrait" r:id="rId12"/>
    </customSheetView>
    <customSheetView guid="{959E901C-5DDE-42EE-AE94-AB8976B5E00B}" scale="70">
      <pane xSplit="7" ySplit="10" topLeftCell="U62" activePane="bottomRight" state="frozen"/>
      <selection pane="bottomRight" activeCell="AF70" sqref="AF70"/>
      <pageMargins left="0.7" right="0.7" top="0.75" bottom="0.75" header="0.3" footer="0.3"/>
      <pageSetup paperSize="9" orientation="portrait" r:id="rId13"/>
    </customSheetView>
    <customSheetView guid="{F679EF4A-C5FD-4B86-B87B-D85968E0F2CA}" scale="60">
      <pane xSplit="2" ySplit="11" topLeftCell="C115" activePane="bottomRight" state="frozen"/>
      <selection pane="bottomRight" activeCell="A142" sqref="A142"/>
      <pageMargins left="0.7" right="0.7" top="0.75" bottom="0.75" header="0.3" footer="0.3"/>
      <pageSetup paperSize="9" orientation="portrait" r:id="rId14"/>
    </customSheetView>
    <customSheetView guid="{009B3074-D8EC-4952-BF50-43CD64449612}" scale="70">
      <pane xSplit="2" ySplit="11" topLeftCell="AA90" activePane="bottomRight" state="frozen"/>
      <selection pane="bottomRight" activeCell="A92" sqref="A92"/>
      <pageMargins left="0.7" right="0.7" top="0.75" bottom="0.75" header="0.3" footer="0.3"/>
      <pageSetup paperSize="9" orientation="portrait" r:id="rId15"/>
    </customSheetView>
    <customSheetView guid="{770624BF-07F3-44B6-94C3-4CC447CDD45C}" scale="70">
      <pane xSplit="2" ySplit="11" topLeftCell="E141" activePane="bottomRight" state="frozen"/>
      <selection pane="bottomRight" activeCell="K128" sqref="K128"/>
      <pageMargins left="0.7" right="0.7" top="0.75" bottom="0.75" header="0.3" footer="0.3"/>
      <pageSetup paperSize="9" orientation="portrait" r:id="rId16"/>
    </customSheetView>
    <customSheetView guid="{B82BA08A-1A30-4F4D-A478-74A6BD09EA97}" scale="70">
      <pane xSplit="2" ySplit="11" topLeftCell="E12" activePane="bottomRight" state="frozen"/>
      <selection pane="bottomRight" activeCell="G23" sqref="G23"/>
      <pageMargins left="0.7" right="0.7" top="0.75" bottom="0.75" header="0.3" footer="0.3"/>
      <pageSetup paperSize="9" orientation="portrait" r:id="rId17"/>
    </customSheetView>
    <customSheetView guid="{874882D1-E741-4CCA-BF0D-E72FA60B771D}" scale="70">
      <pane xSplit="2" ySplit="11" topLeftCell="E141" activePane="bottomRight" state="frozen"/>
      <selection pane="bottomRight" activeCell="H60" sqref="H60"/>
      <pageMargins left="0.7" right="0.7" top="0.75" bottom="0.75" header="0.3" footer="0.3"/>
      <pageSetup paperSize="9" orientation="portrait" r:id="rId18"/>
    </customSheetView>
    <customSheetView guid="{C236B307-BD63-48C4-A75F-B3F3717BF55C}" scale="70">
      <pane xSplit="2" ySplit="11" topLeftCell="C87" activePane="bottomRight" state="frozen"/>
      <selection pane="bottomRight" activeCell="I107" sqref="I107"/>
      <pageMargins left="0.7" right="0.7" top="0.75" bottom="0.75" header="0.3" footer="0.3"/>
      <pageSetup paperSize="9" orientation="portrait" r:id="rId19"/>
    </customSheetView>
    <customSheetView guid="{BCD82A82-B724-4763-8580-D765356E09BA}" scale="70">
      <pane xSplit="2" ySplit="11" topLeftCell="C12" activePane="bottomRight" state="frozen"/>
      <selection pane="bottomRight" activeCell="A4" sqref="A4:AF4"/>
      <pageMargins left="0.7" right="0.7" top="0.75" bottom="0.75" header="0.3" footer="0.3"/>
    </customSheetView>
    <customSheetView guid="{B1BF08D1-D416-4B47-ADD0-4F59132DC9E8}" scale="70">
      <pane xSplit="7" ySplit="10" topLeftCell="H99" activePane="bottomRight" state="frozen"/>
      <selection pane="bottomRight" activeCell="G110" sqref="G110"/>
      <pageMargins left="0.7" right="0.7" top="0.75" bottom="0.75" header="0.3" footer="0.3"/>
      <pageSetup paperSize="9" orientation="portrait" r:id="rId20"/>
    </customSheetView>
    <customSheetView guid="{85F4575B-DBC5-482A-9916-255D8F0BC94E}" scale="70">
      <pane xSplit="7" ySplit="10" topLeftCell="AD93" activePane="bottomRight" state="frozen"/>
      <selection pane="bottomRight" activeCell="AF98" sqref="AF98"/>
      <pageMargins left="0.7" right="0.7" top="0.75" bottom="0.75" header="0.3" footer="0.3"/>
      <pageSetup paperSize="9" orientation="portrait" r:id="rId21"/>
    </customSheetView>
    <customSheetView guid="{74870EE6-26B9-40F7-9DC9-260EF16D8959}" scale="55">
      <pane xSplit="7" ySplit="10" topLeftCell="H105" activePane="bottomRight" state="frozen"/>
      <selection pane="bottomRight" activeCell="Q113" sqref="Q113"/>
      <pageMargins left="0.7" right="0.7" top="0.75" bottom="0.75" header="0.3" footer="0.3"/>
      <pageSetup paperSize="9" orientation="portrait" r:id="rId22"/>
    </customSheetView>
    <customSheetView guid="{E508E171-4ED9-4B07-84DF-DA28C60E1969}" scale="55">
      <pane xSplit="7" ySplit="10" topLeftCell="H105" activePane="bottomRight" state="frozen"/>
      <selection pane="bottomRight" activeCell="Q113" sqref="Q113"/>
      <pageMargins left="0.7" right="0.7" top="0.75" bottom="0.75" header="0.3" footer="0.3"/>
      <pageSetup paperSize="9" orientation="portrait" r:id="rId23"/>
    </customSheetView>
    <customSheetView guid="{4D0DFB57-2CBA-42F2-9A97-C453A6851FBA}" scale="55">
      <pane xSplit="7" ySplit="10" topLeftCell="H105" activePane="bottomRight" state="frozen"/>
      <selection pane="bottomRight" activeCell="Q113" sqref="Q113"/>
      <pageMargins left="0.7" right="0.7" top="0.75" bottom="0.75" header="0.3" footer="0.3"/>
      <pageSetup paperSize="9" orientation="portrait" r:id="rId24"/>
    </customSheetView>
    <customSheetView guid="{CE1CCA00-200D-4EAA-9FBE-F8EE7C5F82FE}" scale="55">
      <pane xSplit="7" ySplit="10" topLeftCell="H105" activePane="bottomRight" state="frozen"/>
      <selection pane="bottomRight" activeCell="Q67" sqref="Q67"/>
      <pageMargins left="0.7" right="0.7" top="0.75" bottom="0.75" header="0.3" footer="0.3"/>
      <pageSetup paperSize="9" orientation="portrait" r:id="rId25"/>
    </customSheetView>
    <customSheetView guid="{442F2C94-DD1B-4A01-8694-513D4D6F3BD9}" scale="55">
      <pane xSplit="7" ySplit="10" topLeftCell="H105" activePane="bottomRight" state="frozen"/>
      <selection pane="bottomRight" activeCell="Q67" sqref="Q67"/>
      <pageMargins left="0.7" right="0.7" top="0.75" bottom="0.75" header="0.3" footer="0.3"/>
      <pageSetup paperSize="9" orientation="portrait" r:id="rId26"/>
    </customSheetView>
    <customSheetView guid="{AC2D5927-4079-4C74-AF69-1BFAC505648F}" scale="55">
      <pane xSplit="7" ySplit="10" topLeftCell="H105" activePane="bottomRight" state="frozen"/>
      <selection pane="bottomRight" activeCell="Q67" sqref="Q67"/>
      <pageMargins left="0.7" right="0.7" top="0.75" bottom="0.75" header="0.3" footer="0.3"/>
      <pageSetup paperSize="9" orientation="portrait" r:id="rId27"/>
    </customSheetView>
    <customSheetView guid="{602C8EDB-B9EF-4C85-B0D5-0558C3A0ABAB}" scale="55">
      <pane xSplit="7" ySplit="10" topLeftCell="H105" activePane="bottomRight" state="frozen"/>
      <selection pane="bottomRight" activeCell="Q67" sqref="Q67"/>
      <pageMargins left="0.7" right="0.7" top="0.75" bottom="0.75" header="0.3" footer="0.3"/>
      <pageSetup paperSize="9" orientation="portrait" r:id="rId28"/>
    </customSheetView>
    <customSheetView guid="{09C3E205-981E-4A4E-BE89-8B7044192060}" scale="55">
      <pane xSplit="7" ySplit="10" topLeftCell="H11" activePane="bottomRight" state="frozen"/>
      <selection pane="bottomRight" activeCell="C109" sqref="C109"/>
      <pageMargins left="0.7" right="0.7" top="0.75" bottom="0.75" header="0.3" footer="0.3"/>
      <pageSetup paperSize="9" orientation="portrait" r:id="rId29"/>
    </customSheetView>
  </customSheetViews>
  <mergeCells count="25">
    <mergeCell ref="A111:AF111"/>
    <mergeCell ref="A118:AF118"/>
    <mergeCell ref="A119:AF119"/>
    <mergeCell ref="A9:AF9"/>
    <mergeCell ref="A10:AF10"/>
    <mergeCell ref="A23:AF23"/>
    <mergeCell ref="A96:AF96"/>
    <mergeCell ref="A97:AF97"/>
    <mergeCell ref="A110:AF110"/>
    <mergeCell ref="AF6:AF7"/>
    <mergeCell ref="A4:AF4"/>
    <mergeCell ref="A6:A7"/>
    <mergeCell ref="F6:G6"/>
    <mergeCell ref="H6:I6"/>
    <mergeCell ref="J6:K6"/>
    <mergeCell ref="L6:M6"/>
    <mergeCell ref="N6:O6"/>
    <mergeCell ref="P6:Q6"/>
    <mergeCell ref="R6:S6"/>
    <mergeCell ref="T6:U6"/>
    <mergeCell ref="V6:W6"/>
    <mergeCell ref="X6:Y6"/>
    <mergeCell ref="Z6:AA6"/>
    <mergeCell ref="AB6:AC6"/>
    <mergeCell ref="AD6:AE6"/>
  </mergeCells>
  <hyperlinks>
    <hyperlink ref="A4:AF4" location="Оглавление!A1" display="Комплексный план (сетевой график) по реализации муниципальной программы  &quot;Развитие физической культуры и спорта в городе Когалыме&quot;"/>
  </hyperlinks>
  <pageMargins left="0.7" right="0.7" top="0.75" bottom="0.75" header="0.3" footer="0.3"/>
  <pageSetup paperSize="9" orientation="portrait" r:id="rId30"/>
  <legacyDrawing r:id="rId3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customSheetViews>
    <customSheetView guid="{7C130984-112A-4861-AA43-E2940708E3DC}" state="hidden">
      <pageMargins left="0.7" right="0.7" top="0.75" bottom="0.75" header="0.3" footer="0.3"/>
    </customSheetView>
    <customSheetView guid="{4F41B9CC-959D-442C-80B0-1F0DB2C76D27}" state="hidden">
      <pageMargins left="0.7" right="0.7" top="0.75" bottom="0.75" header="0.3" footer="0.3"/>
    </customSheetView>
    <customSheetView guid="{391AB76E-B386-49C1-800F-016A48AA1A46}" state="hidden">
      <pageMargins left="0.7" right="0.7" top="0.75" bottom="0.75" header="0.3" footer="0.3"/>
    </customSheetView>
    <customSheetView guid="{D01FA037-9AEC-4167-ADB8-2F327C01ECE6}" state="hidden">
      <pageMargins left="0.7" right="0.7" top="0.75" bottom="0.75" header="0.3" footer="0.3"/>
    </customSheetView>
    <customSheetView guid="{6A602CB8-B24C-4ED4-B378-B27354BE0A1A}" state="hidden">
      <pageMargins left="0.7" right="0.7" top="0.75" bottom="0.75" header="0.3" footer="0.3"/>
    </customSheetView>
    <customSheetView guid="{DAA8A688-7558-4B5B-8DBD-E2629BD9E9A8}" state="hidden">
      <pageMargins left="0.7" right="0.7" top="0.75" bottom="0.75" header="0.3" footer="0.3"/>
    </customSheetView>
    <customSheetView guid="{0C2B9C2A-7B94-41EF-A2E6-F8AC9A67DE25}" state="hidden">
      <pageMargins left="0.7" right="0.7" top="0.75" bottom="0.75" header="0.3" footer="0.3"/>
    </customSheetView>
    <customSheetView guid="{87218168-6C8E-4D5B-A5E5-DCCC26803AA3}" state="hidden">
      <pageMargins left="0.7" right="0.7" top="0.75" bottom="0.75" header="0.3" footer="0.3"/>
    </customSheetView>
    <customSheetView guid="{533DC55B-6AD4-4674-9488-685EF2039F3E}" state="hidden">
      <pageMargins left="0.7" right="0.7" top="0.75" bottom="0.75" header="0.3" footer="0.3"/>
    </customSheetView>
    <customSheetView guid="{69DABE6F-6182-4403-A4A2-969F10F1C13A}" state="hidden">
      <pageMargins left="0.7" right="0.7" top="0.75" bottom="0.75" header="0.3" footer="0.3"/>
    </customSheetView>
    <customSheetView guid="{84867370-1F3E-4368-AF79-FBCE46FFFE92}" state="hidden">
      <pageMargins left="0.7" right="0.7" top="0.75" bottom="0.75" header="0.3" footer="0.3"/>
    </customSheetView>
    <customSheetView guid="{47B983AB-FE5F-4725-860C-A2F29420596D}">
      <pageMargins left="0.7" right="0.7" top="0.75" bottom="0.75" header="0.3" footer="0.3"/>
    </customSheetView>
    <customSheetView guid="{959E901C-5DDE-42EE-AE94-AB8976B5E00B}">
      <pageMargins left="0.7" right="0.7" top="0.75" bottom="0.75" header="0.3" footer="0.3"/>
    </customSheetView>
    <customSheetView guid="{B1BF08D1-D416-4B47-ADD0-4F59132DC9E8}">
      <pageMargins left="0.7" right="0.7" top="0.75" bottom="0.75" header="0.3" footer="0.3"/>
    </customSheetView>
    <customSheetView guid="{85F4575B-DBC5-482A-9916-255D8F0BC94E}">
      <pageMargins left="0.7" right="0.7" top="0.75" bottom="0.75" header="0.3" footer="0.3"/>
    </customSheetView>
    <customSheetView guid="{74870EE6-26B9-40F7-9DC9-260EF16D8959}" state="hidden">
      <pageMargins left="0.7" right="0.7" top="0.75" bottom="0.75" header="0.3" footer="0.3"/>
    </customSheetView>
    <customSheetView guid="{E508E171-4ED9-4B07-84DF-DA28C60E1969}" state="hidden">
      <pageMargins left="0.7" right="0.7" top="0.75" bottom="0.75" header="0.3" footer="0.3"/>
    </customSheetView>
    <customSheetView guid="{4D0DFB57-2CBA-42F2-9A97-C453A6851FBA}" state="hidden">
      <pageMargins left="0.7" right="0.7" top="0.75" bottom="0.75" header="0.3" footer="0.3"/>
    </customSheetView>
    <customSheetView guid="{CE1CCA00-200D-4EAA-9FBE-F8EE7C5F82FE}" state="hidden">
      <pageMargins left="0.7" right="0.7" top="0.75" bottom="0.75" header="0.3" footer="0.3"/>
    </customSheetView>
    <customSheetView guid="{442F2C94-DD1B-4A01-8694-513D4D6F3BD9}" state="hidden">
      <pageMargins left="0.7" right="0.7" top="0.75" bottom="0.75" header="0.3" footer="0.3"/>
    </customSheetView>
    <customSheetView guid="{AC2D5927-4079-4C74-AF69-1BFAC505648F}" state="hidden">
      <pageMargins left="0.7" right="0.7" top="0.75" bottom="0.75" header="0.3" footer="0.3"/>
    </customSheetView>
    <customSheetView guid="{602C8EDB-B9EF-4C85-B0D5-0558C3A0ABAB}" state="hidden">
      <pageMargins left="0.7" right="0.7" top="0.75" bottom="0.75" header="0.3" footer="0.3"/>
    </customSheetView>
    <customSheetView guid="{09C3E205-981E-4A4E-BE89-8B7044192060}" state="hidden">
      <pageMargins left="0.7" right="0.7" top="0.75" bottom="0.75" header="0.3" footer="0.3"/>
    </customSheetView>
  </customSheetViews>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AP380"/>
  <sheetViews>
    <sheetView zoomScale="55" zoomScaleNormal="55" workbookViewId="0">
      <pane xSplit="2" ySplit="11" topLeftCell="N171" activePane="bottomRight" state="frozen"/>
      <selection activeCell="F284" sqref="F284:G284"/>
      <selection pane="topRight" activeCell="F284" sqref="F284:G284"/>
      <selection pane="bottomLeft" activeCell="F284" sqref="F284:G284"/>
      <selection pane="bottomRight" activeCell="AF179" sqref="AF179"/>
    </sheetView>
  </sheetViews>
  <sheetFormatPr defaultColWidth="9.140625" defaultRowHeight="18.75" x14ac:dyDescent="0.3"/>
  <cols>
    <col min="1" max="1" width="62.140625" style="33" customWidth="1"/>
    <col min="2" max="2" width="23.7109375" style="33" customWidth="1"/>
    <col min="3" max="3" width="18.28515625" style="33" customWidth="1"/>
    <col min="4" max="4" width="20.85546875" style="33" customWidth="1"/>
    <col min="5" max="5" width="20.42578125" style="33" customWidth="1"/>
    <col min="6" max="6" width="13.7109375" style="33" customWidth="1"/>
    <col min="7" max="7" width="14" style="33" customWidth="1"/>
    <col min="8" max="8" width="16.42578125" style="33" customWidth="1"/>
    <col min="9" max="9" width="17.7109375" style="33" customWidth="1"/>
    <col min="10" max="10" width="16.7109375" style="33" customWidth="1"/>
    <col min="11" max="11" width="14.7109375" style="33" customWidth="1"/>
    <col min="12" max="12" width="15.140625" style="33" customWidth="1"/>
    <col min="13" max="13" width="17.28515625" style="33" customWidth="1"/>
    <col min="14" max="14" width="15.7109375" style="33" customWidth="1"/>
    <col min="15" max="15" width="17.28515625" style="33" customWidth="1"/>
    <col min="16" max="16" width="17.5703125" style="33" customWidth="1"/>
    <col min="17" max="17" width="16.7109375" style="33" customWidth="1"/>
    <col min="18" max="18" width="15.42578125" style="33" customWidth="1"/>
    <col min="19" max="19" width="17.5703125" style="33" customWidth="1"/>
    <col min="20" max="20" width="17.28515625" style="33" customWidth="1"/>
    <col min="21" max="21" width="11.5703125" style="33" customWidth="1"/>
    <col min="22" max="22" width="14.7109375" style="33" customWidth="1"/>
    <col min="23" max="23" width="11.5703125" style="33" customWidth="1"/>
    <col min="24" max="24" width="15.140625" style="33" customWidth="1"/>
    <col min="25" max="25" width="11.5703125" style="33" customWidth="1"/>
    <col min="26" max="26" width="15.140625" style="33" customWidth="1"/>
    <col min="27" max="27" width="11.5703125" style="33" customWidth="1"/>
    <col min="28" max="28" width="16.5703125" style="33" customWidth="1"/>
    <col min="29" max="29" width="13.85546875" style="33" customWidth="1"/>
    <col min="30" max="30" width="22.7109375" style="33" customWidth="1"/>
    <col min="31" max="31" width="11.5703125" style="33" customWidth="1"/>
    <col min="32" max="32" width="79.85546875" style="33" customWidth="1"/>
    <col min="33" max="33" width="31" style="33" customWidth="1"/>
    <col min="34" max="34" width="11.85546875" style="33" bestFit="1" customWidth="1"/>
    <col min="35" max="16384" width="9.140625" style="33"/>
  </cols>
  <sheetData>
    <row r="4" spans="1:33" x14ac:dyDescent="0.3">
      <c r="A4" s="1026" t="s">
        <v>273</v>
      </c>
      <c r="B4" s="1026"/>
      <c r="C4" s="1026"/>
      <c r="D4" s="1026"/>
      <c r="E4" s="1026"/>
      <c r="F4" s="1026"/>
      <c r="G4" s="1026"/>
      <c r="H4" s="1026"/>
      <c r="I4" s="1026"/>
      <c r="J4" s="1026"/>
      <c r="K4" s="1026"/>
      <c r="L4" s="1026"/>
      <c r="M4" s="1026"/>
      <c r="N4" s="1026"/>
      <c r="O4" s="1026"/>
      <c r="P4" s="1026"/>
      <c r="Q4" s="1026"/>
      <c r="R4" s="1026"/>
      <c r="S4" s="1026"/>
      <c r="T4" s="1026"/>
      <c r="U4" s="1026"/>
      <c r="V4" s="1026"/>
      <c r="W4" s="1026"/>
      <c r="X4" s="1026"/>
      <c r="Y4" s="1026"/>
      <c r="Z4" s="1026"/>
      <c r="AA4" s="1026"/>
      <c r="AB4" s="1026"/>
      <c r="AC4" s="1026"/>
      <c r="AD4" s="1026"/>
      <c r="AE4" s="1026"/>
      <c r="AF4" s="1026"/>
    </row>
    <row r="6" spans="1:33" ht="50.25" customHeight="1" x14ac:dyDescent="0.3">
      <c r="A6" s="1027" t="s">
        <v>163</v>
      </c>
      <c r="B6" s="95" t="s">
        <v>3</v>
      </c>
      <c r="C6" s="95" t="s">
        <v>3</v>
      </c>
      <c r="D6" s="95" t="s">
        <v>4</v>
      </c>
      <c r="E6" s="95" t="s">
        <v>5</v>
      </c>
      <c r="F6" s="1028" t="s">
        <v>6</v>
      </c>
      <c r="G6" s="1029"/>
      <c r="H6" s="1028" t="s">
        <v>7</v>
      </c>
      <c r="I6" s="1030"/>
      <c r="J6" s="1028" t="s">
        <v>8</v>
      </c>
      <c r="K6" s="1030"/>
      <c r="L6" s="1028" t="s">
        <v>9</v>
      </c>
      <c r="M6" s="1030"/>
      <c r="N6" s="1028" t="s">
        <v>10</v>
      </c>
      <c r="O6" s="1030"/>
      <c r="P6" s="1028" t="s">
        <v>11</v>
      </c>
      <c r="Q6" s="1030"/>
      <c r="R6" s="1028" t="s">
        <v>12</v>
      </c>
      <c r="S6" s="1030"/>
      <c r="T6" s="1028" t="s">
        <v>13</v>
      </c>
      <c r="U6" s="1030"/>
      <c r="V6" s="1028" t="s">
        <v>14</v>
      </c>
      <c r="W6" s="1030"/>
      <c r="X6" s="1028" t="s">
        <v>15</v>
      </c>
      <c r="Y6" s="1030"/>
      <c r="Z6" s="1028" t="s">
        <v>16</v>
      </c>
      <c r="AA6" s="1030"/>
      <c r="AB6" s="1028" t="s">
        <v>17</v>
      </c>
      <c r="AC6" s="1030"/>
      <c r="AD6" s="1031" t="s">
        <v>18</v>
      </c>
      <c r="AE6" s="1031"/>
      <c r="AF6" s="1019" t="s">
        <v>19</v>
      </c>
    </row>
    <row r="7" spans="1:33" ht="56.25" x14ac:dyDescent="0.3">
      <c r="A7" s="1027"/>
      <c r="B7" s="3">
        <v>2024</v>
      </c>
      <c r="C7" s="4">
        <v>45474</v>
      </c>
      <c r="D7" s="4">
        <v>45474</v>
      </c>
      <c r="E7" s="4">
        <v>45474</v>
      </c>
      <c r="F7" s="5" t="s">
        <v>20</v>
      </c>
      <c r="G7" s="5" t="s">
        <v>21</v>
      </c>
      <c r="H7" s="96" t="s">
        <v>22</v>
      </c>
      <c r="I7" s="96" t="s">
        <v>164</v>
      </c>
      <c r="J7" s="96" t="s">
        <v>22</v>
      </c>
      <c r="K7" s="96" t="s">
        <v>164</v>
      </c>
      <c r="L7" s="96" t="s">
        <v>22</v>
      </c>
      <c r="M7" s="96" t="s">
        <v>164</v>
      </c>
      <c r="N7" s="96" t="s">
        <v>22</v>
      </c>
      <c r="O7" s="96" t="s">
        <v>164</v>
      </c>
      <c r="P7" s="96" t="s">
        <v>22</v>
      </c>
      <c r="Q7" s="96" t="s">
        <v>164</v>
      </c>
      <c r="R7" s="96" t="s">
        <v>22</v>
      </c>
      <c r="S7" s="96" t="s">
        <v>164</v>
      </c>
      <c r="T7" s="96" t="s">
        <v>22</v>
      </c>
      <c r="U7" s="96" t="s">
        <v>164</v>
      </c>
      <c r="V7" s="96" t="s">
        <v>22</v>
      </c>
      <c r="W7" s="96" t="s">
        <v>164</v>
      </c>
      <c r="X7" s="96" t="s">
        <v>22</v>
      </c>
      <c r="Y7" s="96" t="s">
        <v>164</v>
      </c>
      <c r="Z7" s="96" t="s">
        <v>22</v>
      </c>
      <c r="AA7" s="96" t="s">
        <v>164</v>
      </c>
      <c r="AB7" s="96" t="s">
        <v>22</v>
      </c>
      <c r="AC7" s="96" t="s">
        <v>164</v>
      </c>
      <c r="AD7" s="96" t="s">
        <v>165</v>
      </c>
      <c r="AE7" s="96" t="s">
        <v>164</v>
      </c>
      <c r="AF7" s="1020"/>
    </row>
    <row r="8" spans="1:33" x14ac:dyDescent="0.3">
      <c r="A8" s="6">
        <v>1</v>
      </c>
      <c r="B8" s="6">
        <v>2</v>
      </c>
      <c r="C8" s="6">
        <v>3</v>
      </c>
      <c r="D8" s="6">
        <v>4</v>
      </c>
      <c r="E8" s="6">
        <v>5</v>
      </c>
      <c r="F8" s="6">
        <v>6</v>
      </c>
      <c r="G8" s="6">
        <v>7</v>
      </c>
      <c r="H8" s="6">
        <v>8</v>
      </c>
      <c r="I8" s="6">
        <v>9</v>
      </c>
      <c r="J8" s="6">
        <v>10</v>
      </c>
      <c r="K8" s="6">
        <v>11</v>
      </c>
      <c r="L8" s="6">
        <v>12</v>
      </c>
      <c r="M8" s="6">
        <v>13</v>
      </c>
      <c r="N8" s="6">
        <v>14</v>
      </c>
      <c r="O8" s="6">
        <v>15</v>
      </c>
      <c r="P8" s="6">
        <v>16</v>
      </c>
      <c r="Q8" s="6">
        <v>17</v>
      </c>
      <c r="R8" s="6">
        <v>18</v>
      </c>
      <c r="S8" s="6">
        <v>19</v>
      </c>
      <c r="T8" s="6">
        <v>20</v>
      </c>
      <c r="U8" s="6">
        <v>21</v>
      </c>
      <c r="V8" s="6">
        <v>22</v>
      </c>
      <c r="W8" s="6">
        <v>23</v>
      </c>
      <c r="X8" s="6">
        <v>24</v>
      </c>
      <c r="Y8" s="6">
        <v>25</v>
      </c>
      <c r="Z8" s="6">
        <v>26</v>
      </c>
      <c r="AA8" s="6">
        <v>27</v>
      </c>
      <c r="AB8" s="6">
        <v>28</v>
      </c>
      <c r="AC8" s="6">
        <v>29</v>
      </c>
      <c r="AD8" s="6">
        <v>30</v>
      </c>
      <c r="AE8" s="6">
        <v>31</v>
      </c>
      <c r="AF8" s="6">
        <v>32</v>
      </c>
    </row>
    <row r="9" spans="1:33" s="97" customFormat="1" x14ac:dyDescent="0.3">
      <c r="A9" s="1032" t="s">
        <v>274</v>
      </c>
      <c r="B9" s="1033"/>
      <c r="C9" s="1033"/>
      <c r="D9" s="1033"/>
      <c r="E9" s="1033"/>
      <c r="F9" s="1033"/>
      <c r="G9" s="1033"/>
      <c r="H9" s="1033"/>
      <c r="I9" s="1033"/>
      <c r="J9" s="1033"/>
      <c r="K9" s="1033"/>
      <c r="L9" s="1033"/>
      <c r="M9" s="1033"/>
      <c r="N9" s="1033"/>
      <c r="O9" s="1033"/>
      <c r="P9" s="1033"/>
      <c r="Q9" s="1033"/>
      <c r="R9" s="1033"/>
      <c r="S9" s="1033"/>
      <c r="T9" s="1033"/>
      <c r="U9" s="1033"/>
      <c r="V9" s="1033"/>
      <c r="W9" s="1033"/>
      <c r="X9" s="1033"/>
      <c r="Y9" s="1033"/>
      <c r="Z9" s="1033"/>
      <c r="AA9" s="1033"/>
      <c r="AB9" s="1033"/>
      <c r="AC9" s="1033"/>
      <c r="AD9" s="1033"/>
      <c r="AE9" s="1033"/>
      <c r="AF9" s="1034"/>
    </row>
    <row r="10" spans="1:33" s="97" customFormat="1" x14ac:dyDescent="0.3">
      <c r="A10" s="1032" t="s">
        <v>167</v>
      </c>
      <c r="B10" s="1033"/>
      <c r="C10" s="1033"/>
      <c r="D10" s="1033"/>
      <c r="E10" s="1033"/>
      <c r="F10" s="1033"/>
      <c r="G10" s="1033"/>
      <c r="H10" s="1033"/>
      <c r="I10" s="1033"/>
      <c r="J10" s="1033"/>
      <c r="K10" s="1033"/>
      <c r="L10" s="1033"/>
      <c r="M10" s="1033"/>
      <c r="N10" s="1033"/>
      <c r="O10" s="1033"/>
      <c r="P10" s="1033"/>
      <c r="Q10" s="1033"/>
      <c r="R10" s="1033"/>
      <c r="S10" s="1033"/>
      <c r="T10" s="1033"/>
      <c r="U10" s="1033"/>
      <c r="V10" s="1033"/>
      <c r="W10" s="1033"/>
      <c r="X10" s="1033"/>
      <c r="Y10" s="1033"/>
      <c r="Z10" s="1033"/>
      <c r="AA10" s="1033"/>
      <c r="AB10" s="1033"/>
      <c r="AC10" s="1033"/>
      <c r="AD10" s="1033"/>
      <c r="AE10" s="1033"/>
      <c r="AF10" s="1034"/>
    </row>
    <row r="11" spans="1:33" ht="56.25" customHeight="1" x14ac:dyDescent="0.3">
      <c r="A11" s="98" t="s">
        <v>275</v>
      </c>
      <c r="B11" s="99"/>
      <c r="C11" s="100"/>
      <c r="D11" s="100"/>
      <c r="E11" s="100"/>
      <c r="F11" s="100"/>
      <c r="G11" s="100"/>
      <c r="H11" s="100"/>
      <c r="I11" s="100"/>
      <c r="J11" s="100"/>
      <c r="K11" s="100"/>
      <c r="L11" s="100"/>
      <c r="M11" s="100"/>
      <c r="N11" s="100"/>
      <c r="O11" s="100"/>
      <c r="P11" s="100"/>
      <c r="Q11" s="100"/>
      <c r="R11" s="100"/>
      <c r="S11" s="100"/>
      <c r="T11" s="100"/>
      <c r="U11" s="100"/>
      <c r="V11" s="100"/>
      <c r="W11" s="100"/>
      <c r="X11" s="100"/>
      <c r="Y11" s="100"/>
      <c r="Z11" s="100"/>
      <c r="AA11" s="100"/>
      <c r="AB11" s="100"/>
      <c r="AC11" s="100"/>
      <c r="AD11" s="100"/>
      <c r="AE11" s="100"/>
      <c r="AF11" s="101"/>
      <c r="AG11" s="102">
        <f>B11-H11-J11-L11-N11-P11-R11-T11-V11-X11-Z11-AB11-AD11</f>
        <v>0</v>
      </c>
    </row>
    <row r="12" spans="1:33" x14ac:dyDescent="0.3">
      <c r="A12" s="103" t="s">
        <v>31</v>
      </c>
      <c r="B12" s="104">
        <f>B13+B14+B15+B16</f>
        <v>240.00299999999999</v>
      </c>
      <c r="C12" s="104">
        <f>C13+C14+C15+C16</f>
        <v>240.00299999999999</v>
      </c>
      <c r="D12" s="104">
        <f>D13+D14+D15+D16</f>
        <v>237.77</v>
      </c>
      <c r="E12" s="104">
        <f>E13+E14+E15+E16</f>
        <v>237.77</v>
      </c>
      <c r="F12" s="105">
        <f>IFERROR(E12/B12*100,0)</f>
        <v>99.069594963396298</v>
      </c>
      <c r="G12" s="105">
        <f>IFERROR(E12/C12*100,0)</f>
        <v>99.069594963396298</v>
      </c>
      <c r="H12" s="104">
        <f>H13+H14+H15+H16</f>
        <v>0</v>
      </c>
      <c r="I12" s="104">
        <f t="shared" ref="I12:AE12" si="0">I13+I14+I15+I16</f>
        <v>0</v>
      </c>
      <c r="J12" s="104">
        <f t="shared" si="0"/>
        <v>137.773</v>
      </c>
      <c r="K12" s="104">
        <f t="shared" si="0"/>
        <v>137.77000000000001</v>
      </c>
      <c r="L12" s="104">
        <f t="shared" si="0"/>
        <v>0</v>
      </c>
      <c r="M12" s="104">
        <f t="shared" si="0"/>
        <v>0</v>
      </c>
      <c r="N12" s="104">
        <f t="shared" si="0"/>
        <v>0</v>
      </c>
      <c r="O12" s="104">
        <f t="shared" si="0"/>
        <v>0</v>
      </c>
      <c r="P12" s="104">
        <f t="shared" si="0"/>
        <v>0</v>
      </c>
      <c r="Q12" s="104">
        <f t="shared" si="0"/>
        <v>0</v>
      </c>
      <c r="R12" s="104">
        <f t="shared" si="0"/>
        <v>102.23</v>
      </c>
      <c r="S12" s="104">
        <f t="shared" si="0"/>
        <v>100</v>
      </c>
      <c r="T12" s="104">
        <f t="shared" si="0"/>
        <v>0</v>
      </c>
      <c r="U12" s="104">
        <f t="shared" si="0"/>
        <v>0</v>
      </c>
      <c r="V12" s="104">
        <f t="shared" si="0"/>
        <v>0</v>
      </c>
      <c r="W12" s="104">
        <f t="shared" si="0"/>
        <v>0</v>
      </c>
      <c r="X12" s="104">
        <f t="shared" si="0"/>
        <v>0</v>
      </c>
      <c r="Y12" s="104">
        <f t="shared" si="0"/>
        <v>0</v>
      </c>
      <c r="Z12" s="104">
        <f t="shared" si="0"/>
        <v>0</v>
      </c>
      <c r="AA12" s="104">
        <f t="shared" si="0"/>
        <v>0</v>
      </c>
      <c r="AB12" s="104">
        <f t="shared" si="0"/>
        <v>0</v>
      </c>
      <c r="AC12" s="104">
        <f t="shared" si="0"/>
        <v>0</v>
      </c>
      <c r="AD12" s="104">
        <f t="shared" si="0"/>
        <v>0</v>
      </c>
      <c r="AE12" s="104">
        <f t="shared" si="0"/>
        <v>0</v>
      </c>
      <c r="AF12" s="101"/>
      <c r="AG12" s="102">
        <f t="shared" ref="AG12:AG129" si="1">B12-H12-J12-L12-N12-P12-R12-T12-V12-X12-Z12-AB12-AD12</f>
        <v>-1.4210854715202004E-14</v>
      </c>
    </row>
    <row r="13" spans="1:33" x14ac:dyDescent="0.3">
      <c r="A13" s="106" t="s">
        <v>169</v>
      </c>
      <c r="B13" s="107">
        <f>B19</f>
        <v>0</v>
      </c>
      <c r="C13" s="107">
        <f t="shared" ref="C13:E16" si="2">C19</f>
        <v>0</v>
      </c>
      <c r="D13" s="107">
        <f t="shared" si="2"/>
        <v>0</v>
      </c>
      <c r="E13" s="107">
        <f t="shared" si="2"/>
        <v>0</v>
      </c>
      <c r="F13" s="107">
        <f>IFERROR(E13/B13*100,0)</f>
        <v>0</v>
      </c>
      <c r="G13" s="107">
        <f>IFERROR(E13/C13*100,0)</f>
        <v>0</v>
      </c>
      <c r="H13" s="107">
        <f t="shared" ref="H13:AE16" si="3">H19</f>
        <v>0</v>
      </c>
      <c r="I13" s="107">
        <f t="shared" si="3"/>
        <v>0</v>
      </c>
      <c r="J13" s="107">
        <f t="shared" si="3"/>
        <v>0</v>
      </c>
      <c r="K13" s="107">
        <f t="shared" si="3"/>
        <v>0</v>
      </c>
      <c r="L13" s="107">
        <f t="shared" si="3"/>
        <v>0</v>
      </c>
      <c r="M13" s="107">
        <f t="shared" si="3"/>
        <v>0</v>
      </c>
      <c r="N13" s="107">
        <f t="shared" si="3"/>
        <v>0</v>
      </c>
      <c r="O13" s="107">
        <f t="shared" si="3"/>
        <v>0</v>
      </c>
      <c r="P13" s="107">
        <f t="shared" si="3"/>
        <v>0</v>
      </c>
      <c r="Q13" s="107">
        <f t="shared" si="3"/>
        <v>0</v>
      </c>
      <c r="R13" s="107">
        <f t="shared" si="3"/>
        <v>0</v>
      </c>
      <c r="S13" s="107">
        <f t="shared" si="3"/>
        <v>0</v>
      </c>
      <c r="T13" s="107">
        <f t="shared" si="3"/>
        <v>0</v>
      </c>
      <c r="U13" s="107">
        <f t="shared" si="3"/>
        <v>0</v>
      </c>
      <c r="V13" s="107">
        <f t="shared" si="3"/>
        <v>0</v>
      </c>
      <c r="W13" s="107">
        <f t="shared" si="3"/>
        <v>0</v>
      </c>
      <c r="X13" s="107">
        <f t="shared" si="3"/>
        <v>0</v>
      </c>
      <c r="Y13" s="107">
        <f t="shared" si="3"/>
        <v>0</v>
      </c>
      <c r="Z13" s="107">
        <f t="shared" si="3"/>
        <v>0</v>
      </c>
      <c r="AA13" s="107">
        <f t="shared" si="3"/>
        <v>0</v>
      </c>
      <c r="AB13" s="107">
        <f t="shared" si="3"/>
        <v>0</v>
      </c>
      <c r="AC13" s="107">
        <f t="shared" si="3"/>
        <v>0</v>
      </c>
      <c r="AD13" s="107">
        <f t="shared" si="3"/>
        <v>0</v>
      </c>
      <c r="AE13" s="107">
        <f t="shared" si="3"/>
        <v>0</v>
      </c>
      <c r="AF13" s="101"/>
      <c r="AG13" s="102">
        <f t="shared" si="1"/>
        <v>0</v>
      </c>
    </row>
    <row r="14" spans="1:33" x14ac:dyDescent="0.3">
      <c r="A14" s="106" t="s">
        <v>32</v>
      </c>
      <c r="B14" s="107">
        <f>B20</f>
        <v>0</v>
      </c>
      <c r="C14" s="107">
        <f t="shared" si="2"/>
        <v>0</v>
      </c>
      <c r="D14" s="107">
        <f t="shared" si="2"/>
        <v>0</v>
      </c>
      <c r="E14" s="107">
        <f t="shared" si="2"/>
        <v>0</v>
      </c>
      <c r="F14" s="107">
        <f>IFERROR(E14/B14*100,0)</f>
        <v>0</v>
      </c>
      <c r="G14" s="107">
        <f>IFERROR(E14/C14*100,0)</f>
        <v>0</v>
      </c>
      <c r="H14" s="107">
        <f t="shared" si="3"/>
        <v>0</v>
      </c>
      <c r="I14" s="107">
        <f t="shared" si="3"/>
        <v>0</v>
      </c>
      <c r="J14" s="107">
        <f t="shared" si="3"/>
        <v>0</v>
      </c>
      <c r="K14" s="107">
        <f t="shared" si="3"/>
        <v>0</v>
      </c>
      <c r="L14" s="107">
        <f t="shared" si="3"/>
        <v>0</v>
      </c>
      <c r="M14" s="107">
        <f t="shared" si="3"/>
        <v>0</v>
      </c>
      <c r="N14" s="107">
        <f t="shared" si="3"/>
        <v>0</v>
      </c>
      <c r="O14" s="107">
        <f t="shared" si="3"/>
        <v>0</v>
      </c>
      <c r="P14" s="107">
        <f t="shared" si="3"/>
        <v>0</v>
      </c>
      <c r="Q14" s="107">
        <f t="shared" si="3"/>
        <v>0</v>
      </c>
      <c r="R14" s="107">
        <f t="shared" si="3"/>
        <v>0</v>
      </c>
      <c r="S14" s="107">
        <f t="shared" si="3"/>
        <v>0</v>
      </c>
      <c r="T14" s="107">
        <f t="shared" si="3"/>
        <v>0</v>
      </c>
      <c r="U14" s="107">
        <f t="shared" si="3"/>
        <v>0</v>
      </c>
      <c r="V14" s="107">
        <f t="shared" si="3"/>
        <v>0</v>
      </c>
      <c r="W14" s="107">
        <f t="shared" si="3"/>
        <v>0</v>
      </c>
      <c r="X14" s="107">
        <f t="shared" si="3"/>
        <v>0</v>
      </c>
      <c r="Y14" s="107">
        <f t="shared" si="3"/>
        <v>0</v>
      </c>
      <c r="Z14" s="107">
        <f t="shared" si="3"/>
        <v>0</v>
      </c>
      <c r="AA14" s="107">
        <f t="shared" si="3"/>
        <v>0</v>
      </c>
      <c r="AB14" s="107">
        <f t="shared" si="3"/>
        <v>0</v>
      </c>
      <c r="AC14" s="107">
        <f t="shared" si="3"/>
        <v>0</v>
      </c>
      <c r="AD14" s="107">
        <f t="shared" si="3"/>
        <v>0</v>
      </c>
      <c r="AE14" s="107">
        <f t="shared" si="3"/>
        <v>0</v>
      </c>
      <c r="AF14" s="101"/>
      <c r="AG14" s="102">
        <f t="shared" si="1"/>
        <v>0</v>
      </c>
    </row>
    <row r="15" spans="1:33" x14ac:dyDescent="0.3">
      <c r="A15" s="106" t="s">
        <v>33</v>
      </c>
      <c r="B15" s="107">
        <f>B21</f>
        <v>240.00299999999999</v>
      </c>
      <c r="C15" s="107">
        <f>C21</f>
        <v>240.00299999999999</v>
      </c>
      <c r="D15" s="107">
        <f t="shared" si="2"/>
        <v>237.77</v>
      </c>
      <c r="E15" s="107">
        <f t="shared" si="2"/>
        <v>237.77</v>
      </c>
      <c r="F15" s="107">
        <f>IFERROR(E15/B15*100,0)</f>
        <v>99.069594963396298</v>
      </c>
      <c r="G15" s="107">
        <f>IFERROR(E15/C15*100,0)</f>
        <v>99.069594963396298</v>
      </c>
      <c r="H15" s="107">
        <f t="shared" si="3"/>
        <v>0</v>
      </c>
      <c r="I15" s="107">
        <f t="shared" si="3"/>
        <v>0</v>
      </c>
      <c r="J15" s="107">
        <f t="shared" si="3"/>
        <v>137.773</v>
      </c>
      <c r="K15" s="107">
        <f t="shared" si="3"/>
        <v>137.77000000000001</v>
      </c>
      <c r="L15" s="107">
        <f t="shared" si="3"/>
        <v>0</v>
      </c>
      <c r="M15" s="107">
        <f t="shared" si="3"/>
        <v>0</v>
      </c>
      <c r="N15" s="107">
        <f t="shared" si="3"/>
        <v>0</v>
      </c>
      <c r="O15" s="107">
        <f t="shared" si="3"/>
        <v>0</v>
      </c>
      <c r="P15" s="107">
        <f t="shared" si="3"/>
        <v>0</v>
      </c>
      <c r="Q15" s="107">
        <f t="shared" si="3"/>
        <v>0</v>
      </c>
      <c r="R15" s="107">
        <f t="shared" si="3"/>
        <v>102.23</v>
      </c>
      <c r="S15" s="107">
        <f t="shared" si="3"/>
        <v>100</v>
      </c>
      <c r="T15" s="107">
        <f t="shared" si="3"/>
        <v>0</v>
      </c>
      <c r="U15" s="107">
        <f t="shared" si="3"/>
        <v>0</v>
      </c>
      <c r="V15" s="107">
        <f t="shared" si="3"/>
        <v>0</v>
      </c>
      <c r="W15" s="107">
        <f t="shared" si="3"/>
        <v>0</v>
      </c>
      <c r="X15" s="107">
        <f t="shared" si="3"/>
        <v>0</v>
      </c>
      <c r="Y15" s="107">
        <f t="shared" si="3"/>
        <v>0</v>
      </c>
      <c r="Z15" s="107">
        <f t="shared" si="3"/>
        <v>0</v>
      </c>
      <c r="AA15" s="107">
        <f t="shared" si="3"/>
        <v>0</v>
      </c>
      <c r="AB15" s="107">
        <f t="shared" si="3"/>
        <v>0</v>
      </c>
      <c r="AC15" s="107">
        <f t="shared" si="3"/>
        <v>0</v>
      </c>
      <c r="AD15" s="107">
        <f t="shared" si="3"/>
        <v>0</v>
      </c>
      <c r="AE15" s="107">
        <f t="shared" si="3"/>
        <v>0</v>
      </c>
      <c r="AF15" s="101"/>
      <c r="AG15" s="102">
        <f t="shared" si="1"/>
        <v>-1.4210854715202004E-14</v>
      </c>
    </row>
    <row r="16" spans="1:33" x14ac:dyDescent="0.3">
      <c r="A16" s="106" t="s">
        <v>170</v>
      </c>
      <c r="B16" s="107">
        <f>B22</f>
        <v>0</v>
      </c>
      <c r="C16" s="107">
        <f t="shared" si="2"/>
        <v>0</v>
      </c>
      <c r="D16" s="107">
        <f t="shared" si="2"/>
        <v>0</v>
      </c>
      <c r="E16" s="107">
        <f t="shared" si="2"/>
        <v>0</v>
      </c>
      <c r="F16" s="107">
        <f>IFERROR(E16/B16*100,0)</f>
        <v>0</v>
      </c>
      <c r="G16" s="107">
        <f>IFERROR(E16/C16*100,0)</f>
        <v>0</v>
      </c>
      <c r="H16" s="107">
        <f t="shared" si="3"/>
        <v>0</v>
      </c>
      <c r="I16" s="107">
        <f t="shared" si="3"/>
        <v>0</v>
      </c>
      <c r="J16" s="107">
        <f t="shared" si="3"/>
        <v>0</v>
      </c>
      <c r="K16" s="107">
        <f t="shared" si="3"/>
        <v>0</v>
      </c>
      <c r="L16" s="107">
        <f t="shared" si="3"/>
        <v>0</v>
      </c>
      <c r="M16" s="107">
        <f t="shared" si="3"/>
        <v>0</v>
      </c>
      <c r="N16" s="107">
        <f t="shared" si="3"/>
        <v>0</v>
      </c>
      <c r="O16" s="107">
        <f t="shared" si="3"/>
        <v>0</v>
      </c>
      <c r="P16" s="107">
        <f t="shared" si="3"/>
        <v>0</v>
      </c>
      <c r="Q16" s="107">
        <f t="shared" si="3"/>
        <v>0</v>
      </c>
      <c r="R16" s="107">
        <f t="shared" si="3"/>
        <v>0</v>
      </c>
      <c r="S16" s="107">
        <f t="shared" si="3"/>
        <v>0</v>
      </c>
      <c r="T16" s="107">
        <f t="shared" si="3"/>
        <v>0</v>
      </c>
      <c r="U16" s="107">
        <f t="shared" si="3"/>
        <v>0</v>
      </c>
      <c r="V16" s="107">
        <f t="shared" si="3"/>
        <v>0</v>
      </c>
      <c r="W16" s="107">
        <f t="shared" si="3"/>
        <v>0</v>
      </c>
      <c r="X16" s="107">
        <f t="shared" si="3"/>
        <v>0</v>
      </c>
      <c r="Y16" s="107">
        <f t="shared" si="3"/>
        <v>0</v>
      </c>
      <c r="Z16" s="107">
        <f t="shared" si="3"/>
        <v>0</v>
      </c>
      <c r="AA16" s="107">
        <f t="shared" si="3"/>
        <v>0</v>
      </c>
      <c r="AB16" s="107">
        <f t="shared" si="3"/>
        <v>0</v>
      </c>
      <c r="AC16" s="107">
        <f t="shared" si="3"/>
        <v>0</v>
      </c>
      <c r="AD16" s="107">
        <f t="shared" si="3"/>
        <v>0</v>
      </c>
      <c r="AE16" s="107">
        <f t="shared" si="3"/>
        <v>0</v>
      </c>
      <c r="AF16" s="101"/>
      <c r="AG16" s="102">
        <f t="shared" si="1"/>
        <v>0</v>
      </c>
    </row>
    <row r="17" spans="1:33" ht="75" customHeight="1" x14ac:dyDescent="0.3">
      <c r="A17" s="787" t="s">
        <v>526</v>
      </c>
      <c r="B17" s="627"/>
      <c r="C17" s="110"/>
      <c r="D17" s="110"/>
      <c r="E17" s="110"/>
      <c r="F17" s="110"/>
      <c r="G17" s="110"/>
      <c r="H17" s="111"/>
      <c r="I17" s="111"/>
      <c r="J17" s="111"/>
      <c r="K17" s="111"/>
      <c r="L17" s="111"/>
      <c r="M17" s="111"/>
      <c r="N17" s="111"/>
      <c r="O17" s="111"/>
      <c r="P17" s="111"/>
      <c r="Q17" s="111"/>
      <c r="R17" s="111"/>
      <c r="S17" s="111"/>
      <c r="T17" s="111"/>
      <c r="U17" s="111"/>
      <c r="V17" s="111"/>
      <c r="W17" s="111"/>
      <c r="X17" s="111"/>
      <c r="Y17" s="111"/>
      <c r="Z17" s="111"/>
      <c r="AA17" s="111"/>
      <c r="AB17" s="111"/>
      <c r="AC17" s="111"/>
      <c r="AD17" s="111"/>
      <c r="AE17" s="111"/>
      <c r="AF17" s="29"/>
      <c r="AG17" s="102">
        <f t="shared" si="1"/>
        <v>0</v>
      </c>
    </row>
    <row r="18" spans="1:33" s="622" customFormat="1" x14ac:dyDescent="0.3">
      <c r="A18" s="623" t="s">
        <v>31</v>
      </c>
      <c r="B18" s="624">
        <f>B20+B21+B19+B22</f>
        <v>240.00299999999999</v>
      </c>
      <c r="C18" s="624">
        <f>C20+C21+C19+C22</f>
        <v>240.00299999999999</v>
      </c>
      <c r="D18" s="788">
        <f>D20+D21+D19+D22</f>
        <v>237.77</v>
      </c>
      <c r="E18" s="624">
        <f>E20+E21+E19+E22</f>
        <v>237.77</v>
      </c>
      <c r="F18" s="624">
        <f>IFERROR(E18/B18*100,0)</f>
        <v>99.069594963396298</v>
      </c>
      <c r="G18" s="624">
        <f>IFERROR(E18/C18*100,0)</f>
        <v>99.069594963396298</v>
      </c>
      <c r="H18" s="624">
        <f t="shared" ref="H18:AE18" si="4">H20+H21+H19+H22</f>
        <v>0</v>
      </c>
      <c r="I18" s="624">
        <f t="shared" si="4"/>
        <v>0</v>
      </c>
      <c r="J18" s="624">
        <f t="shared" si="4"/>
        <v>137.773</v>
      </c>
      <c r="K18" s="624">
        <f t="shared" si="4"/>
        <v>137.77000000000001</v>
      </c>
      <c r="L18" s="624">
        <f t="shared" si="4"/>
        <v>0</v>
      </c>
      <c r="M18" s="624">
        <f t="shared" si="4"/>
        <v>0</v>
      </c>
      <c r="N18" s="624">
        <f t="shared" si="4"/>
        <v>0</v>
      </c>
      <c r="O18" s="624">
        <f t="shared" si="4"/>
        <v>0</v>
      </c>
      <c r="P18" s="624">
        <f t="shared" si="4"/>
        <v>0</v>
      </c>
      <c r="Q18" s="624">
        <f t="shared" si="4"/>
        <v>0</v>
      </c>
      <c r="R18" s="624">
        <f t="shared" si="4"/>
        <v>102.23</v>
      </c>
      <c r="S18" s="624">
        <f t="shared" si="4"/>
        <v>100</v>
      </c>
      <c r="T18" s="624">
        <f t="shared" si="4"/>
        <v>0</v>
      </c>
      <c r="U18" s="624">
        <f t="shared" si="4"/>
        <v>0</v>
      </c>
      <c r="V18" s="792">
        <f t="shared" si="4"/>
        <v>0</v>
      </c>
      <c r="W18" s="792">
        <f t="shared" si="4"/>
        <v>0</v>
      </c>
      <c r="X18" s="792">
        <f t="shared" si="4"/>
        <v>0</v>
      </c>
      <c r="Y18" s="792">
        <f t="shared" si="4"/>
        <v>0</v>
      </c>
      <c r="Z18" s="792">
        <f t="shared" si="4"/>
        <v>0</v>
      </c>
      <c r="AA18" s="624">
        <f t="shared" si="4"/>
        <v>0</v>
      </c>
      <c r="AB18" s="624">
        <f t="shared" si="4"/>
        <v>0</v>
      </c>
      <c r="AC18" s="624">
        <f t="shared" si="4"/>
        <v>0</v>
      </c>
      <c r="AD18" s="624">
        <f t="shared" si="4"/>
        <v>0</v>
      </c>
      <c r="AE18" s="624">
        <f t="shared" si="4"/>
        <v>0</v>
      </c>
      <c r="AF18" s="620"/>
      <c r="AG18" s="621">
        <f t="shared" si="1"/>
        <v>-1.4210854715202004E-14</v>
      </c>
    </row>
    <row r="19" spans="1:33" s="622" customFormat="1" x14ac:dyDescent="0.3">
      <c r="A19" s="626" t="s">
        <v>169</v>
      </c>
      <c r="B19" s="627">
        <f>J19+L19+N19+P19+R19+T19+V19+X19+Z19+AB19+AD19+H19</f>
        <v>0</v>
      </c>
      <c r="C19" s="786">
        <f>SUM(H19)</f>
        <v>0</v>
      </c>
      <c r="D19" s="789">
        <f>E19</f>
        <v>0</v>
      </c>
      <c r="E19" s="786">
        <f>SUM(I19,K19,M19,O19,Q19,S19,U19,W19,Y19,AA19,AC19,AE19)</f>
        <v>0</v>
      </c>
      <c r="F19" s="627">
        <f>IFERROR(E19/B19*100,0)</f>
        <v>0</v>
      </c>
      <c r="G19" s="627">
        <f>IFERROR(E19/C19*100,0)</f>
        <v>0</v>
      </c>
      <c r="H19" s="520"/>
      <c r="I19" s="520"/>
      <c r="J19" s="520"/>
      <c r="K19" s="520"/>
      <c r="L19" s="520"/>
      <c r="M19" s="520"/>
      <c r="N19" s="520"/>
      <c r="O19" s="520"/>
      <c r="P19" s="520"/>
      <c r="Q19" s="520"/>
      <c r="R19" s="520"/>
      <c r="S19" s="520"/>
      <c r="T19" s="520"/>
      <c r="U19" s="520"/>
      <c r="V19" s="520"/>
      <c r="W19" s="520"/>
      <c r="X19" s="520"/>
      <c r="Y19" s="520"/>
      <c r="Z19" s="520"/>
      <c r="AA19" s="520"/>
      <c r="AB19" s="520"/>
      <c r="AC19" s="520"/>
      <c r="AD19" s="520"/>
      <c r="AE19" s="520"/>
      <c r="AF19" s="620"/>
      <c r="AG19" s="621">
        <f t="shared" si="1"/>
        <v>0</v>
      </c>
    </row>
    <row r="20" spans="1:33" s="622" customFormat="1" x14ac:dyDescent="0.3">
      <c r="A20" s="626" t="s">
        <v>32</v>
      </c>
      <c r="B20" s="627">
        <f>J20+L20+N20+P20+R20+T20+V20+X20+Z20+AB20+AD20+H20</f>
        <v>0</v>
      </c>
      <c r="C20" s="786">
        <f>SUM(H20)</f>
        <v>0</v>
      </c>
      <c r="D20" s="789">
        <f>E20</f>
        <v>0</v>
      </c>
      <c r="E20" s="786">
        <f>SUM(I20,K20,M20,O20,Q20,S20,U20,W20,Y20,AA20,AC20,AE20)</f>
        <v>0</v>
      </c>
      <c r="F20" s="627">
        <f>IFERROR(E20/B20*100,0)</f>
        <v>0</v>
      </c>
      <c r="G20" s="627">
        <f>IFERROR(E20/C20*100,0)</f>
        <v>0</v>
      </c>
      <c r="H20" s="520"/>
      <c r="I20" s="520"/>
      <c r="J20" s="520"/>
      <c r="K20" s="520"/>
      <c r="L20" s="520"/>
      <c r="M20" s="520"/>
      <c r="N20" s="520"/>
      <c r="O20" s="520"/>
      <c r="P20" s="520"/>
      <c r="Q20" s="520"/>
      <c r="R20" s="520"/>
      <c r="S20" s="520"/>
      <c r="T20" s="520"/>
      <c r="U20" s="520"/>
      <c r="V20" s="520"/>
      <c r="W20" s="520"/>
      <c r="X20" s="520"/>
      <c r="Y20" s="520"/>
      <c r="Z20" s="520"/>
      <c r="AA20" s="520"/>
      <c r="AB20" s="520"/>
      <c r="AC20" s="520"/>
      <c r="AD20" s="520"/>
      <c r="AE20" s="520"/>
      <c r="AF20" s="620"/>
      <c r="AG20" s="621">
        <f t="shared" si="1"/>
        <v>0</v>
      </c>
    </row>
    <row r="21" spans="1:33" s="622" customFormat="1" x14ac:dyDescent="0.3">
      <c r="A21" s="626" t="s">
        <v>33</v>
      </c>
      <c r="B21" s="627">
        <f>J21+L21+N21+P21+R21+T21+V21+X21+Z21+AB21+AD21+H21</f>
        <v>240.00299999999999</v>
      </c>
      <c r="C21" s="786">
        <f>H21+J21+L21+N21+P21+R21</f>
        <v>240.00299999999999</v>
      </c>
      <c r="D21" s="789">
        <f>E21</f>
        <v>237.77</v>
      </c>
      <c r="E21" s="786">
        <f>SUM(I21,K21,M21,O21,Q21,S21,U21,W21,Y21,AA21,AC21,AE21)</f>
        <v>237.77</v>
      </c>
      <c r="F21" s="627">
        <f>IFERROR(E21/B21*100,0)</f>
        <v>99.069594963396298</v>
      </c>
      <c r="G21" s="627">
        <f>IFERROR(E21/C21*100,0)</f>
        <v>99.069594963396298</v>
      </c>
      <c r="H21" s="520"/>
      <c r="I21" s="520"/>
      <c r="J21" s="520">
        <v>137.773</v>
      </c>
      <c r="K21" s="520">
        <v>137.77000000000001</v>
      </c>
      <c r="L21" s="520"/>
      <c r="M21" s="520"/>
      <c r="N21" s="520"/>
      <c r="O21" s="520"/>
      <c r="P21" s="520"/>
      <c r="Q21" s="520"/>
      <c r="R21" s="520">
        <f>2.23+100</f>
        <v>102.23</v>
      </c>
      <c r="S21" s="520">
        <v>100</v>
      </c>
      <c r="T21" s="520"/>
      <c r="U21" s="520"/>
      <c r="V21" s="520"/>
      <c r="W21" s="520"/>
      <c r="X21" s="520"/>
      <c r="Y21" s="520"/>
      <c r="Z21" s="520"/>
      <c r="AA21" s="520"/>
      <c r="AB21" s="520"/>
      <c r="AC21" s="520"/>
      <c r="AD21" s="520"/>
      <c r="AE21" s="520"/>
      <c r="AF21" s="620"/>
      <c r="AG21" s="621">
        <f t="shared" si="1"/>
        <v>-1.4210854715202004E-14</v>
      </c>
    </row>
    <row r="22" spans="1:33" x14ac:dyDescent="0.3">
      <c r="A22" s="115" t="s">
        <v>170</v>
      </c>
      <c r="B22" s="116"/>
      <c r="C22" s="117"/>
      <c r="D22" s="118"/>
      <c r="E22" s="117"/>
      <c r="F22" s="116"/>
      <c r="G22" s="116"/>
      <c r="H22" s="111"/>
      <c r="I22" s="111"/>
      <c r="J22" s="111"/>
      <c r="K22" s="111"/>
      <c r="L22" s="111"/>
      <c r="M22" s="111"/>
      <c r="N22" s="111"/>
      <c r="O22" s="111"/>
      <c r="P22" s="111"/>
      <c r="Q22" s="111"/>
      <c r="R22" s="111"/>
      <c r="S22" s="111"/>
      <c r="T22" s="111"/>
      <c r="U22" s="111"/>
      <c r="V22" s="111"/>
      <c r="W22" s="111"/>
      <c r="X22" s="111"/>
      <c r="Y22" s="111"/>
      <c r="Z22" s="111"/>
      <c r="AA22" s="111"/>
      <c r="AB22" s="111"/>
      <c r="AC22" s="111"/>
      <c r="AD22" s="111"/>
      <c r="AE22" s="111"/>
      <c r="AF22" s="29"/>
      <c r="AG22" s="102">
        <f t="shared" si="1"/>
        <v>0</v>
      </c>
    </row>
    <row r="23" spans="1:33" ht="56.25" customHeight="1" x14ac:dyDescent="0.3">
      <c r="A23" s="98" t="s">
        <v>276</v>
      </c>
      <c r="B23" s="99"/>
      <c r="C23" s="100"/>
      <c r="D23" s="100"/>
      <c r="E23" s="100"/>
      <c r="F23" s="100"/>
      <c r="G23" s="100"/>
      <c r="H23" s="100"/>
      <c r="I23" s="100"/>
      <c r="J23" s="100"/>
      <c r="K23" s="100"/>
      <c r="L23" s="100"/>
      <c r="M23" s="100"/>
      <c r="N23" s="100"/>
      <c r="O23" s="100"/>
      <c r="P23" s="100"/>
      <c r="Q23" s="100"/>
      <c r="R23" s="100"/>
      <c r="S23" s="100"/>
      <c r="T23" s="100"/>
      <c r="U23" s="100"/>
      <c r="V23" s="100"/>
      <c r="W23" s="100"/>
      <c r="X23" s="100"/>
      <c r="Y23" s="100"/>
      <c r="Z23" s="100"/>
      <c r="AA23" s="100"/>
      <c r="AB23" s="100"/>
      <c r="AC23" s="100"/>
      <c r="AD23" s="100"/>
      <c r="AE23" s="100"/>
      <c r="AF23" s="101"/>
      <c r="AG23" s="102">
        <f t="shared" ref="AG23:AG28" si="5">B23-H23-J23-L23-N23-P23-R23-T23-V23-X23-Z23-AB23-AD23</f>
        <v>0</v>
      </c>
    </row>
    <row r="24" spans="1:33" x14ac:dyDescent="0.3">
      <c r="A24" s="103" t="s">
        <v>31</v>
      </c>
      <c r="B24" s="104">
        <f>B25+B26+B27+B28</f>
        <v>0</v>
      </c>
      <c r="C24" s="104">
        <f>C25+C26+C27+C28</f>
        <v>0</v>
      </c>
      <c r="D24" s="104">
        <f>D25+D26+D27+D28</f>
        <v>0</v>
      </c>
      <c r="E24" s="104">
        <f>E25+E26+E27+E28</f>
        <v>0</v>
      </c>
      <c r="F24" s="105">
        <f>IFERROR(E24/B24*100,0)</f>
        <v>0</v>
      </c>
      <c r="G24" s="105">
        <f>IFERROR(E24/C24*100,0)</f>
        <v>0</v>
      </c>
      <c r="H24" s="104">
        <f>H25+H26+H27+H28</f>
        <v>0</v>
      </c>
      <c r="I24" s="104">
        <f t="shared" ref="I24:AE24" si="6">I25+I26+I27+I28</f>
        <v>0</v>
      </c>
      <c r="J24" s="104">
        <f t="shared" si="6"/>
        <v>0</v>
      </c>
      <c r="K24" s="104">
        <f t="shared" si="6"/>
        <v>0</v>
      </c>
      <c r="L24" s="104">
        <f t="shared" si="6"/>
        <v>0</v>
      </c>
      <c r="M24" s="104">
        <f t="shared" si="6"/>
        <v>0</v>
      </c>
      <c r="N24" s="104">
        <f t="shared" si="6"/>
        <v>0</v>
      </c>
      <c r="O24" s="104">
        <f t="shared" si="6"/>
        <v>0</v>
      </c>
      <c r="P24" s="104">
        <f t="shared" si="6"/>
        <v>0</v>
      </c>
      <c r="Q24" s="104">
        <f t="shared" si="6"/>
        <v>0</v>
      </c>
      <c r="R24" s="104">
        <f t="shared" si="6"/>
        <v>0</v>
      </c>
      <c r="S24" s="104">
        <f t="shared" si="6"/>
        <v>0</v>
      </c>
      <c r="T24" s="104">
        <f t="shared" si="6"/>
        <v>0</v>
      </c>
      <c r="U24" s="104">
        <f t="shared" si="6"/>
        <v>0</v>
      </c>
      <c r="V24" s="104">
        <f t="shared" si="6"/>
        <v>0</v>
      </c>
      <c r="W24" s="104">
        <f t="shared" si="6"/>
        <v>0</v>
      </c>
      <c r="X24" s="104">
        <f t="shared" si="6"/>
        <v>0</v>
      </c>
      <c r="Y24" s="104">
        <f t="shared" si="6"/>
        <v>0</v>
      </c>
      <c r="Z24" s="104">
        <f t="shared" si="6"/>
        <v>0</v>
      </c>
      <c r="AA24" s="104">
        <f t="shared" si="6"/>
        <v>0</v>
      </c>
      <c r="AB24" s="104">
        <f t="shared" si="6"/>
        <v>0</v>
      </c>
      <c r="AC24" s="104">
        <f t="shared" si="6"/>
        <v>0</v>
      </c>
      <c r="AD24" s="104">
        <f t="shared" si="6"/>
        <v>0</v>
      </c>
      <c r="AE24" s="104">
        <f t="shared" si="6"/>
        <v>0</v>
      </c>
      <c r="AF24" s="101"/>
      <c r="AG24" s="102">
        <f t="shared" si="5"/>
        <v>0</v>
      </c>
    </row>
    <row r="25" spans="1:33" x14ac:dyDescent="0.3">
      <c r="A25" s="106" t="s">
        <v>169</v>
      </c>
      <c r="B25" s="107">
        <f>J25+L25+N25+P25+R25+T25+V25+X25+Z25+AB25+AD25+H25</f>
        <v>0</v>
      </c>
      <c r="C25" s="107">
        <f>SUM(H25)</f>
        <v>0</v>
      </c>
      <c r="D25" s="107">
        <f>E25</f>
        <v>0</v>
      </c>
      <c r="E25" s="107">
        <f>SUM(I25,K25,M25,O25,Q25,S25,U25,W25,Y25,AA25,AC25,AE25)</f>
        <v>0</v>
      </c>
      <c r="F25" s="107">
        <f>IFERROR(E25/B25*100,0)</f>
        <v>0</v>
      </c>
      <c r="G25" s="107">
        <f>IFERROR(E25/C25*100,0)</f>
        <v>0</v>
      </c>
      <c r="H25" s="107"/>
      <c r="I25" s="107"/>
      <c r="J25" s="107"/>
      <c r="K25" s="107"/>
      <c r="L25" s="107"/>
      <c r="M25" s="107"/>
      <c r="N25" s="107"/>
      <c r="O25" s="107"/>
      <c r="P25" s="107"/>
      <c r="Q25" s="107"/>
      <c r="R25" s="107"/>
      <c r="S25" s="107"/>
      <c r="T25" s="107"/>
      <c r="U25" s="107"/>
      <c r="V25" s="107"/>
      <c r="W25" s="107"/>
      <c r="X25" s="107"/>
      <c r="Y25" s="107"/>
      <c r="Z25" s="107"/>
      <c r="AA25" s="107"/>
      <c r="AB25" s="107"/>
      <c r="AC25" s="107"/>
      <c r="AD25" s="107"/>
      <c r="AE25" s="107"/>
      <c r="AF25" s="101"/>
      <c r="AG25" s="102">
        <f t="shared" si="5"/>
        <v>0</v>
      </c>
    </row>
    <row r="26" spans="1:33" x14ac:dyDescent="0.3">
      <c r="A26" s="106" t="s">
        <v>32</v>
      </c>
      <c r="B26" s="107">
        <f>J26+L26+N26+P26+R26+T26+V26+X26+Z26+AB26+AD26+H26</f>
        <v>0</v>
      </c>
      <c r="C26" s="107">
        <f>SUM(H26)</f>
        <v>0</v>
      </c>
      <c r="D26" s="107">
        <f>E26</f>
        <v>0</v>
      </c>
      <c r="E26" s="107">
        <f>SUM(I26,K26,M26,O26,Q26,S26,U26,W26,Y26,AA26,AC26,AE26)</f>
        <v>0</v>
      </c>
      <c r="F26" s="107">
        <f>IFERROR(E26/B26*100,0)</f>
        <v>0</v>
      </c>
      <c r="G26" s="107">
        <f>IFERROR(E26/C26*100,0)</f>
        <v>0</v>
      </c>
      <c r="H26" s="107"/>
      <c r="I26" s="107"/>
      <c r="J26" s="107"/>
      <c r="K26" s="107"/>
      <c r="L26" s="107"/>
      <c r="M26" s="107"/>
      <c r="N26" s="107"/>
      <c r="O26" s="107"/>
      <c r="P26" s="107"/>
      <c r="Q26" s="107"/>
      <c r="R26" s="107"/>
      <c r="S26" s="107"/>
      <c r="T26" s="107"/>
      <c r="U26" s="107"/>
      <c r="V26" s="107"/>
      <c r="W26" s="107"/>
      <c r="X26" s="107"/>
      <c r="Y26" s="107"/>
      <c r="Z26" s="107"/>
      <c r="AA26" s="107"/>
      <c r="AB26" s="107"/>
      <c r="AC26" s="107"/>
      <c r="AD26" s="107"/>
      <c r="AE26" s="107"/>
      <c r="AF26" s="101"/>
      <c r="AG26" s="102">
        <f t="shared" si="5"/>
        <v>0</v>
      </c>
    </row>
    <row r="27" spans="1:33" x14ac:dyDescent="0.3">
      <c r="A27" s="106" t="s">
        <v>33</v>
      </c>
      <c r="B27" s="107">
        <f>J27+L27+N27+P27+R27+T27+V27+X27+Z27+AB27+AD27+H27</f>
        <v>0</v>
      </c>
      <c r="C27" s="107">
        <f>SUM(H27)</f>
        <v>0</v>
      </c>
      <c r="D27" s="107">
        <f>E27</f>
        <v>0</v>
      </c>
      <c r="E27" s="107">
        <f>SUM(I27,K27,M27,O27,Q27,S27,U27,W27,Y27,AA27,AC27,AE27)</f>
        <v>0</v>
      </c>
      <c r="F27" s="107">
        <f>IFERROR(E27/B27*100,0)</f>
        <v>0</v>
      </c>
      <c r="G27" s="107">
        <f>IFERROR(E27/C27*100,0)</f>
        <v>0</v>
      </c>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1"/>
      <c r="AG27" s="102">
        <f t="shared" si="5"/>
        <v>0</v>
      </c>
    </row>
    <row r="28" spans="1:33" x14ac:dyDescent="0.3">
      <c r="A28" s="106" t="s">
        <v>170</v>
      </c>
      <c r="B28" s="107">
        <f>J28+L28+N28+P28+R28+T28+V28+X28+Z28+AB28+AD28+H28</f>
        <v>0</v>
      </c>
      <c r="C28" s="107">
        <f>SUM(H28)</f>
        <v>0</v>
      </c>
      <c r="D28" s="107">
        <f>E28</f>
        <v>0</v>
      </c>
      <c r="E28" s="107">
        <f>SUM(I28,K28,M28,O28,Q28,S28,U28,W28,Y28,AA28,AC28,AE28)</f>
        <v>0</v>
      </c>
      <c r="F28" s="107">
        <f>IFERROR(E28/B28*100,0)</f>
        <v>0</v>
      </c>
      <c r="G28" s="107">
        <f>IFERROR(E28/C28*100,0)</f>
        <v>0</v>
      </c>
      <c r="H28" s="107"/>
      <c r="I28" s="107"/>
      <c r="J28" s="107"/>
      <c r="K28" s="107"/>
      <c r="L28" s="107"/>
      <c r="M28" s="107"/>
      <c r="N28" s="107"/>
      <c r="O28" s="107"/>
      <c r="P28" s="107"/>
      <c r="Q28" s="107"/>
      <c r="R28" s="107"/>
      <c r="S28" s="107"/>
      <c r="T28" s="107"/>
      <c r="U28" s="107"/>
      <c r="V28" s="107"/>
      <c r="W28" s="107"/>
      <c r="X28" s="107"/>
      <c r="Y28" s="107"/>
      <c r="Z28" s="107"/>
      <c r="AA28" s="107"/>
      <c r="AB28" s="107"/>
      <c r="AC28" s="107"/>
      <c r="AD28" s="107"/>
      <c r="AE28" s="107"/>
      <c r="AF28" s="101"/>
      <c r="AG28" s="102">
        <f t="shared" si="5"/>
        <v>0</v>
      </c>
    </row>
    <row r="29" spans="1:33" s="97" customFormat="1" x14ac:dyDescent="0.3">
      <c r="A29" s="1032" t="s">
        <v>54</v>
      </c>
      <c r="B29" s="1033"/>
      <c r="C29" s="1033"/>
      <c r="D29" s="1033"/>
      <c r="E29" s="1033"/>
      <c r="F29" s="1033"/>
      <c r="G29" s="1033"/>
      <c r="H29" s="1033"/>
      <c r="I29" s="1033"/>
      <c r="J29" s="1033"/>
      <c r="K29" s="1033"/>
      <c r="L29" s="1033"/>
      <c r="M29" s="1033"/>
      <c r="N29" s="1033"/>
      <c r="O29" s="1033"/>
      <c r="P29" s="1033"/>
      <c r="Q29" s="1033"/>
      <c r="R29" s="1033"/>
      <c r="S29" s="1033"/>
      <c r="T29" s="1033"/>
      <c r="U29" s="1033"/>
      <c r="V29" s="1033"/>
      <c r="W29" s="1033"/>
      <c r="X29" s="1033"/>
      <c r="Y29" s="1033"/>
      <c r="Z29" s="1033"/>
      <c r="AA29" s="1033"/>
      <c r="AB29" s="1033"/>
      <c r="AC29" s="1033"/>
      <c r="AD29" s="1033"/>
      <c r="AE29" s="1033"/>
      <c r="AF29" s="1034"/>
      <c r="AG29" s="102">
        <f t="shared" si="1"/>
        <v>0</v>
      </c>
    </row>
    <row r="30" spans="1:33" ht="37.5" x14ac:dyDescent="0.3">
      <c r="A30" s="98" t="s">
        <v>277</v>
      </c>
      <c r="B30" s="99"/>
      <c r="C30" s="100"/>
      <c r="D30" s="100"/>
      <c r="E30" s="100"/>
      <c r="F30" s="100"/>
      <c r="G30" s="100"/>
      <c r="H30" s="99"/>
      <c r="I30" s="99"/>
      <c r="J30" s="99"/>
      <c r="K30" s="99"/>
      <c r="L30" s="99"/>
      <c r="M30" s="99"/>
      <c r="N30" s="99"/>
      <c r="O30" s="99"/>
      <c r="P30" s="99"/>
      <c r="Q30" s="99"/>
      <c r="R30" s="99"/>
      <c r="S30" s="99"/>
      <c r="T30" s="99"/>
      <c r="U30" s="99"/>
      <c r="V30" s="99"/>
      <c r="W30" s="99"/>
      <c r="X30" s="99"/>
      <c r="Y30" s="99"/>
      <c r="Z30" s="99"/>
      <c r="AA30" s="99"/>
      <c r="AB30" s="99"/>
      <c r="AC30" s="99"/>
      <c r="AD30" s="99"/>
      <c r="AE30" s="99"/>
      <c r="AF30" s="101"/>
      <c r="AG30" s="102">
        <f t="shared" si="1"/>
        <v>0</v>
      </c>
    </row>
    <row r="31" spans="1:33" x14ac:dyDescent="0.3">
      <c r="A31" s="103" t="s">
        <v>31</v>
      </c>
      <c r="B31" s="104">
        <f>B32+B33+B34+B35</f>
        <v>3377.5</v>
      </c>
      <c r="C31" s="104">
        <f>C32+C33+C34+C35</f>
        <v>824.15000000000009</v>
      </c>
      <c r="D31" s="104">
        <f>D32+D33+D34+D35</f>
        <v>1606.597</v>
      </c>
      <c r="E31" s="104">
        <f>E32+E33+E34+E35</f>
        <v>1606.597</v>
      </c>
      <c r="F31" s="105">
        <f>IFERROR(E31/B31*100,0)</f>
        <v>47.56763878608438</v>
      </c>
      <c r="G31" s="105">
        <f>IFERROR(E31/C31*100,0)</f>
        <v>194.93987744949339</v>
      </c>
      <c r="H31" s="104">
        <f>H32+H33+H34+H35</f>
        <v>300</v>
      </c>
      <c r="I31" s="104">
        <f t="shared" ref="I31:AE31" si="7">I32+I33+I34+I35</f>
        <v>256.2</v>
      </c>
      <c r="J31" s="104">
        <f t="shared" si="7"/>
        <v>289.64999999999998</v>
      </c>
      <c r="K31" s="104">
        <f t="shared" si="7"/>
        <v>307.20699999999999</v>
      </c>
      <c r="L31" s="104">
        <f t="shared" si="7"/>
        <v>176.8</v>
      </c>
      <c r="M31" s="104">
        <f t="shared" si="7"/>
        <v>200.63</v>
      </c>
      <c r="N31" s="104">
        <f t="shared" si="7"/>
        <v>57.7</v>
      </c>
      <c r="O31" s="104">
        <f t="shared" si="7"/>
        <v>57.7</v>
      </c>
      <c r="P31" s="104">
        <f t="shared" si="7"/>
        <v>224.4</v>
      </c>
      <c r="Q31" s="104">
        <f t="shared" si="7"/>
        <v>0</v>
      </c>
      <c r="R31" s="104">
        <f t="shared" si="7"/>
        <v>673</v>
      </c>
      <c r="S31" s="104">
        <f t="shared" si="7"/>
        <v>784.86</v>
      </c>
      <c r="T31" s="104">
        <f t="shared" si="7"/>
        <v>1000</v>
      </c>
      <c r="U31" s="104">
        <f t="shared" si="7"/>
        <v>0</v>
      </c>
      <c r="V31" s="104">
        <f t="shared" si="7"/>
        <v>0</v>
      </c>
      <c r="W31" s="104">
        <f t="shared" si="7"/>
        <v>0</v>
      </c>
      <c r="X31" s="104">
        <f t="shared" si="7"/>
        <v>0</v>
      </c>
      <c r="Y31" s="104">
        <f t="shared" si="7"/>
        <v>0</v>
      </c>
      <c r="Z31" s="104">
        <f t="shared" si="7"/>
        <v>0</v>
      </c>
      <c r="AA31" s="104">
        <f t="shared" si="7"/>
        <v>0</v>
      </c>
      <c r="AB31" s="104">
        <f t="shared" si="7"/>
        <v>0</v>
      </c>
      <c r="AC31" s="104">
        <f t="shared" si="7"/>
        <v>0</v>
      </c>
      <c r="AD31" s="104">
        <f t="shared" si="7"/>
        <v>655.95</v>
      </c>
      <c r="AE31" s="104">
        <f t="shared" si="7"/>
        <v>0</v>
      </c>
      <c r="AF31" s="101"/>
      <c r="AG31" s="102">
        <f t="shared" si="1"/>
        <v>0</v>
      </c>
    </row>
    <row r="32" spans="1:33" x14ac:dyDescent="0.3">
      <c r="A32" s="106" t="s">
        <v>169</v>
      </c>
      <c r="B32" s="107">
        <f>J32+L32+N32+P32+R32+T32+V32+X32+Z32+AB32+AD32+H32</f>
        <v>0</v>
      </c>
      <c r="C32" s="107">
        <f>SUM(H32)</f>
        <v>0</v>
      </c>
      <c r="D32" s="107">
        <f>E32</f>
        <v>0</v>
      </c>
      <c r="E32" s="107">
        <f>SUM(I32,K32,M32,O32,Q32,S32,U32,W32,Y32,AA32,AC32,AE32)</f>
        <v>0</v>
      </c>
      <c r="F32" s="107">
        <f>IFERROR(E32/B32*100,0)</f>
        <v>0</v>
      </c>
      <c r="G32" s="107">
        <f>IFERROR(E32/C32*100,0)</f>
        <v>0</v>
      </c>
      <c r="H32" s="107">
        <f>H38+H44+H50</f>
        <v>0</v>
      </c>
      <c r="I32" s="107">
        <f t="shared" ref="I32:AE35" si="8">I38+I44+I50</f>
        <v>0</v>
      </c>
      <c r="J32" s="107">
        <f t="shared" si="8"/>
        <v>0</v>
      </c>
      <c r="K32" s="107">
        <f t="shared" si="8"/>
        <v>0</v>
      </c>
      <c r="L32" s="107">
        <f t="shared" si="8"/>
        <v>0</v>
      </c>
      <c r="M32" s="107">
        <f t="shared" si="8"/>
        <v>0</v>
      </c>
      <c r="N32" s="107">
        <f t="shared" si="8"/>
        <v>0</v>
      </c>
      <c r="O32" s="107">
        <f t="shared" si="8"/>
        <v>0</v>
      </c>
      <c r="P32" s="107">
        <f t="shared" si="8"/>
        <v>0</v>
      </c>
      <c r="Q32" s="107">
        <f t="shared" si="8"/>
        <v>0</v>
      </c>
      <c r="R32" s="107">
        <f t="shared" si="8"/>
        <v>0</v>
      </c>
      <c r="S32" s="107">
        <f t="shared" si="8"/>
        <v>0</v>
      </c>
      <c r="T32" s="107">
        <f t="shared" si="8"/>
        <v>0</v>
      </c>
      <c r="U32" s="107">
        <f t="shared" si="8"/>
        <v>0</v>
      </c>
      <c r="V32" s="107">
        <f t="shared" si="8"/>
        <v>0</v>
      </c>
      <c r="W32" s="107">
        <f t="shared" si="8"/>
        <v>0</v>
      </c>
      <c r="X32" s="107">
        <f t="shared" si="8"/>
        <v>0</v>
      </c>
      <c r="Y32" s="107">
        <f t="shared" si="8"/>
        <v>0</v>
      </c>
      <c r="Z32" s="107">
        <f t="shared" si="8"/>
        <v>0</v>
      </c>
      <c r="AA32" s="107">
        <f t="shared" si="8"/>
        <v>0</v>
      </c>
      <c r="AB32" s="107">
        <f t="shared" si="8"/>
        <v>0</v>
      </c>
      <c r="AC32" s="107">
        <f t="shared" si="8"/>
        <v>0</v>
      </c>
      <c r="AD32" s="107">
        <f t="shared" si="8"/>
        <v>0</v>
      </c>
      <c r="AE32" s="107">
        <f t="shared" si="8"/>
        <v>0</v>
      </c>
      <c r="AF32" s="101"/>
      <c r="AG32" s="102">
        <f t="shared" si="1"/>
        <v>0</v>
      </c>
    </row>
    <row r="33" spans="1:33" x14ac:dyDescent="0.3">
      <c r="A33" s="106" t="s">
        <v>32</v>
      </c>
      <c r="B33" s="107">
        <f>J33+L33+N33+P33+R33+T33+V33+X33+Z33+AB33+AD33+H33</f>
        <v>0</v>
      </c>
      <c r="C33" s="107">
        <f>SUM(H33)</f>
        <v>0</v>
      </c>
      <c r="D33" s="107">
        <f>E33</f>
        <v>0</v>
      </c>
      <c r="E33" s="107">
        <f>SUM(I33,K33,M33,O33,Q33,S33,U33,W33,Y33,AA33,AC33,AE33)</f>
        <v>0</v>
      </c>
      <c r="F33" s="107">
        <f>IFERROR(E33/B33*100,0)</f>
        <v>0</v>
      </c>
      <c r="G33" s="107">
        <f>IFERROR(E33/C33*100,0)</f>
        <v>0</v>
      </c>
      <c r="H33" s="107">
        <f>H39+H45+H51</f>
        <v>0</v>
      </c>
      <c r="I33" s="107">
        <f t="shared" ref="I33:W33" si="9">I39+I45+I51</f>
        <v>0</v>
      </c>
      <c r="J33" s="107">
        <f t="shared" si="9"/>
        <v>0</v>
      </c>
      <c r="K33" s="107">
        <f t="shared" si="9"/>
        <v>0</v>
      </c>
      <c r="L33" s="107">
        <f t="shared" si="9"/>
        <v>0</v>
      </c>
      <c r="M33" s="107">
        <f t="shared" si="9"/>
        <v>0</v>
      </c>
      <c r="N33" s="107">
        <f t="shared" si="9"/>
        <v>0</v>
      </c>
      <c r="O33" s="107">
        <f t="shared" si="9"/>
        <v>0</v>
      </c>
      <c r="P33" s="107">
        <f t="shared" si="9"/>
        <v>0</v>
      </c>
      <c r="Q33" s="107">
        <f t="shared" si="9"/>
        <v>0</v>
      </c>
      <c r="R33" s="107">
        <f t="shared" si="9"/>
        <v>0</v>
      </c>
      <c r="S33" s="107">
        <f t="shared" si="9"/>
        <v>0</v>
      </c>
      <c r="T33" s="107">
        <f t="shared" si="9"/>
        <v>0</v>
      </c>
      <c r="U33" s="107">
        <f t="shared" si="9"/>
        <v>0</v>
      </c>
      <c r="V33" s="107">
        <f t="shared" si="9"/>
        <v>0</v>
      </c>
      <c r="W33" s="107">
        <f t="shared" si="9"/>
        <v>0</v>
      </c>
      <c r="X33" s="107">
        <f t="shared" si="8"/>
        <v>0</v>
      </c>
      <c r="Y33" s="107">
        <f t="shared" si="8"/>
        <v>0</v>
      </c>
      <c r="Z33" s="107">
        <f t="shared" si="8"/>
        <v>0</v>
      </c>
      <c r="AA33" s="107">
        <f t="shared" si="8"/>
        <v>0</v>
      </c>
      <c r="AB33" s="107">
        <f t="shared" si="8"/>
        <v>0</v>
      </c>
      <c r="AC33" s="107">
        <f t="shared" si="8"/>
        <v>0</v>
      </c>
      <c r="AD33" s="107">
        <f t="shared" si="8"/>
        <v>0</v>
      </c>
      <c r="AE33" s="107">
        <f t="shared" si="8"/>
        <v>0</v>
      </c>
      <c r="AF33" s="101"/>
      <c r="AG33" s="102">
        <f t="shared" si="1"/>
        <v>0</v>
      </c>
    </row>
    <row r="34" spans="1:33" x14ac:dyDescent="0.3">
      <c r="A34" s="106" t="s">
        <v>33</v>
      </c>
      <c r="B34" s="627">
        <f>J34+L34+N34+P34+R34+T34+V34+X34+Z34+AB34+AD34+H34</f>
        <v>2959.5</v>
      </c>
      <c r="C34" s="107">
        <f>H34+J34+L34+N34</f>
        <v>824.15000000000009</v>
      </c>
      <c r="D34" s="107">
        <f>E34</f>
        <v>1188.597</v>
      </c>
      <c r="E34" s="107">
        <f>SUM(I34,K34,M34,O34,Q34,S34,U34,W34,Y34,AA34,AC34,AE34)</f>
        <v>1188.597</v>
      </c>
      <c r="F34" s="107">
        <f>IFERROR(E34/B34*100,0)</f>
        <v>40.162088190572732</v>
      </c>
      <c r="G34" s="107">
        <f>IFERROR(E34/C34*100,0)</f>
        <v>144.22095492325425</v>
      </c>
      <c r="H34" s="107">
        <f>H40+H46+H52+H58</f>
        <v>300</v>
      </c>
      <c r="I34" s="107">
        <f t="shared" ref="I34:AF34" si="10">I40+I46+I52+I58</f>
        <v>256.2</v>
      </c>
      <c r="J34" s="107">
        <f t="shared" si="10"/>
        <v>289.64999999999998</v>
      </c>
      <c r="K34" s="107">
        <f t="shared" si="10"/>
        <v>307.20699999999999</v>
      </c>
      <c r="L34" s="107">
        <f>L40+L46+L52+L58</f>
        <v>176.8</v>
      </c>
      <c r="M34" s="107">
        <f t="shared" si="10"/>
        <v>200.63</v>
      </c>
      <c r="N34" s="107">
        <f t="shared" si="10"/>
        <v>57.7</v>
      </c>
      <c r="O34" s="107">
        <f t="shared" si="10"/>
        <v>57.7</v>
      </c>
      <c r="P34" s="107">
        <f t="shared" si="10"/>
        <v>224.4</v>
      </c>
      <c r="Q34" s="107">
        <f t="shared" si="10"/>
        <v>0</v>
      </c>
      <c r="R34" s="107">
        <f t="shared" si="10"/>
        <v>255</v>
      </c>
      <c r="S34" s="107">
        <f t="shared" si="10"/>
        <v>366.86</v>
      </c>
      <c r="T34" s="107">
        <f t="shared" si="10"/>
        <v>1000</v>
      </c>
      <c r="U34" s="107">
        <f t="shared" si="10"/>
        <v>0</v>
      </c>
      <c r="V34" s="107">
        <f t="shared" si="10"/>
        <v>0</v>
      </c>
      <c r="W34" s="107">
        <f t="shared" si="10"/>
        <v>0</v>
      </c>
      <c r="X34" s="107">
        <f t="shared" si="10"/>
        <v>0</v>
      </c>
      <c r="Y34" s="107">
        <f t="shared" si="10"/>
        <v>0</v>
      </c>
      <c r="Z34" s="107">
        <f t="shared" si="10"/>
        <v>0</v>
      </c>
      <c r="AA34" s="107">
        <f t="shared" si="10"/>
        <v>0</v>
      </c>
      <c r="AB34" s="107">
        <f t="shared" si="10"/>
        <v>0</v>
      </c>
      <c r="AC34" s="107">
        <f t="shared" si="10"/>
        <v>0</v>
      </c>
      <c r="AD34" s="107">
        <f t="shared" si="10"/>
        <v>655.95</v>
      </c>
      <c r="AE34" s="107">
        <f t="shared" si="10"/>
        <v>0</v>
      </c>
      <c r="AF34" s="107">
        <f t="shared" si="10"/>
        <v>0</v>
      </c>
      <c r="AG34" s="102">
        <f t="shared" si="1"/>
        <v>0</v>
      </c>
    </row>
    <row r="35" spans="1:33" x14ac:dyDescent="0.3">
      <c r="A35" s="106" t="s">
        <v>170</v>
      </c>
      <c r="B35" s="107">
        <f>J35+L35+N35+P35+R35+T35+V35+X35+Z35+AB35+AD35+H35</f>
        <v>418</v>
      </c>
      <c r="C35" s="107">
        <f>SUM(H35)</f>
        <v>0</v>
      </c>
      <c r="D35" s="107">
        <f>E35</f>
        <v>418</v>
      </c>
      <c r="E35" s="107">
        <f>SUM(I35,K35,M35,O35,Q35,S35,U35,W35,Y35,AA35,AC35,AE35)</f>
        <v>418</v>
      </c>
      <c r="F35" s="107">
        <f>IFERROR(E35/B35*100,0)</f>
        <v>100</v>
      </c>
      <c r="G35" s="107">
        <f>IFERROR(E35/C35*100,0)</f>
        <v>0</v>
      </c>
      <c r="H35" s="107">
        <f>H41+H47+H53</f>
        <v>0</v>
      </c>
      <c r="I35" s="107">
        <f t="shared" si="8"/>
        <v>0</v>
      </c>
      <c r="J35" s="107">
        <f t="shared" si="8"/>
        <v>0</v>
      </c>
      <c r="K35" s="107">
        <f t="shared" si="8"/>
        <v>0</v>
      </c>
      <c r="L35" s="107">
        <f t="shared" si="8"/>
        <v>0</v>
      </c>
      <c r="M35" s="107">
        <f t="shared" si="8"/>
        <v>0</v>
      </c>
      <c r="N35" s="107">
        <f t="shared" si="8"/>
        <v>0</v>
      </c>
      <c r="O35" s="107">
        <f t="shared" si="8"/>
        <v>0</v>
      </c>
      <c r="P35" s="107">
        <f t="shared" si="8"/>
        <v>0</v>
      </c>
      <c r="Q35" s="107">
        <f t="shared" si="8"/>
        <v>0</v>
      </c>
      <c r="R35" s="107">
        <f t="shared" si="8"/>
        <v>418</v>
      </c>
      <c r="S35" s="107">
        <f t="shared" si="8"/>
        <v>418</v>
      </c>
      <c r="T35" s="107">
        <f t="shared" si="8"/>
        <v>0</v>
      </c>
      <c r="U35" s="107">
        <f t="shared" si="8"/>
        <v>0</v>
      </c>
      <c r="V35" s="107">
        <f t="shared" si="8"/>
        <v>0</v>
      </c>
      <c r="W35" s="107">
        <f t="shared" si="8"/>
        <v>0</v>
      </c>
      <c r="X35" s="107">
        <f t="shared" si="8"/>
        <v>0</v>
      </c>
      <c r="Y35" s="107">
        <f t="shared" si="8"/>
        <v>0</v>
      </c>
      <c r="Z35" s="107">
        <f t="shared" si="8"/>
        <v>0</v>
      </c>
      <c r="AA35" s="107">
        <f t="shared" si="8"/>
        <v>0</v>
      </c>
      <c r="AB35" s="107">
        <f t="shared" si="8"/>
        <v>0</v>
      </c>
      <c r="AC35" s="107">
        <f t="shared" si="8"/>
        <v>0</v>
      </c>
      <c r="AD35" s="107">
        <f t="shared" si="8"/>
        <v>0</v>
      </c>
      <c r="AE35" s="107">
        <f t="shared" si="8"/>
        <v>0</v>
      </c>
      <c r="AF35" s="101"/>
      <c r="AG35" s="102">
        <f t="shared" si="1"/>
        <v>0</v>
      </c>
    </row>
    <row r="36" spans="1:33" ht="56.25" x14ac:dyDescent="0.3">
      <c r="A36" s="787" t="s">
        <v>625</v>
      </c>
      <c r="B36" s="627"/>
      <c r="C36" s="635"/>
      <c r="D36" s="635"/>
      <c r="E36" s="635"/>
      <c r="F36" s="110"/>
      <c r="G36" s="110"/>
      <c r="H36" s="111"/>
      <c r="I36" s="111"/>
      <c r="J36" s="111"/>
      <c r="K36" s="111"/>
      <c r="L36" s="111"/>
      <c r="M36" s="111"/>
      <c r="N36" s="111"/>
      <c r="O36" s="111"/>
      <c r="P36" s="111"/>
      <c r="Q36" s="111"/>
      <c r="R36" s="111"/>
      <c r="S36" s="111"/>
      <c r="T36" s="111"/>
      <c r="U36" s="111"/>
      <c r="V36" s="111"/>
      <c r="W36" s="111"/>
      <c r="X36" s="111"/>
      <c r="Y36" s="111"/>
      <c r="Z36" s="111"/>
      <c r="AA36" s="111"/>
      <c r="AB36" s="111"/>
      <c r="AC36" s="111"/>
      <c r="AD36" s="111"/>
      <c r="AE36" s="111"/>
      <c r="AF36" s="29"/>
      <c r="AG36" s="102">
        <f t="shared" si="1"/>
        <v>0</v>
      </c>
    </row>
    <row r="37" spans="1:33" s="622" customFormat="1" x14ac:dyDescent="0.3">
      <c r="A37" s="623" t="s">
        <v>31</v>
      </c>
      <c r="B37" s="624">
        <f>B39+B40+B38+B41</f>
        <v>1562.5</v>
      </c>
      <c r="C37" s="624">
        <f>C39+C40+C38+C41</f>
        <v>1236.55</v>
      </c>
      <c r="D37" s="788">
        <f>D39+D40+D38+D41</f>
        <v>1121.5970000000002</v>
      </c>
      <c r="E37" s="624">
        <f>E39+E40+E38+E41</f>
        <v>1121.5970000000002</v>
      </c>
      <c r="F37" s="624">
        <f>IFERROR(E37/B37*100,0)</f>
        <v>71.782208000000011</v>
      </c>
      <c r="G37" s="624">
        <f>IFERROR(E37/C37*100,0)</f>
        <v>90.70373215802033</v>
      </c>
      <c r="H37" s="792">
        <f t="shared" ref="H37:AE37" si="11">H39+H40+H38+H41</f>
        <v>300</v>
      </c>
      <c r="I37" s="792">
        <f t="shared" si="11"/>
        <v>256.2</v>
      </c>
      <c r="J37" s="792">
        <f t="shared" si="11"/>
        <v>114.65</v>
      </c>
      <c r="K37" s="792">
        <f t="shared" si="11"/>
        <v>132.20699999999999</v>
      </c>
      <c r="L37" s="792">
        <f t="shared" si="11"/>
        <v>126.8</v>
      </c>
      <c r="M37" s="792">
        <f t="shared" si="11"/>
        <v>150.63</v>
      </c>
      <c r="N37" s="792">
        <f t="shared" si="11"/>
        <v>7.6999999999999993</v>
      </c>
      <c r="O37" s="792">
        <f t="shared" si="11"/>
        <v>7.7</v>
      </c>
      <c r="P37" s="792">
        <f t="shared" si="11"/>
        <v>224.4</v>
      </c>
      <c r="Q37" s="792">
        <f t="shared" si="11"/>
        <v>0</v>
      </c>
      <c r="R37" s="792">
        <f t="shared" si="11"/>
        <v>463</v>
      </c>
      <c r="S37" s="792">
        <f t="shared" si="11"/>
        <v>574.86</v>
      </c>
      <c r="T37" s="792">
        <f t="shared" si="11"/>
        <v>0</v>
      </c>
      <c r="U37" s="624">
        <f t="shared" si="11"/>
        <v>0</v>
      </c>
      <c r="V37" s="624">
        <f t="shared" si="11"/>
        <v>0</v>
      </c>
      <c r="W37" s="624">
        <f t="shared" si="11"/>
        <v>0</v>
      </c>
      <c r="X37" s="624">
        <f t="shared" si="11"/>
        <v>0</v>
      </c>
      <c r="Y37" s="624">
        <f t="shared" si="11"/>
        <v>0</v>
      </c>
      <c r="Z37" s="624">
        <f t="shared" si="11"/>
        <v>0</v>
      </c>
      <c r="AA37" s="624">
        <f t="shared" si="11"/>
        <v>0</v>
      </c>
      <c r="AB37" s="624">
        <f t="shared" si="11"/>
        <v>0</v>
      </c>
      <c r="AC37" s="624">
        <f t="shared" si="11"/>
        <v>0</v>
      </c>
      <c r="AD37" s="630">
        <f t="shared" si="11"/>
        <v>325.95</v>
      </c>
      <c r="AE37" s="624">
        <f t="shared" si="11"/>
        <v>0</v>
      </c>
      <c r="AF37" s="620"/>
      <c r="AG37" s="621">
        <f t="shared" si="1"/>
        <v>0</v>
      </c>
    </row>
    <row r="38" spans="1:33" s="622" customFormat="1" x14ac:dyDescent="0.3">
      <c r="A38" s="626" t="s">
        <v>169</v>
      </c>
      <c r="B38" s="627">
        <f>J38+L38+N38+P38+R38+T38+V38+X38+Z38+AB38+AD38+H38</f>
        <v>0</v>
      </c>
      <c r="C38" s="786">
        <f>SUM(H38)</f>
        <v>0</v>
      </c>
      <c r="D38" s="789">
        <f>E38</f>
        <v>0</v>
      </c>
      <c r="E38" s="786">
        <f>SUM(I38,K38,M38,O38,Q38,S38,U38,W38,Y38,AA38,AC38,AE38)</f>
        <v>0</v>
      </c>
      <c r="F38" s="627">
        <f>IFERROR(E38/B38*100,0)</f>
        <v>0</v>
      </c>
      <c r="G38" s="627">
        <f>IFERROR(E38/C38*100,0)</f>
        <v>0</v>
      </c>
      <c r="H38" s="520"/>
      <c r="I38" s="520"/>
      <c r="J38" s="520"/>
      <c r="K38" s="520"/>
      <c r="L38" s="520"/>
      <c r="M38" s="520"/>
      <c r="N38" s="520"/>
      <c r="O38" s="520"/>
      <c r="P38" s="520"/>
      <c r="Q38" s="520"/>
      <c r="R38" s="520"/>
      <c r="S38" s="520"/>
      <c r="T38" s="520"/>
      <c r="U38" s="520"/>
      <c r="V38" s="520"/>
      <c r="W38" s="520"/>
      <c r="X38" s="520"/>
      <c r="Y38" s="520"/>
      <c r="Z38" s="520"/>
      <c r="AA38" s="520"/>
      <c r="AB38" s="520"/>
      <c r="AC38" s="520"/>
      <c r="AD38" s="520"/>
      <c r="AE38" s="520"/>
      <c r="AF38" s="620"/>
      <c r="AG38" s="621">
        <f t="shared" si="1"/>
        <v>0</v>
      </c>
    </row>
    <row r="39" spans="1:33" s="622" customFormat="1" x14ac:dyDescent="0.3">
      <c r="A39" s="626" t="s">
        <v>32</v>
      </c>
      <c r="B39" s="627">
        <f>J39+L39+N39+P39+R39+T39+V39+X39+Z39+AB39+AD39+H39</f>
        <v>0</v>
      </c>
      <c r="C39" s="786">
        <f>SUM(H39)</f>
        <v>0</v>
      </c>
      <c r="D39" s="789">
        <f>E39</f>
        <v>0</v>
      </c>
      <c r="E39" s="786">
        <f>SUM(I39,K39,M39,O39,Q39,S39,U39,W39,Y39,AA39,AC39,AE39)</f>
        <v>0</v>
      </c>
      <c r="F39" s="627">
        <f>IFERROR(E39/B39*100,0)</f>
        <v>0</v>
      </c>
      <c r="G39" s="627">
        <f>IFERROR(E39/C39*100,0)</f>
        <v>0</v>
      </c>
      <c r="H39" s="520"/>
      <c r="I39" s="520"/>
      <c r="J39" s="520"/>
      <c r="K39" s="520"/>
      <c r="L39" s="520"/>
      <c r="M39" s="520"/>
      <c r="N39" s="520"/>
      <c r="O39" s="520"/>
      <c r="P39" s="520"/>
      <c r="Q39" s="520"/>
      <c r="R39" s="520"/>
      <c r="S39" s="520"/>
      <c r="T39" s="520"/>
      <c r="U39" s="520"/>
      <c r="V39" s="520"/>
      <c r="W39" s="520"/>
      <c r="X39" s="520"/>
      <c r="Y39" s="520"/>
      <c r="Z39" s="520"/>
      <c r="AA39" s="520"/>
      <c r="AB39" s="520"/>
      <c r="AC39" s="520"/>
      <c r="AD39" s="520"/>
      <c r="AE39" s="520"/>
      <c r="AF39" s="620"/>
      <c r="AG39" s="621">
        <f t="shared" si="1"/>
        <v>0</v>
      </c>
    </row>
    <row r="40" spans="1:33" s="622" customFormat="1" x14ac:dyDescent="0.3">
      <c r="A40" s="626" t="s">
        <v>33</v>
      </c>
      <c r="B40" s="627">
        <f>J40+L40+N40+P40+R40+T40+V40+X40+Z40+AB40+AD40+H40</f>
        <v>1144.5</v>
      </c>
      <c r="C40" s="786">
        <f>H40+J40+L40+N40+P40+R40</f>
        <v>818.55</v>
      </c>
      <c r="D40" s="789">
        <f>E40</f>
        <v>703.59700000000009</v>
      </c>
      <c r="E40" s="786">
        <f>SUM(I40,K40,M40,O40,Q40,S40,U40,W40,Y40,AA40,AC40,AE40)</f>
        <v>703.59700000000009</v>
      </c>
      <c r="F40" s="627">
        <f>IFERROR(E40/B40*100,0)</f>
        <v>61.476365224989081</v>
      </c>
      <c r="G40" s="627">
        <f>IFERROR(E40/C40*100,0)</f>
        <v>85.956508460081864</v>
      </c>
      <c r="H40" s="520">
        <v>300</v>
      </c>
      <c r="I40" s="520">
        <v>256.2</v>
      </c>
      <c r="J40" s="520">
        <v>114.65</v>
      </c>
      <c r="K40" s="520">
        <v>132.20699999999999</v>
      </c>
      <c r="L40" s="520">
        <v>126.8</v>
      </c>
      <c r="M40" s="520">
        <v>150.63</v>
      </c>
      <c r="N40" s="520">
        <f>24.5-16.8</f>
        <v>7.6999999999999993</v>
      </c>
      <c r="O40" s="520">
        <v>7.7</v>
      </c>
      <c r="P40" s="520">
        <v>224.4</v>
      </c>
      <c r="Q40" s="520"/>
      <c r="R40" s="520">
        <v>45</v>
      </c>
      <c r="S40" s="520">
        <v>156.86000000000001</v>
      </c>
      <c r="T40" s="520">
        <v>0</v>
      </c>
      <c r="U40" s="520"/>
      <c r="V40" s="520">
        <v>0</v>
      </c>
      <c r="W40" s="520"/>
      <c r="X40" s="520">
        <v>0</v>
      </c>
      <c r="Y40" s="520"/>
      <c r="Z40" s="520">
        <v>0</v>
      </c>
      <c r="AA40" s="520"/>
      <c r="AB40" s="520">
        <v>0</v>
      </c>
      <c r="AC40" s="520"/>
      <c r="AD40" s="843">
        <v>325.95</v>
      </c>
      <c r="AE40" s="520"/>
      <c r="AF40" s="620"/>
      <c r="AG40" s="621">
        <f t="shared" si="1"/>
        <v>0</v>
      </c>
    </row>
    <row r="41" spans="1:33" s="622" customFormat="1" x14ac:dyDescent="0.3">
      <c r="A41" s="626" t="s">
        <v>170</v>
      </c>
      <c r="B41" s="627">
        <f>J41+L41+N41+P41+R41+T41+V41+X41+Z41+AB41+AD41+H41</f>
        <v>418</v>
      </c>
      <c r="C41" s="786">
        <f>H41+J41+L41+N41+P41+R41</f>
        <v>418</v>
      </c>
      <c r="D41" s="789">
        <f>E41</f>
        <v>418</v>
      </c>
      <c r="E41" s="786">
        <f>SUM(I41,K41,M41,O41,Q41,S41,U41,W41,Y41,AA41,AC41,AE41)</f>
        <v>418</v>
      </c>
      <c r="F41" s="627">
        <f>IFERROR(E41/B41*100,0)</f>
        <v>100</v>
      </c>
      <c r="G41" s="627">
        <f>IFERROR(E41/C41*100,0)</f>
        <v>100</v>
      </c>
      <c r="H41" s="520"/>
      <c r="I41" s="520"/>
      <c r="J41" s="520"/>
      <c r="K41" s="520"/>
      <c r="L41" s="520"/>
      <c r="M41" s="520"/>
      <c r="N41" s="520"/>
      <c r="O41" s="520"/>
      <c r="P41" s="520"/>
      <c r="Q41" s="520"/>
      <c r="R41" s="520">
        <v>418</v>
      </c>
      <c r="S41" s="520">
        <v>418</v>
      </c>
      <c r="T41" s="520"/>
      <c r="U41" s="520"/>
      <c r="V41" s="520"/>
      <c r="W41" s="520"/>
      <c r="X41" s="520"/>
      <c r="Y41" s="520"/>
      <c r="Z41" s="520"/>
      <c r="AA41" s="520"/>
      <c r="AB41" s="520"/>
      <c r="AC41" s="520"/>
      <c r="AD41" s="520"/>
      <c r="AE41" s="520"/>
      <c r="AF41" s="620"/>
      <c r="AG41" s="621">
        <f t="shared" si="1"/>
        <v>0</v>
      </c>
    </row>
    <row r="42" spans="1:33" s="622" customFormat="1" ht="146.25" customHeight="1" x14ac:dyDescent="0.3">
      <c r="A42" s="639" t="s">
        <v>278</v>
      </c>
      <c r="B42" s="624"/>
      <c r="C42" s="630"/>
      <c r="D42" s="630"/>
      <c r="E42" s="630"/>
      <c r="F42" s="630"/>
      <c r="G42" s="630"/>
      <c r="H42" s="520"/>
      <c r="I42" s="520"/>
      <c r="J42" s="520"/>
      <c r="K42" s="520"/>
      <c r="L42" s="520"/>
      <c r="M42" s="520"/>
      <c r="N42" s="520"/>
      <c r="O42" s="520"/>
      <c r="P42" s="520"/>
      <c r="Q42" s="520"/>
      <c r="R42" s="520"/>
      <c r="S42" s="520"/>
      <c r="T42" s="520"/>
      <c r="U42" s="520"/>
      <c r="V42" s="520"/>
      <c r="W42" s="520"/>
      <c r="X42" s="520"/>
      <c r="Y42" s="520"/>
      <c r="Z42" s="520"/>
      <c r="AA42" s="520"/>
      <c r="AB42" s="520"/>
      <c r="AC42" s="520"/>
      <c r="AD42" s="520"/>
      <c r="AE42" s="520"/>
      <c r="AF42" s="620"/>
      <c r="AG42" s="621">
        <f t="shared" si="1"/>
        <v>0</v>
      </c>
    </row>
    <row r="43" spans="1:33" s="622" customFormat="1" x14ac:dyDescent="0.3">
      <c r="A43" s="623" t="s">
        <v>31</v>
      </c>
      <c r="B43" s="624">
        <f>B45+B46+B44+B47</f>
        <v>815</v>
      </c>
      <c r="C43" s="624">
        <f>C45+C46+C44+C47</f>
        <v>485</v>
      </c>
      <c r="D43" s="624">
        <f>D45+D46+D44+D47</f>
        <v>485</v>
      </c>
      <c r="E43" s="624">
        <f>E45+E46+E44+E47</f>
        <v>485</v>
      </c>
      <c r="F43" s="624">
        <f>IFERROR(E43/B43*100,0)</f>
        <v>59.509202453987733</v>
      </c>
      <c r="G43" s="624">
        <f>IFERROR(E43/C43*100,0)</f>
        <v>100</v>
      </c>
      <c r="H43" s="624">
        <f t="shared" ref="H43:AE43" si="12">H45+H46+H44+H47</f>
        <v>0</v>
      </c>
      <c r="I43" s="624">
        <f t="shared" si="12"/>
        <v>0</v>
      </c>
      <c r="J43" s="624">
        <f t="shared" si="12"/>
        <v>175</v>
      </c>
      <c r="K43" s="624">
        <f t="shared" si="12"/>
        <v>175</v>
      </c>
      <c r="L43" s="624">
        <f t="shared" si="12"/>
        <v>50</v>
      </c>
      <c r="M43" s="624">
        <f t="shared" si="12"/>
        <v>50</v>
      </c>
      <c r="N43" s="792">
        <f t="shared" si="12"/>
        <v>50</v>
      </c>
      <c r="O43" s="624">
        <f t="shared" si="12"/>
        <v>50</v>
      </c>
      <c r="P43" s="624">
        <f t="shared" si="12"/>
        <v>0</v>
      </c>
      <c r="Q43" s="624">
        <f t="shared" si="12"/>
        <v>0</v>
      </c>
      <c r="R43" s="624">
        <f t="shared" si="12"/>
        <v>210</v>
      </c>
      <c r="S43" s="624">
        <f t="shared" si="12"/>
        <v>210</v>
      </c>
      <c r="T43" s="624">
        <f t="shared" si="12"/>
        <v>0</v>
      </c>
      <c r="U43" s="624">
        <f t="shared" si="12"/>
        <v>0</v>
      </c>
      <c r="V43" s="624">
        <f t="shared" si="12"/>
        <v>0</v>
      </c>
      <c r="W43" s="624">
        <f t="shared" si="12"/>
        <v>0</v>
      </c>
      <c r="X43" s="624">
        <f t="shared" si="12"/>
        <v>0</v>
      </c>
      <c r="Y43" s="624">
        <f t="shared" si="12"/>
        <v>0</v>
      </c>
      <c r="Z43" s="624">
        <f t="shared" si="12"/>
        <v>0</v>
      </c>
      <c r="AA43" s="624">
        <f t="shared" si="12"/>
        <v>0</v>
      </c>
      <c r="AB43" s="624">
        <f t="shared" si="12"/>
        <v>0</v>
      </c>
      <c r="AC43" s="624">
        <f t="shared" si="12"/>
        <v>0</v>
      </c>
      <c r="AD43" s="624">
        <f t="shared" si="12"/>
        <v>330</v>
      </c>
      <c r="AE43" s="624">
        <f t="shared" si="12"/>
        <v>0</v>
      </c>
      <c r="AF43" s="620"/>
      <c r="AG43" s="621">
        <f t="shared" si="1"/>
        <v>0</v>
      </c>
    </row>
    <row r="44" spans="1:33" s="622" customFormat="1" x14ac:dyDescent="0.3">
      <c r="A44" s="626" t="s">
        <v>169</v>
      </c>
      <c r="B44" s="627">
        <f>J44+L44+N44+P44+R44+T44+V44+X44+Z44+AB44+AD44+H44</f>
        <v>0</v>
      </c>
      <c r="C44" s="786">
        <f>SUM(H44)</f>
        <v>0</v>
      </c>
      <c r="D44" s="789">
        <f>E44</f>
        <v>0</v>
      </c>
      <c r="E44" s="786">
        <f>SUM(I44,K44,M44,O44,Q44,S44,U44,W44,Y44,AA44,AC44,AE44)</f>
        <v>0</v>
      </c>
      <c r="F44" s="627"/>
      <c r="G44" s="627"/>
      <c r="H44" s="520"/>
      <c r="I44" s="520"/>
      <c r="J44" s="520"/>
      <c r="K44" s="520"/>
      <c r="L44" s="520"/>
      <c r="M44" s="520"/>
      <c r="N44" s="520"/>
      <c r="O44" s="520"/>
      <c r="P44" s="520"/>
      <c r="Q44" s="520"/>
      <c r="R44" s="520"/>
      <c r="S44" s="520"/>
      <c r="T44" s="520"/>
      <c r="U44" s="520"/>
      <c r="V44" s="520"/>
      <c r="W44" s="520"/>
      <c r="X44" s="520"/>
      <c r="Y44" s="520"/>
      <c r="Z44" s="520"/>
      <c r="AA44" s="520"/>
      <c r="AB44" s="520"/>
      <c r="AC44" s="520"/>
      <c r="AD44" s="520"/>
      <c r="AE44" s="520"/>
      <c r="AF44" s="620"/>
      <c r="AG44" s="621">
        <f t="shared" si="1"/>
        <v>0</v>
      </c>
    </row>
    <row r="45" spans="1:33" s="622" customFormat="1" x14ac:dyDescent="0.3">
      <c r="A45" s="626" t="s">
        <v>32</v>
      </c>
      <c r="B45" s="627">
        <f>J45+L45+N45+P45+R45+T45+V45+X45+Z45+AB45+AD45+H45</f>
        <v>0</v>
      </c>
      <c r="C45" s="786">
        <f>SUM(H45)</f>
        <v>0</v>
      </c>
      <c r="D45" s="789">
        <f>E45</f>
        <v>0</v>
      </c>
      <c r="E45" s="786">
        <f>SUM(I45,K45,M45,O45,Q45,S45,U45,W45,Y45,AA45,AC45,AE45)</f>
        <v>0</v>
      </c>
      <c r="F45" s="627"/>
      <c r="G45" s="627"/>
      <c r="H45" s="520"/>
      <c r="I45" s="520"/>
      <c r="J45" s="520"/>
      <c r="K45" s="520"/>
      <c r="L45" s="520"/>
      <c r="M45" s="520"/>
      <c r="N45" s="520"/>
      <c r="O45" s="520"/>
      <c r="P45" s="520"/>
      <c r="Q45" s="520"/>
      <c r="R45" s="520"/>
      <c r="S45" s="520"/>
      <c r="T45" s="520"/>
      <c r="U45" s="520"/>
      <c r="V45" s="520"/>
      <c r="W45" s="520"/>
      <c r="X45" s="520"/>
      <c r="Y45" s="520"/>
      <c r="Z45" s="520"/>
      <c r="AA45" s="520"/>
      <c r="AB45" s="520"/>
      <c r="AC45" s="520"/>
      <c r="AD45" s="520"/>
      <c r="AE45" s="520"/>
      <c r="AF45" s="620"/>
      <c r="AG45" s="621">
        <f t="shared" si="1"/>
        <v>0</v>
      </c>
    </row>
    <row r="46" spans="1:33" s="622" customFormat="1" x14ac:dyDescent="0.3">
      <c r="A46" s="626" t="s">
        <v>33</v>
      </c>
      <c r="B46" s="627">
        <f>J46+L46+N46+P46+R46+T46+V46+X46+Z46+AB46+AD46+H46</f>
        <v>815</v>
      </c>
      <c r="C46" s="786">
        <f>H46+J46+L46+N46+P46+R46</f>
        <v>485</v>
      </c>
      <c r="D46" s="789">
        <f>E46</f>
        <v>485</v>
      </c>
      <c r="E46" s="786">
        <f>SUM(I46,K46,M46,O46,Q46,S46,U46,W46,Y46,AA46,AC46,AE46)</f>
        <v>485</v>
      </c>
      <c r="F46" s="627">
        <f>IFERROR(E46/B46*100,0)</f>
        <v>59.509202453987733</v>
      </c>
      <c r="G46" s="627">
        <f>IFERROR(E46/C46*100,0)</f>
        <v>100</v>
      </c>
      <c r="H46" s="520"/>
      <c r="I46" s="520"/>
      <c r="J46" s="520">
        <v>175</v>
      </c>
      <c r="K46" s="520">
        <v>175</v>
      </c>
      <c r="L46" s="520">
        <v>50</v>
      </c>
      <c r="M46" s="520">
        <v>50</v>
      </c>
      <c r="N46" s="520">
        <v>50</v>
      </c>
      <c r="O46" s="520">
        <v>50</v>
      </c>
      <c r="P46" s="520"/>
      <c r="Q46" s="520"/>
      <c r="R46" s="520">
        <v>210</v>
      </c>
      <c r="S46" s="520">
        <v>210</v>
      </c>
      <c r="T46" s="520"/>
      <c r="U46" s="520"/>
      <c r="V46" s="520"/>
      <c r="W46" s="520"/>
      <c r="X46" s="520"/>
      <c r="Y46" s="520"/>
      <c r="Z46" s="520"/>
      <c r="AA46" s="520"/>
      <c r="AB46" s="520"/>
      <c r="AC46" s="520"/>
      <c r="AD46" s="520">
        <f>715-175-50+100-50-210</f>
        <v>330</v>
      </c>
      <c r="AE46" s="520"/>
      <c r="AF46" s="620"/>
      <c r="AG46" s="621">
        <f t="shared" si="1"/>
        <v>0</v>
      </c>
    </row>
    <row r="47" spans="1:33" x14ac:dyDescent="0.3">
      <c r="A47" s="626" t="s">
        <v>170</v>
      </c>
      <c r="B47" s="627"/>
      <c r="C47" s="786"/>
      <c r="D47" s="789"/>
      <c r="E47" s="786"/>
      <c r="F47" s="116"/>
      <c r="G47" s="116"/>
      <c r="H47" s="111"/>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c r="AF47" s="29"/>
      <c r="AG47" s="102">
        <f t="shared" si="1"/>
        <v>0</v>
      </c>
    </row>
    <row r="48" spans="1:33" ht="93.75" x14ac:dyDescent="0.3">
      <c r="A48" s="799" t="s">
        <v>279</v>
      </c>
      <c r="B48" s="624"/>
      <c r="C48" s="630"/>
      <c r="D48" s="630"/>
      <c r="E48" s="630"/>
      <c r="F48" s="121"/>
      <c r="G48" s="121"/>
      <c r="H48" s="111"/>
      <c r="I48" s="111"/>
      <c r="J48" s="111"/>
      <c r="K48" s="111"/>
      <c r="L48" s="111"/>
      <c r="M48" s="111"/>
      <c r="N48" s="111"/>
      <c r="O48" s="111"/>
      <c r="P48" s="111"/>
      <c r="Q48" s="111"/>
      <c r="R48" s="111"/>
      <c r="S48" s="111"/>
      <c r="T48" s="111"/>
      <c r="U48" s="111"/>
      <c r="V48" s="111"/>
      <c r="W48" s="111"/>
      <c r="X48" s="111"/>
      <c r="Y48" s="111"/>
      <c r="Z48" s="111"/>
      <c r="AA48" s="111"/>
      <c r="AB48" s="111"/>
      <c r="AC48" s="111"/>
      <c r="AD48" s="111"/>
      <c r="AE48" s="111"/>
      <c r="AF48" s="29"/>
      <c r="AG48" s="102">
        <f t="shared" si="1"/>
        <v>0</v>
      </c>
    </row>
    <row r="49" spans="1:38" s="622" customFormat="1" x14ac:dyDescent="0.3">
      <c r="A49" s="623" t="s">
        <v>31</v>
      </c>
      <c r="B49" s="624">
        <f>B51+B52+B50+B53</f>
        <v>0</v>
      </c>
      <c r="C49" s="624">
        <f>C51+C52+C50+C53</f>
        <v>0</v>
      </c>
      <c r="D49" s="624">
        <f>D51+D52+D50+D53</f>
        <v>0</v>
      </c>
      <c r="E49" s="624">
        <f>E51+E52+E50+E53</f>
        <v>0</v>
      </c>
      <c r="F49" s="624">
        <f>IFERROR(E49/B49*100,0)</f>
        <v>0</v>
      </c>
      <c r="G49" s="624">
        <f>IFERROR(E49/C49*100,0)</f>
        <v>0</v>
      </c>
      <c r="H49" s="624">
        <f t="shared" ref="H49:AE49" si="13">H51+H52+H50+H53</f>
        <v>0</v>
      </c>
      <c r="I49" s="624">
        <f t="shared" si="13"/>
        <v>0</v>
      </c>
      <c r="J49" s="624">
        <f t="shared" si="13"/>
        <v>0</v>
      </c>
      <c r="K49" s="624">
        <f t="shared" si="13"/>
        <v>0</v>
      </c>
      <c r="L49" s="624">
        <f t="shared" si="13"/>
        <v>0</v>
      </c>
      <c r="M49" s="624">
        <f t="shared" si="13"/>
        <v>0</v>
      </c>
      <c r="N49" s="624">
        <f t="shared" si="13"/>
        <v>0</v>
      </c>
      <c r="O49" s="624">
        <f t="shared" si="13"/>
        <v>0</v>
      </c>
      <c r="P49" s="624">
        <f t="shared" si="13"/>
        <v>0</v>
      </c>
      <c r="Q49" s="624">
        <f t="shared" si="13"/>
        <v>0</v>
      </c>
      <c r="R49" s="624">
        <f t="shared" si="13"/>
        <v>0</v>
      </c>
      <c r="S49" s="624">
        <f t="shared" si="13"/>
        <v>0</v>
      </c>
      <c r="T49" s="624">
        <f t="shared" si="13"/>
        <v>0</v>
      </c>
      <c r="U49" s="624">
        <f t="shared" si="13"/>
        <v>0</v>
      </c>
      <c r="V49" s="624">
        <f t="shared" si="13"/>
        <v>0</v>
      </c>
      <c r="W49" s="624">
        <f t="shared" si="13"/>
        <v>0</v>
      </c>
      <c r="X49" s="624">
        <f t="shared" si="13"/>
        <v>0</v>
      </c>
      <c r="Y49" s="624">
        <f t="shared" si="13"/>
        <v>0</v>
      </c>
      <c r="Z49" s="624">
        <f t="shared" si="13"/>
        <v>0</v>
      </c>
      <c r="AA49" s="624">
        <f t="shared" si="13"/>
        <v>0</v>
      </c>
      <c r="AB49" s="624">
        <f t="shared" si="13"/>
        <v>0</v>
      </c>
      <c r="AC49" s="624">
        <f t="shared" si="13"/>
        <v>0</v>
      </c>
      <c r="AD49" s="624">
        <f t="shared" si="13"/>
        <v>0</v>
      </c>
      <c r="AE49" s="624">
        <f t="shared" si="13"/>
        <v>0</v>
      </c>
      <c r="AF49" s="620"/>
      <c r="AG49" s="621">
        <f t="shared" si="1"/>
        <v>0</v>
      </c>
    </row>
    <row r="50" spans="1:38" s="622" customFormat="1" x14ac:dyDescent="0.3">
      <c r="A50" s="626" t="s">
        <v>169</v>
      </c>
      <c r="B50" s="627">
        <f>J50+L50+N50+P50+R50+T50+V50+X50+Z50+AB50+AD50+H50</f>
        <v>0</v>
      </c>
      <c r="C50" s="786">
        <f>SUM(H50)</f>
        <v>0</v>
      </c>
      <c r="D50" s="789">
        <f>E50</f>
        <v>0</v>
      </c>
      <c r="E50" s="786">
        <f>SUM(I50,K50,M50,O50,Q50,S50,U50,W50,Y50,AA50,AC50,AE50)</f>
        <v>0</v>
      </c>
      <c r="F50" s="627"/>
      <c r="G50" s="627"/>
      <c r="H50" s="520"/>
      <c r="I50" s="520"/>
      <c r="J50" s="520"/>
      <c r="K50" s="520"/>
      <c r="L50" s="520"/>
      <c r="M50" s="520"/>
      <c r="N50" s="520"/>
      <c r="O50" s="520"/>
      <c r="P50" s="520"/>
      <c r="Q50" s="520"/>
      <c r="R50" s="520"/>
      <c r="S50" s="520"/>
      <c r="T50" s="520"/>
      <c r="U50" s="520"/>
      <c r="V50" s="520"/>
      <c r="W50" s="520"/>
      <c r="X50" s="520"/>
      <c r="Y50" s="520"/>
      <c r="Z50" s="520"/>
      <c r="AA50" s="520"/>
      <c r="AB50" s="520"/>
      <c r="AC50" s="520"/>
      <c r="AD50" s="520"/>
      <c r="AE50" s="520"/>
      <c r="AF50" s="620"/>
      <c r="AG50" s="621">
        <f t="shared" si="1"/>
        <v>0</v>
      </c>
    </row>
    <row r="51" spans="1:38" s="622" customFormat="1" x14ac:dyDescent="0.3">
      <c r="A51" s="626" t="s">
        <v>32</v>
      </c>
      <c r="B51" s="627">
        <f>J51+L51+N51+P51+R51+T51+V51+X51+Z51+AB51+AD51+H51</f>
        <v>0</v>
      </c>
      <c r="C51" s="786">
        <f>SUM(H51)</f>
        <v>0</v>
      </c>
      <c r="D51" s="789">
        <f>E51</f>
        <v>0</v>
      </c>
      <c r="E51" s="786">
        <f>SUM(I51,K51,M51,O51,Q51,S51,U51,W51,Y51,AA51,AC51,AE51)</f>
        <v>0</v>
      </c>
      <c r="F51" s="627"/>
      <c r="G51" s="627"/>
      <c r="H51" s="520"/>
      <c r="I51" s="520"/>
      <c r="J51" s="520"/>
      <c r="K51" s="520"/>
      <c r="L51" s="520"/>
      <c r="M51" s="520"/>
      <c r="N51" s="520"/>
      <c r="O51" s="520"/>
      <c r="P51" s="520"/>
      <c r="Q51" s="520"/>
      <c r="R51" s="520"/>
      <c r="S51" s="520"/>
      <c r="T51" s="520"/>
      <c r="U51" s="520"/>
      <c r="V51" s="520"/>
      <c r="W51" s="520"/>
      <c r="X51" s="520"/>
      <c r="Y51" s="520"/>
      <c r="Z51" s="520"/>
      <c r="AA51" s="520"/>
      <c r="AB51" s="520"/>
      <c r="AC51" s="520"/>
      <c r="AD51" s="520"/>
      <c r="AE51" s="520"/>
      <c r="AF51" s="620"/>
      <c r="AG51" s="621">
        <f t="shared" si="1"/>
        <v>0</v>
      </c>
    </row>
    <row r="52" spans="1:38" s="622" customFormat="1" x14ac:dyDescent="0.3">
      <c r="A52" s="626" t="s">
        <v>33</v>
      </c>
      <c r="B52" s="627">
        <f>J52+L52+N52+P52+R52+T52+V52+X52+Z52+AB52+AD52+H52</f>
        <v>0</v>
      </c>
      <c r="C52" s="786">
        <f>SUM(H52)</f>
        <v>0</v>
      </c>
      <c r="D52" s="789">
        <f>E52</f>
        <v>0</v>
      </c>
      <c r="E52" s="786">
        <f>SUM(I52,K52,M52,O52,Q52,S52,U52,W52,Y52,AA52,AC52,AE52)</f>
        <v>0</v>
      </c>
      <c r="F52" s="627">
        <f>IFERROR(E52/B52*100,0)</f>
        <v>0</v>
      </c>
      <c r="G52" s="627">
        <f>IFERROR(E52/C52*100,0)</f>
        <v>0</v>
      </c>
      <c r="H52" s="520"/>
      <c r="I52" s="520"/>
      <c r="J52" s="520"/>
      <c r="K52" s="520"/>
      <c r="L52" s="520"/>
      <c r="M52" s="520"/>
      <c r="N52" s="520"/>
      <c r="O52" s="520"/>
      <c r="P52" s="520"/>
      <c r="Q52" s="520"/>
      <c r="R52" s="520"/>
      <c r="S52" s="520"/>
      <c r="T52" s="520"/>
      <c r="U52" s="520"/>
      <c r="V52" s="520"/>
      <c r="W52" s="520"/>
      <c r="X52" s="520"/>
      <c r="Y52" s="520"/>
      <c r="Z52" s="520"/>
      <c r="AA52" s="520"/>
      <c r="AB52" s="520"/>
      <c r="AC52" s="520"/>
      <c r="AD52" s="520"/>
      <c r="AE52" s="520"/>
      <c r="AF52" s="620"/>
      <c r="AG52" s="621">
        <f t="shared" si="1"/>
        <v>0</v>
      </c>
    </row>
    <row r="53" spans="1:38" s="622" customFormat="1" x14ac:dyDescent="0.3">
      <c r="A53" s="626" t="s">
        <v>170</v>
      </c>
      <c r="B53" s="627"/>
      <c r="C53" s="786"/>
      <c r="D53" s="789"/>
      <c r="E53" s="786"/>
      <c r="F53" s="627"/>
      <c r="G53" s="627"/>
      <c r="H53" s="520"/>
      <c r="I53" s="520"/>
      <c r="J53" s="520"/>
      <c r="K53" s="520"/>
      <c r="L53" s="520"/>
      <c r="M53" s="520"/>
      <c r="N53" s="520"/>
      <c r="O53" s="520"/>
      <c r="P53" s="520"/>
      <c r="Q53" s="520"/>
      <c r="R53" s="520"/>
      <c r="S53" s="520"/>
      <c r="T53" s="520"/>
      <c r="U53" s="520"/>
      <c r="V53" s="520"/>
      <c r="W53" s="520"/>
      <c r="X53" s="520"/>
      <c r="Y53" s="520"/>
      <c r="Z53" s="520"/>
      <c r="AA53" s="520"/>
      <c r="AB53" s="520"/>
      <c r="AC53" s="520"/>
      <c r="AD53" s="520"/>
      <c r="AE53" s="520"/>
      <c r="AF53" s="620"/>
      <c r="AG53" s="621">
        <f t="shared" si="1"/>
        <v>0</v>
      </c>
    </row>
    <row r="54" spans="1:38" s="622" customFormat="1" ht="93.75" x14ac:dyDescent="0.3">
      <c r="A54" s="626" t="s">
        <v>494</v>
      </c>
      <c r="B54" s="627"/>
      <c r="C54" s="786"/>
      <c r="D54" s="789"/>
      <c r="E54" s="786"/>
      <c r="F54" s="627"/>
      <c r="G54" s="627"/>
      <c r="H54" s="520"/>
      <c r="I54" s="520"/>
      <c r="J54" s="520"/>
      <c r="K54" s="520"/>
      <c r="L54" s="520"/>
      <c r="M54" s="520"/>
      <c r="N54" s="520"/>
      <c r="O54" s="520"/>
      <c r="P54" s="520"/>
      <c r="Q54" s="520"/>
      <c r="R54" s="520"/>
      <c r="S54" s="520"/>
      <c r="T54" s="520"/>
      <c r="U54" s="520"/>
      <c r="V54" s="520"/>
      <c r="W54" s="520"/>
      <c r="X54" s="520"/>
      <c r="Y54" s="520"/>
      <c r="Z54" s="520"/>
      <c r="AA54" s="520"/>
      <c r="AB54" s="520"/>
      <c r="AC54" s="520"/>
      <c r="AD54" s="520"/>
      <c r="AE54" s="520"/>
      <c r="AF54" s="620"/>
      <c r="AG54" s="621"/>
    </row>
    <row r="55" spans="1:38" s="622" customFormat="1" x14ac:dyDescent="0.3">
      <c r="A55" s="623" t="s">
        <v>31</v>
      </c>
      <c r="B55" s="627">
        <f>B58</f>
        <v>1000</v>
      </c>
      <c r="C55" s="627">
        <f>C58</f>
        <v>0</v>
      </c>
      <c r="D55" s="627">
        <f>D58</f>
        <v>0</v>
      </c>
      <c r="E55" s="627">
        <f>E58</f>
        <v>0</v>
      </c>
      <c r="F55" s="627">
        <f>IFERROR(E55/B55*100,0)</f>
        <v>0</v>
      </c>
      <c r="G55" s="627">
        <f>IFERROR(E55/C55*100,0)</f>
        <v>0</v>
      </c>
      <c r="H55" s="520">
        <f>H58</f>
        <v>0</v>
      </c>
      <c r="I55" s="520">
        <f t="shared" ref="I55:AF55" si="14">I58</f>
        <v>0</v>
      </c>
      <c r="J55" s="520">
        <f t="shared" si="14"/>
        <v>0</v>
      </c>
      <c r="K55" s="520">
        <f t="shared" si="14"/>
        <v>0</v>
      </c>
      <c r="L55" s="520">
        <f t="shared" si="14"/>
        <v>0</v>
      </c>
      <c r="M55" s="520">
        <f t="shared" si="14"/>
        <v>0</v>
      </c>
      <c r="N55" s="520">
        <f t="shared" si="14"/>
        <v>0</v>
      </c>
      <c r="O55" s="520">
        <f t="shared" si="14"/>
        <v>0</v>
      </c>
      <c r="P55" s="520">
        <f t="shared" si="14"/>
        <v>0</v>
      </c>
      <c r="Q55" s="520">
        <f t="shared" si="14"/>
        <v>0</v>
      </c>
      <c r="R55" s="520">
        <f t="shared" si="14"/>
        <v>0</v>
      </c>
      <c r="S55" s="520">
        <f t="shared" si="14"/>
        <v>0</v>
      </c>
      <c r="T55" s="520">
        <f t="shared" si="14"/>
        <v>1000</v>
      </c>
      <c r="U55" s="520">
        <f t="shared" si="14"/>
        <v>0</v>
      </c>
      <c r="V55" s="520">
        <f t="shared" si="14"/>
        <v>0</v>
      </c>
      <c r="W55" s="520">
        <f t="shared" si="14"/>
        <v>0</v>
      </c>
      <c r="X55" s="520">
        <f t="shared" si="14"/>
        <v>0</v>
      </c>
      <c r="Y55" s="520">
        <f t="shared" si="14"/>
        <v>0</v>
      </c>
      <c r="Z55" s="520">
        <f t="shared" si="14"/>
        <v>0</v>
      </c>
      <c r="AA55" s="520">
        <f t="shared" si="14"/>
        <v>0</v>
      </c>
      <c r="AB55" s="520">
        <f t="shared" si="14"/>
        <v>0</v>
      </c>
      <c r="AC55" s="520">
        <f t="shared" si="14"/>
        <v>0</v>
      </c>
      <c r="AD55" s="520">
        <f t="shared" si="14"/>
        <v>0</v>
      </c>
      <c r="AE55" s="520">
        <f t="shared" si="14"/>
        <v>0</v>
      </c>
      <c r="AF55" s="520">
        <f t="shared" si="14"/>
        <v>0</v>
      </c>
      <c r="AG55" s="621"/>
    </row>
    <row r="56" spans="1:38" s="622" customFormat="1" x14ac:dyDescent="0.3">
      <c r="A56" s="626" t="s">
        <v>169</v>
      </c>
      <c r="B56" s="627">
        <f>J56+L56+N56+P56+R56+T56+V56+X56+Z56+AB56+AD56+H56</f>
        <v>0</v>
      </c>
      <c r="C56" s="786">
        <f>SUM(H56)</f>
        <v>0</v>
      </c>
      <c r="D56" s="789">
        <f>E56</f>
        <v>0</v>
      </c>
      <c r="E56" s="786">
        <f>SUM(I56,K56,M56,O56,Q56,S56,U56,W56,Y56,AA56,AC56,AE56)</f>
        <v>0</v>
      </c>
      <c r="F56" s="627"/>
      <c r="G56" s="627"/>
      <c r="H56" s="520"/>
      <c r="I56" s="520"/>
      <c r="J56" s="520"/>
      <c r="K56" s="520"/>
      <c r="L56" s="520"/>
      <c r="M56" s="520"/>
      <c r="N56" s="520"/>
      <c r="O56" s="520"/>
      <c r="P56" s="520"/>
      <c r="Q56" s="520"/>
      <c r="R56" s="520"/>
      <c r="S56" s="520"/>
      <c r="T56" s="520"/>
      <c r="U56" s="520"/>
      <c r="V56" s="520"/>
      <c r="W56" s="520"/>
      <c r="X56" s="520"/>
      <c r="Y56" s="520"/>
      <c r="Z56" s="520"/>
      <c r="AA56" s="520"/>
      <c r="AB56" s="520"/>
      <c r="AC56" s="520"/>
      <c r="AD56" s="520"/>
      <c r="AE56" s="520"/>
      <c r="AF56" s="620"/>
      <c r="AG56" s="621"/>
    </row>
    <row r="57" spans="1:38" s="622" customFormat="1" x14ac:dyDescent="0.3">
      <c r="A57" s="626" t="s">
        <v>32</v>
      </c>
      <c r="B57" s="627">
        <f>J57+L57+N57+P57+R57+T57+V57+X57+Z57+AB57+AD57+H57</f>
        <v>0</v>
      </c>
      <c r="C57" s="786">
        <f>SUM(H57)</f>
        <v>0</v>
      </c>
      <c r="D57" s="789">
        <f>E57</f>
        <v>0</v>
      </c>
      <c r="E57" s="786">
        <f>SUM(I57,K57,M57,O57,Q57,S57,U57,W57,Y57,AA57,AC57,AE57)</f>
        <v>0</v>
      </c>
      <c r="F57" s="627"/>
      <c r="G57" s="627"/>
      <c r="H57" s="520"/>
      <c r="I57" s="520"/>
      <c r="J57" s="520"/>
      <c r="K57" s="520"/>
      <c r="L57" s="520"/>
      <c r="M57" s="520"/>
      <c r="N57" s="520"/>
      <c r="O57" s="520"/>
      <c r="P57" s="520"/>
      <c r="Q57" s="520"/>
      <c r="R57" s="520"/>
      <c r="S57" s="520"/>
      <c r="T57" s="520"/>
      <c r="U57" s="520"/>
      <c r="V57" s="520"/>
      <c r="W57" s="520"/>
      <c r="X57" s="520"/>
      <c r="Y57" s="520"/>
      <c r="Z57" s="520"/>
      <c r="AA57" s="520"/>
      <c r="AB57" s="520"/>
      <c r="AC57" s="520"/>
      <c r="AD57" s="520"/>
      <c r="AE57" s="520"/>
      <c r="AF57" s="620"/>
      <c r="AG57" s="621"/>
    </row>
    <row r="58" spans="1:38" s="622" customFormat="1" x14ac:dyDescent="0.3">
      <c r="A58" s="626" t="s">
        <v>33</v>
      </c>
      <c r="B58" s="627">
        <f>J58+L58+N58+P58+R58+T58+V58+X58+Z58+AB58+AD58+H58</f>
        <v>1000</v>
      </c>
      <c r="C58" s="786">
        <f>H58+J58</f>
        <v>0</v>
      </c>
      <c r="D58" s="789">
        <f>E58</f>
        <v>0</v>
      </c>
      <c r="E58" s="786">
        <f>SUM(I58,K58,M58,O58,Q58,S58,U58,W58,Y58,AA58,AC58,AE58)</f>
        <v>0</v>
      </c>
      <c r="F58" s="627">
        <f>IFERROR(E58/B58*100,0)</f>
        <v>0</v>
      </c>
      <c r="G58" s="627">
        <f>IFERROR(E58/C58*100,0)</f>
        <v>0</v>
      </c>
      <c r="H58" s="520"/>
      <c r="I58" s="520"/>
      <c r="J58" s="520"/>
      <c r="K58" s="520"/>
      <c r="L58" s="520"/>
      <c r="M58" s="520"/>
      <c r="N58" s="520"/>
      <c r="O58" s="520"/>
      <c r="P58" s="520"/>
      <c r="Q58" s="520"/>
      <c r="R58" s="520"/>
      <c r="S58" s="520"/>
      <c r="T58" s="520">
        <v>1000</v>
      </c>
      <c r="U58" s="520"/>
      <c r="V58" s="520"/>
      <c r="W58" s="520"/>
      <c r="X58" s="520"/>
      <c r="Y58" s="520"/>
      <c r="Z58" s="520"/>
      <c r="AA58" s="520"/>
      <c r="AB58" s="520"/>
      <c r="AC58" s="520"/>
      <c r="AD58" s="520"/>
      <c r="AE58" s="520"/>
      <c r="AF58" s="620"/>
      <c r="AG58" s="621"/>
    </row>
    <row r="59" spans="1:38" ht="23.25" x14ac:dyDescent="0.35">
      <c r="A59" s="626" t="s">
        <v>170</v>
      </c>
      <c r="B59" s="627"/>
      <c r="C59" s="786"/>
      <c r="D59" s="789"/>
      <c r="E59" s="786"/>
      <c r="F59" s="116"/>
      <c r="G59" s="116"/>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c r="AF59" s="29"/>
      <c r="AG59" s="102"/>
      <c r="AH59" s="740"/>
      <c r="AI59" s="622"/>
      <c r="AJ59" s="622"/>
      <c r="AK59" s="622"/>
      <c r="AL59" s="622"/>
    </row>
    <row r="60" spans="1:38" ht="56.25" x14ac:dyDescent="0.3">
      <c r="A60" s="124" t="s">
        <v>280</v>
      </c>
      <c r="B60" s="104"/>
      <c r="C60" s="125"/>
      <c r="D60" s="125"/>
      <c r="E60" s="125"/>
      <c r="F60" s="125"/>
      <c r="G60" s="125"/>
      <c r="H60" s="125"/>
      <c r="I60" s="125"/>
      <c r="J60" s="125"/>
      <c r="K60" s="125"/>
      <c r="L60" s="125"/>
      <c r="M60" s="125"/>
      <c r="N60" s="125"/>
      <c r="O60" s="125"/>
      <c r="P60" s="125"/>
      <c r="Q60" s="125"/>
      <c r="R60" s="125"/>
      <c r="S60" s="125"/>
      <c r="T60" s="125"/>
      <c r="U60" s="125"/>
      <c r="V60" s="125"/>
      <c r="W60" s="125"/>
      <c r="X60" s="125"/>
      <c r="Y60" s="125"/>
      <c r="Z60" s="125"/>
      <c r="AA60" s="125"/>
      <c r="AB60" s="125"/>
      <c r="AC60" s="125"/>
      <c r="AD60" s="125"/>
      <c r="AE60" s="125"/>
      <c r="AF60" s="101"/>
      <c r="AG60" s="102">
        <f t="shared" si="1"/>
        <v>0</v>
      </c>
    </row>
    <row r="61" spans="1:38" x14ac:dyDescent="0.3">
      <c r="A61" s="103" t="s">
        <v>31</v>
      </c>
      <c r="B61" s="104">
        <f>B62+B63+B64</f>
        <v>69927.900179999997</v>
      </c>
      <c r="C61" s="104">
        <f>C62+C63+C64</f>
        <v>37484.920429999998</v>
      </c>
      <c r="D61" s="104">
        <f>D62+D63+D64</f>
        <v>35291.93</v>
      </c>
      <c r="E61" s="104">
        <f>E62+E63+E64</f>
        <v>35291.93</v>
      </c>
      <c r="F61" s="105">
        <f>IFERROR(E61/B61*100,0)</f>
        <v>50.469025823964053</v>
      </c>
      <c r="G61" s="105">
        <f>IFERROR(E61/C61*100,0)</f>
        <v>94.149672975576337</v>
      </c>
      <c r="H61" s="104">
        <f t="shared" ref="H61:AE61" si="15">H62+H63+H64</f>
        <v>3972.4162900000001</v>
      </c>
      <c r="I61" s="104">
        <f t="shared" si="15"/>
        <v>946.54</v>
      </c>
      <c r="J61" s="104">
        <f t="shared" si="15"/>
        <v>7125.1399999999994</v>
      </c>
      <c r="K61" s="104">
        <f t="shared" si="15"/>
        <v>6387.9299999999994</v>
      </c>
      <c r="L61" s="104">
        <f t="shared" si="15"/>
        <v>7453.4286400000001</v>
      </c>
      <c r="M61" s="104">
        <f t="shared" si="15"/>
        <v>6591.97</v>
      </c>
      <c r="N61" s="104">
        <f t="shared" si="15"/>
        <v>4162.2995900000005</v>
      </c>
      <c r="O61" s="104">
        <f t="shared" si="15"/>
        <v>6593.8499999999995</v>
      </c>
      <c r="P61" s="104">
        <f t="shared" si="15"/>
        <v>7126.4871299999995</v>
      </c>
      <c r="Q61" s="104">
        <f t="shared" si="15"/>
        <v>7126.49</v>
      </c>
      <c r="R61" s="104">
        <f t="shared" si="15"/>
        <v>7645.1487799999995</v>
      </c>
      <c r="S61" s="104">
        <f t="shared" si="15"/>
        <v>7645.1500000000005</v>
      </c>
      <c r="T61" s="104">
        <f t="shared" si="15"/>
        <v>727.52638999999999</v>
      </c>
      <c r="U61" s="104">
        <f t="shared" si="15"/>
        <v>0</v>
      </c>
      <c r="V61" s="104">
        <f t="shared" si="15"/>
        <v>732.44828000000007</v>
      </c>
      <c r="W61" s="104">
        <f t="shared" si="15"/>
        <v>0</v>
      </c>
      <c r="X61" s="104">
        <f t="shared" si="15"/>
        <v>3753.5122000000001</v>
      </c>
      <c r="Y61" s="104">
        <f t="shared" si="15"/>
        <v>0</v>
      </c>
      <c r="Z61" s="104">
        <f t="shared" si="15"/>
        <v>3758.4229400000004</v>
      </c>
      <c r="AA61" s="104">
        <f t="shared" si="15"/>
        <v>0</v>
      </c>
      <c r="AB61" s="104">
        <f t="shared" si="15"/>
        <v>3827.36879</v>
      </c>
      <c r="AC61" s="104">
        <f t="shared" si="15"/>
        <v>0</v>
      </c>
      <c r="AD61" s="104">
        <f t="shared" si="15"/>
        <v>19643.701149999997</v>
      </c>
      <c r="AE61" s="104">
        <f t="shared" si="15"/>
        <v>0</v>
      </c>
      <c r="AF61" s="101"/>
      <c r="AG61" s="102">
        <f t="shared" si="1"/>
        <v>0</v>
      </c>
    </row>
    <row r="62" spans="1:38" x14ac:dyDescent="0.3">
      <c r="A62" s="106" t="s">
        <v>169</v>
      </c>
      <c r="B62" s="107">
        <f>B68+B74</f>
        <v>0</v>
      </c>
      <c r="C62" s="107">
        <f>C68+C74</f>
        <v>0</v>
      </c>
      <c r="D62" s="107">
        <f>D68+D74</f>
        <v>0</v>
      </c>
      <c r="E62" s="107">
        <f>E68+E74</f>
        <v>0</v>
      </c>
      <c r="F62" s="107">
        <f>IFERROR(E62/B62*100,0)</f>
        <v>0</v>
      </c>
      <c r="G62" s="107">
        <f>IFERROR(E62/C62*100,0)</f>
        <v>0</v>
      </c>
      <c r="H62" s="107">
        <f t="shared" ref="H62:AE65" si="16">H68+H74</f>
        <v>0</v>
      </c>
      <c r="I62" s="107">
        <f t="shared" si="16"/>
        <v>0</v>
      </c>
      <c r="J62" s="107">
        <f t="shared" si="16"/>
        <v>0</v>
      </c>
      <c r="K62" s="107">
        <f t="shared" si="16"/>
        <v>0</v>
      </c>
      <c r="L62" s="107">
        <f t="shared" si="16"/>
        <v>0</v>
      </c>
      <c r="M62" s="107">
        <f t="shared" si="16"/>
        <v>0</v>
      </c>
      <c r="N62" s="107">
        <f t="shared" si="16"/>
        <v>0</v>
      </c>
      <c r="O62" s="107">
        <f t="shared" si="16"/>
        <v>0</v>
      </c>
      <c r="P62" s="107">
        <f t="shared" si="16"/>
        <v>0</v>
      </c>
      <c r="Q62" s="107">
        <f t="shared" si="16"/>
        <v>0</v>
      </c>
      <c r="R62" s="107">
        <f t="shared" si="16"/>
        <v>0</v>
      </c>
      <c r="S62" s="107">
        <f t="shared" si="16"/>
        <v>0</v>
      </c>
      <c r="T62" s="107">
        <f t="shared" si="16"/>
        <v>0</v>
      </c>
      <c r="U62" s="107">
        <f t="shared" si="16"/>
        <v>0</v>
      </c>
      <c r="V62" s="107">
        <f t="shared" si="16"/>
        <v>0</v>
      </c>
      <c r="W62" s="107">
        <f t="shared" si="16"/>
        <v>0</v>
      </c>
      <c r="X62" s="107">
        <f t="shared" si="16"/>
        <v>0</v>
      </c>
      <c r="Y62" s="107">
        <f t="shared" si="16"/>
        <v>0</v>
      </c>
      <c r="Z62" s="107">
        <f t="shared" si="16"/>
        <v>0</v>
      </c>
      <c r="AA62" s="107">
        <f t="shared" si="16"/>
        <v>0</v>
      </c>
      <c r="AB62" s="107">
        <f t="shared" si="16"/>
        <v>0</v>
      </c>
      <c r="AC62" s="107">
        <f t="shared" si="16"/>
        <v>0</v>
      </c>
      <c r="AD62" s="107">
        <f t="shared" si="16"/>
        <v>0</v>
      </c>
      <c r="AE62" s="107">
        <f t="shared" si="16"/>
        <v>0</v>
      </c>
      <c r="AF62" s="101"/>
      <c r="AG62" s="102">
        <f t="shared" si="1"/>
        <v>0</v>
      </c>
    </row>
    <row r="63" spans="1:38" x14ac:dyDescent="0.3">
      <c r="A63" s="106" t="s">
        <v>32</v>
      </c>
      <c r="B63" s="107">
        <f t="shared" ref="B63:E65" si="17">B69+B75</f>
        <v>0</v>
      </c>
      <c r="C63" s="107">
        <f t="shared" si="17"/>
        <v>0</v>
      </c>
      <c r="D63" s="107">
        <f t="shared" si="17"/>
        <v>0</v>
      </c>
      <c r="E63" s="107">
        <f t="shared" si="17"/>
        <v>0</v>
      </c>
      <c r="F63" s="107">
        <f>IFERROR(E63/B63*100,0)</f>
        <v>0</v>
      </c>
      <c r="G63" s="107">
        <f>IFERROR(E63/C63*100,0)</f>
        <v>0</v>
      </c>
      <c r="H63" s="107">
        <f t="shared" si="16"/>
        <v>0</v>
      </c>
      <c r="I63" s="107">
        <f t="shared" si="16"/>
        <v>0</v>
      </c>
      <c r="J63" s="107">
        <f t="shared" si="16"/>
        <v>0</v>
      </c>
      <c r="K63" s="107">
        <f t="shared" si="16"/>
        <v>0</v>
      </c>
      <c r="L63" s="107">
        <f t="shared" si="16"/>
        <v>0</v>
      </c>
      <c r="M63" s="107">
        <f t="shared" si="16"/>
        <v>0</v>
      </c>
      <c r="N63" s="107">
        <f t="shared" si="16"/>
        <v>0</v>
      </c>
      <c r="O63" s="107">
        <f t="shared" si="16"/>
        <v>0</v>
      </c>
      <c r="P63" s="107">
        <f t="shared" si="16"/>
        <v>0</v>
      </c>
      <c r="Q63" s="107">
        <f t="shared" si="16"/>
        <v>0</v>
      </c>
      <c r="R63" s="107">
        <f t="shared" si="16"/>
        <v>0</v>
      </c>
      <c r="S63" s="107">
        <f t="shared" si="16"/>
        <v>0</v>
      </c>
      <c r="T63" s="107">
        <f t="shared" si="16"/>
        <v>0</v>
      </c>
      <c r="U63" s="107">
        <f t="shared" si="16"/>
        <v>0</v>
      </c>
      <c r="V63" s="107">
        <f t="shared" si="16"/>
        <v>0</v>
      </c>
      <c r="W63" s="107">
        <f t="shared" si="16"/>
        <v>0</v>
      </c>
      <c r="X63" s="107">
        <f t="shared" si="16"/>
        <v>0</v>
      </c>
      <c r="Y63" s="107">
        <f t="shared" si="16"/>
        <v>0</v>
      </c>
      <c r="Z63" s="107">
        <f t="shared" si="16"/>
        <v>0</v>
      </c>
      <c r="AA63" s="107">
        <f t="shared" si="16"/>
        <v>0</v>
      </c>
      <c r="AB63" s="107">
        <f t="shared" si="16"/>
        <v>0</v>
      </c>
      <c r="AC63" s="107">
        <f t="shared" si="16"/>
        <v>0</v>
      </c>
      <c r="AD63" s="107">
        <f t="shared" si="16"/>
        <v>0</v>
      </c>
      <c r="AE63" s="107">
        <f t="shared" si="16"/>
        <v>0</v>
      </c>
      <c r="AF63" s="101"/>
      <c r="AG63" s="102">
        <f t="shared" si="1"/>
        <v>0</v>
      </c>
    </row>
    <row r="64" spans="1:38" x14ac:dyDescent="0.3">
      <c r="A64" s="106" t="s">
        <v>33</v>
      </c>
      <c r="B64" s="107">
        <f t="shared" si="17"/>
        <v>69927.900179999997</v>
      </c>
      <c r="C64" s="107">
        <f>C70+C76</f>
        <v>37484.920429999998</v>
      </c>
      <c r="D64" s="107">
        <f t="shared" si="17"/>
        <v>35291.93</v>
      </c>
      <c r="E64" s="107">
        <f t="shared" si="17"/>
        <v>35291.93</v>
      </c>
      <c r="F64" s="107">
        <f>IFERROR(E64/B64*100,0)</f>
        <v>50.469025823964053</v>
      </c>
      <c r="G64" s="107">
        <f>IFERROR(E64/C64*100,0)</f>
        <v>94.149672975576337</v>
      </c>
      <c r="H64" s="107">
        <f t="shared" si="16"/>
        <v>3972.4162900000001</v>
      </c>
      <c r="I64" s="107">
        <f t="shared" si="16"/>
        <v>946.54</v>
      </c>
      <c r="J64" s="107">
        <f t="shared" si="16"/>
        <v>7125.1399999999994</v>
      </c>
      <c r="K64" s="107">
        <f t="shared" si="16"/>
        <v>6387.9299999999994</v>
      </c>
      <c r="L64" s="107">
        <f t="shared" si="16"/>
        <v>7453.4286400000001</v>
      </c>
      <c r="M64" s="107">
        <f t="shared" si="16"/>
        <v>6591.97</v>
      </c>
      <c r="N64" s="107">
        <f t="shared" si="16"/>
        <v>4162.2995900000005</v>
      </c>
      <c r="O64" s="107">
        <f t="shared" si="16"/>
        <v>6593.8499999999995</v>
      </c>
      <c r="P64" s="107">
        <f t="shared" si="16"/>
        <v>7126.4871299999995</v>
      </c>
      <c r="Q64" s="107">
        <f t="shared" si="16"/>
        <v>7126.49</v>
      </c>
      <c r="R64" s="107">
        <f t="shared" si="16"/>
        <v>7645.1487799999995</v>
      </c>
      <c r="S64" s="107">
        <f t="shared" si="16"/>
        <v>7645.1500000000005</v>
      </c>
      <c r="T64" s="107">
        <f t="shared" si="16"/>
        <v>727.52638999999999</v>
      </c>
      <c r="U64" s="107">
        <f t="shared" si="16"/>
        <v>0</v>
      </c>
      <c r="V64" s="107">
        <f t="shared" si="16"/>
        <v>732.44828000000007</v>
      </c>
      <c r="W64" s="107">
        <f t="shared" si="16"/>
        <v>0</v>
      </c>
      <c r="X64" s="107">
        <f t="shared" si="16"/>
        <v>3753.5122000000001</v>
      </c>
      <c r="Y64" s="107">
        <f t="shared" si="16"/>
        <v>0</v>
      </c>
      <c r="Z64" s="107">
        <f t="shared" si="16"/>
        <v>3758.4229400000004</v>
      </c>
      <c r="AA64" s="107">
        <f t="shared" si="16"/>
        <v>0</v>
      </c>
      <c r="AB64" s="107">
        <f t="shared" si="16"/>
        <v>3827.36879</v>
      </c>
      <c r="AC64" s="107">
        <f t="shared" si="16"/>
        <v>0</v>
      </c>
      <c r="AD64" s="107">
        <f t="shared" si="16"/>
        <v>19643.701149999997</v>
      </c>
      <c r="AE64" s="107">
        <f t="shared" si="16"/>
        <v>0</v>
      </c>
      <c r="AF64" s="101"/>
      <c r="AG64" s="102">
        <f t="shared" si="1"/>
        <v>0</v>
      </c>
    </row>
    <row r="65" spans="1:33" x14ac:dyDescent="0.3">
      <c r="A65" s="106" t="s">
        <v>170</v>
      </c>
      <c r="B65" s="107">
        <f t="shared" si="17"/>
        <v>0</v>
      </c>
      <c r="C65" s="107">
        <f t="shared" si="17"/>
        <v>0</v>
      </c>
      <c r="D65" s="107">
        <f t="shared" si="17"/>
        <v>0</v>
      </c>
      <c r="E65" s="107">
        <f t="shared" si="17"/>
        <v>0</v>
      </c>
      <c r="F65" s="107">
        <f>IFERROR(E65/B65*100,0)</f>
        <v>0</v>
      </c>
      <c r="G65" s="107">
        <f>IFERROR(E65/C65*100,0)</f>
        <v>0</v>
      </c>
      <c r="H65" s="107">
        <f t="shared" si="16"/>
        <v>0</v>
      </c>
      <c r="I65" s="107">
        <f t="shared" si="16"/>
        <v>0</v>
      </c>
      <c r="J65" s="107">
        <f t="shared" si="16"/>
        <v>0</v>
      </c>
      <c r="K65" s="107">
        <f t="shared" si="16"/>
        <v>0</v>
      </c>
      <c r="L65" s="107">
        <f t="shared" si="16"/>
        <v>0</v>
      </c>
      <c r="M65" s="107">
        <f t="shared" si="16"/>
        <v>0</v>
      </c>
      <c r="N65" s="107">
        <f t="shared" si="16"/>
        <v>0</v>
      </c>
      <c r="O65" s="107">
        <f t="shared" si="16"/>
        <v>0</v>
      </c>
      <c r="P65" s="107">
        <f t="shared" si="16"/>
        <v>0</v>
      </c>
      <c r="Q65" s="107">
        <f t="shared" si="16"/>
        <v>0</v>
      </c>
      <c r="R65" s="107">
        <f t="shared" si="16"/>
        <v>0</v>
      </c>
      <c r="S65" s="107">
        <f t="shared" si="16"/>
        <v>0</v>
      </c>
      <c r="T65" s="107">
        <f t="shared" si="16"/>
        <v>0</v>
      </c>
      <c r="U65" s="107">
        <f t="shared" si="16"/>
        <v>0</v>
      </c>
      <c r="V65" s="107">
        <f t="shared" si="16"/>
        <v>0</v>
      </c>
      <c r="W65" s="107">
        <f t="shared" si="16"/>
        <v>0</v>
      </c>
      <c r="X65" s="107">
        <f t="shared" si="16"/>
        <v>0</v>
      </c>
      <c r="Y65" s="107">
        <f t="shared" si="16"/>
        <v>0</v>
      </c>
      <c r="Z65" s="107">
        <f t="shared" si="16"/>
        <v>0</v>
      </c>
      <c r="AA65" s="107">
        <f t="shared" si="16"/>
        <v>0</v>
      </c>
      <c r="AB65" s="107">
        <f t="shared" si="16"/>
        <v>0</v>
      </c>
      <c r="AC65" s="107">
        <f t="shared" si="16"/>
        <v>0</v>
      </c>
      <c r="AD65" s="107">
        <f t="shared" si="16"/>
        <v>0</v>
      </c>
      <c r="AE65" s="107">
        <f t="shared" si="16"/>
        <v>0</v>
      </c>
      <c r="AF65" s="101"/>
      <c r="AG65" s="102">
        <f t="shared" si="1"/>
        <v>0</v>
      </c>
    </row>
    <row r="66" spans="1:33" ht="120" customHeight="1" x14ac:dyDescent="0.3">
      <c r="A66" s="787" t="s">
        <v>281</v>
      </c>
      <c r="B66" s="627"/>
      <c r="C66" s="110"/>
      <c r="D66" s="110"/>
      <c r="E66" s="110"/>
      <c r="F66" s="110"/>
      <c r="G66" s="110"/>
      <c r="H66" s="111"/>
      <c r="I66" s="111"/>
      <c r="J66" s="111"/>
      <c r="K66" s="111"/>
      <c r="L66" s="111"/>
      <c r="M66" s="111"/>
      <c r="N66" s="111"/>
      <c r="O66" s="111"/>
      <c r="P66" s="111"/>
      <c r="Q66" s="111"/>
      <c r="R66" s="111"/>
      <c r="S66" s="111"/>
      <c r="T66" s="111"/>
      <c r="U66" s="111"/>
      <c r="V66" s="111"/>
      <c r="W66" s="111"/>
      <c r="X66" s="111"/>
      <c r="Y66" s="111"/>
      <c r="Z66" s="111"/>
      <c r="AA66" s="111"/>
      <c r="AB66" s="111"/>
      <c r="AC66" s="111"/>
      <c r="AD66" s="111"/>
      <c r="AE66" s="111"/>
      <c r="AF66" s="29"/>
      <c r="AG66" s="102">
        <f t="shared" si="1"/>
        <v>0</v>
      </c>
    </row>
    <row r="67" spans="1:33" s="622" customFormat="1" x14ac:dyDescent="0.3">
      <c r="A67" s="623" t="s">
        <v>31</v>
      </c>
      <c r="B67" s="624">
        <f>B69+B70+B68+B71</f>
        <v>13840.600059999999</v>
      </c>
      <c r="C67" s="792">
        <f>C69+C70+C68+C71</f>
        <v>8271.2020599999996</v>
      </c>
      <c r="D67" s="792">
        <f>D69+D70+D68+D71</f>
        <v>8271.2099999999991</v>
      </c>
      <c r="E67" s="792">
        <f>E69+E70+E68+E71</f>
        <v>8271.2099999999991</v>
      </c>
      <c r="F67" s="792">
        <f>IFERROR(E67/B67*100,0)</f>
        <v>59.76048700304689</v>
      </c>
      <c r="G67" s="792">
        <f>IFERROR(E67/C67*100,0)</f>
        <v>100.00009599572036</v>
      </c>
      <c r="H67" s="792">
        <f t="shared" ref="H67:AE67" si="18">H69+H70+H68+H71</f>
        <v>946.54494</v>
      </c>
      <c r="I67" s="792">
        <f t="shared" si="18"/>
        <v>946.54</v>
      </c>
      <c r="J67" s="792">
        <f t="shared" si="18"/>
        <v>1750.03</v>
      </c>
      <c r="K67" s="792">
        <f t="shared" si="18"/>
        <v>1750.03</v>
      </c>
      <c r="L67" s="624">
        <f t="shared" si="18"/>
        <v>1033.9486400000001</v>
      </c>
      <c r="M67" s="624">
        <f t="shared" si="18"/>
        <v>1033.95</v>
      </c>
      <c r="N67" s="624">
        <f t="shared" si="18"/>
        <v>913.69605000000001</v>
      </c>
      <c r="O67" s="624">
        <f t="shared" si="18"/>
        <v>913.7</v>
      </c>
      <c r="P67" s="624">
        <f t="shared" si="18"/>
        <v>1939.30654</v>
      </c>
      <c r="Q67" s="624">
        <f t="shared" si="18"/>
        <v>1939.31</v>
      </c>
      <c r="R67" s="792">
        <f t="shared" si="18"/>
        <v>1687.67589</v>
      </c>
      <c r="S67" s="624">
        <f t="shared" si="18"/>
        <v>1687.68</v>
      </c>
      <c r="T67" s="624">
        <f t="shared" si="18"/>
        <v>668.36639000000002</v>
      </c>
      <c r="U67" s="624">
        <f t="shared" si="18"/>
        <v>0</v>
      </c>
      <c r="V67" s="624">
        <f t="shared" si="18"/>
        <v>680.05839000000003</v>
      </c>
      <c r="W67" s="624">
        <f t="shared" si="18"/>
        <v>0</v>
      </c>
      <c r="X67" s="624">
        <f t="shared" si="18"/>
        <v>747.69055000000003</v>
      </c>
      <c r="Y67" s="624">
        <f t="shared" si="18"/>
        <v>0</v>
      </c>
      <c r="Z67" s="624">
        <f t="shared" si="18"/>
        <v>880.38229999999999</v>
      </c>
      <c r="AA67" s="624">
        <f t="shared" si="18"/>
        <v>0</v>
      </c>
      <c r="AB67" s="624">
        <f t="shared" si="18"/>
        <v>906.12879999999996</v>
      </c>
      <c r="AC67" s="624">
        <f t="shared" si="18"/>
        <v>0</v>
      </c>
      <c r="AD67" s="630">
        <f t="shared" si="18"/>
        <v>1686.7715700000001</v>
      </c>
      <c r="AE67" s="624">
        <f t="shared" si="18"/>
        <v>0</v>
      </c>
      <c r="AF67" s="620"/>
      <c r="AG67" s="621">
        <f t="shared" si="1"/>
        <v>-3.4106051316484809E-12</v>
      </c>
    </row>
    <row r="68" spans="1:33" x14ac:dyDescent="0.3">
      <c r="A68" s="626" t="s">
        <v>169</v>
      </c>
      <c r="B68" s="627">
        <f>J68+L68+N68+P68+R68+T68+V68+X68+Z68+AB68+AD68+H68</f>
        <v>0</v>
      </c>
      <c r="C68" s="117">
        <f>SUM(H68)</f>
        <v>0</v>
      </c>
      <c r="D68" s="118">
        <f>E68</f>
        <v>0</v>
      </c>
      <c r="E68" s="117">
        <f>SUM(I68,K68,M68,O68,Q68,S68,U68,W68,Y68,AA68,AC68,AE68)</f>
        <v>0</v>
      </c>
      <c r="F68" s="116"/>
      <c r="G68" s="116"/>
      <c r="H68" s="111"/>
      <c r="I68" s="111"/>
      <c r="J68" s="111"/>
      <c r="K68" s="111"/>
      <c r="L68" s="111"/>
      <c r="M68" s="111"/>
      <c r="N68" s="111"/>
      <c r="O68" s="111"/>
      <c r="P68" s="111"/>
      <c r="Q68" s="111"/>
      <c r="R68" s="111"/>
      <c r="S68" s="111"/>
      <c r="T68" s="111"/>
      <c r="U68" s="111"/>
      <c r="V68" s="111"/>
      <c r="W68" s="111"/>
      <c r="X68" s="111"/>
      <c r="Y68" s="111"/>
      <c r="Z68" s="111"/>
      <c r="AA68" s="111"/>
      <c r="AB68" s="111"/>
      <c r="AC68" s="111"/>
      <c r="AD68" s="111"/>
      <c r="AE68" s="111"/>
      <c r="AF68" s="29"/>
      <c r="AG68" s="102">
        <f t="shared" si="1"/>
        <v>0</v>
      </c>
    </row>
    <row r="69" spans="1:33" x14ac:dyDescent="0.3">
      <c r="A69" s="626" t="s">
        <v>32</v>
      </c>
      <c r="B69" s="627">
        <f>J69+L69+N69+P69+R69+T69+V69+X69+Z69+AB69+AD69+H69</f>
        <v>0</v>
      </c>
      <c r="C69" s="117">
        <f>SUM(H69)</f>
        <v>0</v>
      </c>
      <c r="D69" s="118">
        <f>E69</f>
        <v>0</v>
      </c>
      <c r="E69" s="117">
        <f>SUM(I69,K69,M69,O69,Q69,S69,U69,W69,Y69,AA69,AC69,AE69)</f>
        <v>0</v>
      </c>
      <c r="F69" s="116"/>
      <c r="G69" s="116"/>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29"/>
      <c r="AG69" s="102">
        <f t="shared" si="1"/>
        <v>0</v>
      </c>
    </row>
    <row r="70" spans="1:33" s="622" customFormat="1" x14ac:dyDescent="0.3">
      <c r="A70" s="626" t="s">
        <v>33</v>
      </c>
      <c r="B70" s="627">
        <f>J70+L70+N70+P70+R70+T70+V70+X70+Z70+AB70+AD70+H70</f>
        <v>13840.600059999999</v>
      </c>
      <c r="C70" s="786">
        <f>H70+J70+L70+N70+P70+R70</f>
        <v>8271.2020599999996</v>
      </c>
      <c r="D70" s="789">
        <f>E70</f>
        <v>8271.2099999999991</v>
      </c>
      <c r="E70" s="786">
        <f>SUM(I70,K70,M70,O70,Q70,S70,U70,W70,Y70,AA70,AC70,AE70)</f>
        <v>8271.2099999999991</v>
      </c>
      <c r="F70" s="627">
        <f>IFERROR(E70/B70*100,0)</f>
        <v>59.76048700304689</v>
      </c>
      <c r="G70" s="627">
        <f>IFERROR(E70/C70*100,0)</f>
        <v>100.00009599572036</v>
      </c>
      <c r="H70" s="520">
        <f>946.57494-0.03</f>
        <v>946.54494</v>
      </c>
      <c r="I70" s="520">
        <v>946.54</v>
      </c>
      <c r="J70" s="520">
        <v>1750.03</v>
      </c>
      <c r="K70" s="520">
        <v>1750.03</v>
      </c>
      <c r="L70" s="520">
        <v>1033.9486400000001</v>
      </c>
      <c r="M70" s="520">
        <v>1033.95</v>
      </c>
      <c r="N70" s="520">
        <v>913.69605000000001</v>
      </c>
      <c r="O70" s="520">
        <v>913.7</v>
      </c>
      <c r="P70" s="520">
        <v>1939.30654</v>
      </c>
      <c r="Q70" s="520">
        <v>1939.31</v>
      </c>
      <c r="R70" s="520">
        <f>0.03+1650.94589+37.2-0.5</f>
        <v>1687.67589</v>
      </c>
      <c r="S70" s="520">
        <v>1687.68</v>
      </c>
      <c r="T70" s="520">
        <v>668.36639000000002</v>
      </c>
      <c r="U70" s="520"/>
      <c r="V70" s="520">
        <v>680.05839000000003</v>
      </c>
      <c r="W70" s="520"/>
      <c r="X70" s="520">
        <v>747.69055000000003</v>
      </c>
      <c r="Y70" s="520"/>
      <c r="Z70" s="520">
        <v>880.38229999999999</v>
      </c>
      <c r="AA70" s="520"/>
      <c r="AB70" s="520">
        <v>906.12879999999996</v>
      </c>
      <c r="AC70" s="520"/>
      <c r="AD70" s="520">
        <f>1719.11157-32.34</f>
        <v>1686.7715700000001</v>
      </c>
      <c r="AE70" s="520"/>
      <c r="AF70" s="620"/>
      <c r="AG70" s="621">
        <f t="shared" si="1"/>
        <v>-3.4106051316484809E-12</v>
      </c>
    </row>
    <row r="71" spans="1:33" x14ac:dyDescent="0.3">
      <c r="A71" s="115" t="s">
        <v>170</v>
      </c>
      <c r="B71" s="116"/>
      <c r="C71" s="117"/>
      <c r="D71" s="118"/>
      <c r="E71" s="117"/>
      <c r="F71" s="116"/>
      <c r="G71" s="116"/>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29"/>
      <c r="AG71" s="102">
        <f t="shared" si="1"/>
        <v>0</v>
      </c>
    </row>
    <row r="72" spans="1:33" ht="87" customHeight="1" x14ac:dyDescent="0.3">
      <c r="A72" s="799" t="s">
        <v>282</v>
      </c>
      <c r="B72" s="627"/>
      <c r="C72" s="110"/>
      <c r="D72" s="110"/>
      <c r="E72" s="110"/>
      <c r="F72" s="110"/>
      <c r="G72" s="110"/>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29"/>
      <c r="AG72" s="102">
        <f t="shared" si="1"/>
        <v>0</v>
      </c>
    </row>
    <row r="73" spans="1:33" s="622" customFormat="1" x14ac:dyDescent="0.3">
      <c r="A73" s="623" t="s">
        <v>31</v>
      </c>
      <c r="B73" s="624">
        <f>B75+B76+B74+B77</f>
        <v>56087.30012</v>
      </c>
      <c r="C73" s="792">
        <f>C75+C76+C74+C77</f>
        <v>29213.718370000002</v>
      </c>
      <c r="D73" s="792">
        <f>D75+D76+D74+D77</f>
        <v>27020.720000000001</v>
      </c>
      <c r="E73" s="792">
        <f>E75+E76+E74+E77</f>
        <v>27020.720000000001</v>
      </c>
      <c r="F73" s="792">
        <f>IFERROR(E73/B73*100,0)</f>
        <v>48.176182383870469</v>
      </c>
      <c r="G73" s="792">
        <f>IFERROR(E73/C73*100,0)</f>
        <v>92.493258330812068</v>
      </c>
      <c r="H73" s="792">
        <f t="shared" ref="H73:AE73" si="19">H75+H76+H74+H77</f>
        <v>3025.8713499999999</v>
      </c>
      <c r="I73" s="792">
        <f t="shared" si="19"/>
        <v>0</v>
      </c>
      <c r="J73" s="792">
        <f t="shared" si="19"/>
        <v>5375.11</v>
      </c>
      <c r="K73" s="792">
        <f t="shared" si="19"/>
        <v>4637.8999999999996</v>
      </c>
      <c r="L73" s="792">
        <f t="shared" si="19"/>
        <v>6419.48</v>
      </c>
      <c r="M73" s="792">
        <f>M75+M76+M74+M77</f>
        <v>5558.02</v>
      </c>
      <c r="N73" s="792">
        <f t="shared" si="19"/>
        <v>3248.6035400000001</v>
      </c>
      <c r="O73" s="792">
        <f t="shared" si="19"/>
        <v>5680.15</v>
      </c>
      <c r="P73" s="792">
        <f t="shared" si="19"/>
        <v>5187.1805899999999</v>
      </c>
      <c r="Q73" s="792">
        <f t="shared" si="19"/>
        <v>5187.18</v>
      </c>
      <c r="R73" s="792">
        <f t="shared" si="19"/>
        <v>5957.47289</v>
      </c>
      <c r="S73" s="792">
        <f t="shared" si="19"/>
        <v>5957.47</v>
      </c>
      <c r="T73" s="792">
        <f t="shared" si="19"/>
        <v>59.16</v>
      </c>
      <c r="U73" s="792">
        <f t="shared" si="19"/>
        <v>0</v>
      </c>
      <c r="V73" s="624">
        <f t="shared" si="19"/>
        <v>52.389890000000001</v>
      </c>
      <c r="W73" s="624">
        <f t="shared" si="19"/>
        <v>0</v>
      </c>
      <c r="X73" s="624">
        <f t="shared" si="19"/>
        <v>3005.8216499999999</v>
      </c>
      <c r="Y73" s="624">
        <f t="shared" si="19"/>
        <v>0</v>
      </c>
      <c r="Z73" s="624">
        <f t="shared" si="19"/>
        <v>2878.0406400000002</v>
      </c>
      <c r="AA73" s="624">
        <f t="shared" si="19"/>
        <v>0</v>
      </c>
      <c r="AB73" s="624">
        <f t="shared" si="19"/>
        <v>2921.23999</v>
      </c>
      <c r="AC73" s="624">
        <f t="shared" si="19"/>
        <v>0</v>
      </c>
      <c r="AD73" s="630">
        <f t="shared" si="19"/>
        <v>17956.929579999996</v>
      </c>
      <c r="AE73" s="624">
        <f t="shared" si="19"/>
        <v>0</v>
      </c>
      <c r="AF73" s="620"/>
      <c r="AG73" s="621">
        <f t="shared" si="1"/>
        <v>0</v>
      </c>
    </row>
    <row r="74" spans="1:33" s="622" customFormat="1" x14ac:dyDescent="0.3">
      <c r="A74" s="626" t="s">
        <v>169</v>
      </c>
      <c r="B74" s="627">
        <f>J74+L74+N74+P74+R74+T74+V74+X74+Z74+AB74+AD74+H74</f>
        <v>0</v>
      </c>
      <c r="C74" s="786">
        <f>SUM(H74)</f>
        <v>0</v>
      </c>
      <c r="D74" s="789">
        <f>E74</f>
        <v>0</v>
      </c>
      <c r="E74" s="786">
        <f>SUM(I74,K74,M74,O74,Q74,S74,U74,W74,Y74,AA74,AC74,AE74)</f>
        <v>0</v>
      </c>
      <c r="F74" s="627"/>
      <c r="G74" s="627"/>
      <c r="H74" s="520"/>
      <c r="I74" s="520"/>
      <c r="J74" s="520"/>
      <c r="K74" s="520"/>
      <c r="L74" s="520"/>
      <c r="M74" s="520"/>
      <c r="N74" s="520"/>
      <c r="O74" s="520"/>
      <c r="P74" s="520"/>
      <c r="Q74" s="520"/>
      <c r="R74" s="520"/>
      <c r="S74" s="520"/>
      <c r="T74" s="520"/>
      <c r="U74" s="520"/>
      <c r="V74" s="520"/>
      <c r="W74" s="520"/>
      <c r="X74" s="520"/>
      <c r="Y74" s="520"/>
      <c r="Z74" s="520"/>
      <c r="AA74" s="520"/>
      <c r="AB74" s="520"/>
      <c r="AC74" s="520"/>
      <c r="AD74" s="520"/>
      <c r="AE74" s="520"/>
      <c r="AF74" s="620"/>
      <c r="AG74" s="621">
        <f t="shared" si="1"/>
        <v>0</v>
      </c>
    </row>
    <row r="75" spans="1:33" s="622" customFormat="1" x14ac:dyDescent="0.3">
      <c r="A75" s="626" t="s">
        <v>32</v>
      </c>
      <c r="B75" s="627">
        <f>J75+L75+N75+P75+R75+T75+V75+X75+Z75+AB75+AD75+H75</f>
        <v>0</v>
      </c>
      <c r="C75" s="786">
        <f>SUM(H75)</f>
        <v>0</v>
      </c>
      <c r="D75" s="789">
        <f>E75</f>
        <v>0</v>
      </c>
      <c r="E75" s="786">
        <f>SUM(I75,K75,M75,O75,Q75,S75,U75,W75,Y75,AA75,AC75,AE75)</f>
        <v>0</v>
      </c>
      <c r="F75" s="627"/>
      <c r="G75" s="627"/>
      <c r="H75" s="520"/>
      <c r="I75" s="520"/>
      <c r="J75" s="520"/>
      <c r="K75" s="520"/>
      <c r="L75" s="520"/>
      <c r="M75" s="520"/>
      <c r="N75" s="520"/>
      <c r="O75" s="520"/>
      <c r="P75" s="520"/>
      <c r="Q75" s="520"/>
      <c r="R75" s="520"/>
      <c r="S75" s="520"/>
      <c r="T75" s="520"/>
      <c r="U75" s="520"/>
      <c r="V75" s="520"/>
      <c r="W75" s="520"/>
      <c r="X75" s="520"/>
      <c r="Y75" s="520"/>
      <c r="Z75" s="520"/>
      <c r="AA75" s="520"/>
      <c r="AB75" s="520"/>
      <c r="AC75" s="520"/>
      <c r="AD75" s="520"/>
      <c r="AE75" s="520"/>
      <c r="AF75" s="620"/>
      <c r="AG75" s="621">
        <f t="shared" si="1"/>
        <v>0</v>
      </c>
    </row>
    <row r="76" spans="1:33" s="622" customFormat="1" x14ac:dyDescent="0.3">
      <c r="A76" s="626" t="s">
        <v>33</v>
      </c>
      <c r="B76" s="627">
        <f>J76+L76+N76+P76+R76+T76+V76+X76+Z76+AB76+AD76+H76</f>
        <v>56087.30012</v>
      </c>
      <c r="C76" s="786">
        <f>H76+J76+L76+N76+P76+R76</f>
        <v>29213.718370000002</v>
      </c>
      <c r="D76" s="789">
        <f>E76</f>
        <v>27020.720000000001</v>
      </c>
      <c r="E76" s="786">
        <f>SUM(I76,K76,M76,O76,Q76,S76,U76,W76,Y76,AA76,AC76,AE76)</f>
        <v>27020.720000000001</v>
      </c>
      <c r="F76" s="627">
        <f>IFERROR(E76/B76*100,0)</f>
        <v>48.176182383870469</v>
      </c>
      <c r="G76" s="627">
        <f>IFERROR(E76/C76*100,0)</f>
        <v>92.493258330812068</v>
      </c>
      <c r="H76" s="520">
        <v>3025.8713499999999</v>
      </c>
      <c r="I76" s="520"/>
      <c r="J76" s="520">
        <v>5375.11</v>
      </c>
      <c r="K76" s="520">
        <v>4637.8999999999996</v>
      </c>
      <c r="L76" s="520">
        <v>6419.48</v>
      </c>
      <c r="M76" s="520">
        <v>5558.02</v>
      </c>
      <c r="N76" s="520">
        <v>3248.6035400000001</v>
      </c>
      <c r="O76" s="520">
        <v>5680.15</v>
      </c>
      <c r="P76" s="520">
        <v>5187.1805899999999</v>
      </c>
      <c r="Q76" s="520">
        <v>5187.18</v>
      </c>
      <c r="R76" s="520">
        <f>59.16289+5898.31</f>
        <v>5957.47289</v>
      </c>
      <c r="S76" s="520">
        <f>59.16+5898.31</f>
        <v>5957.47</v>
      </c>
      <c r="T76" s="520">
        <v>59.16</v>
      </c>
      <c r="U76" s="520"/>
      <c r="V76" s="520">
        <v>52.389890000000001</v>
      </c>
      <c r="W76" s="520"/>
      <c r="X76" s="520">
        <v>3005.8216499999999</v>
      </c>
      <c r="Y76" s="520"/>
      <c r="Z76" s="520">
        <f>2880.85064-2.81</f>
        <v>2878.0406400000002</v>
      </c>
      <c r="AA76" s="520"/>
      <c r="AB76" s="520">
        <v>2921.23999</v>
      </c>
      <c r="AC76" s="520"/>
      <c r="AD76" s="520">
        <f>28747.43958-4892.2-5898.31</f>
        <v>17956.929579999996</v>
      </c>
      <c r="AE76" s="520"/>
      <c r="AF76" s="620"/>
      <c r="AG76" s="621">
        <f t="shared" si="1"/>
        <v>0</v>
      </c>
    </row>
    <row r="77" spans="1:33" x14ac:dyDescent="0.3">
      <c r="A77" s="115" t="s">
        <v>170</v>
      </c>
      <c r="B77" s="116"/>
      <c r="C77" s="117"/>
      <c r="D77" s="118"/>
      <c r="E77" s="117"/>
      <c r="F77" s="116"/>
      <c r="G77" s="116"/>
      <c r="H77" s="111"/>
      <c r="I77" s="111"/>
      <c r="J77" s="111"/>
      <c r="K77" s="111"/>
      <c r="L77" s="111"/>
      <c r="M77" s="111"/>
      <c r="N77" s="111"/>
      <c r="O77" s="111"/>
      <c r="P77" s="111"/>
      <c r="Q77" s="111"/>
      <c r="R77" s="111"/>
      <c r="S77" s="111"/>
      <c r="T77" s="111"/>
      <c r="U77" s="111"/>
      <c r="V77" s="111"/>
      <c r="W77" s="111"/>
      <c r="X77" s="111"/>
      <c r="Y77" s="111"/>
      <c r="Z77" s="111"/>
      <c r="AA77" s="111"/>
      <c r="AB77" s="111"/>
      <c r="AC77" s="111"/>
      <c r="AD77" s="111"/>
      <c r="AE77" s="111"/>
      <c r="AF77" s="29"/>
      <c r="AG77" s="102">
        <f t="shared" si="1"/>
        <v>0</v>
      </c>
    </row>
    <row r="78" spans="1:33" ht="72" customHeight="1" x14ac:dyDescent="0.3">
      <c r="A78" s="124" t="s">
        <v>283</v>
      </c>
      <c r="B78" s="104"/>
      <c r="C78" s="800"/>
      <c r="D78" s="800"/>
      <c r="E78" s="800"/>
      <c r="F78" s="125"/>
      <c r="G78" s="125"/>
      <c r="H78" s="104"/>
      <c r="I78" s="104"/>
      <c r="J78" s="104"/>
      <c r="K78" s="104"/>
      <c r="L78" s="104"/>
      <c r="M78" s="104"/>
      <c r="N78" s="104"/>
      <c r="O78" s="104"/>
      <c r="P78" s="104"/>
      <c r="Q78" s="104"/>
      <c r="R78" s="104"/>
      <c r="S78" s="104"/>
      <c r="T78" s="104"/>
      <c r="U78" s="104"/>
      <c r="V78" s="104"/>
      <c r="W78" s="104"/>
      <c r="X78" s="104"/>
      <c r="Y78" s="104"/>
      <c r="Z78" s="104"/>
      <c r="AA78" s="104"/>
      <c r="AB78" s="104"/>
      <c r="AC78" s="104"/>
      <c r="AD78" s="104"/>
      <c r="AE78" s="104"/>
      <c r="AF78" s="101"/>
      <c r="AG78" s="102">
        <f t="shared" si="1"/>
        <v>0</v>
      </c>
    </row>
    <row r="79" spans="1:33" x14ac:dyDescent="0.3">
      <c r="A79" s="128" t="s">
        <v>31</v>
      </c>
      <c r="B79" s="104">
        <f>B80+B81+B82+B83</f>
        <v>2624780.5998299997</v>
      </c>
      <c r="C79" s="800">
        <f>C80+C81+C82</f>
        <v>1033944.59137</v>
      </c>
      <c r="D79" s="800">
        <f>D80+D81+D82</f>
        <v>1441598.02</v>
      </c>
      <c r="E79" s="800">
        <f>E80+E81+E82</f>
        <v>1441598.02</v>
      </c>
      <c r="F79" s="105">
        <f>IFERROR(E79/B79*100,0)</f>
        <v>54.922610297156595</v>
      </c>
      <c r="G79" s="105">
        <f>IFERROR(E79/C79*100,0)</f>
        <v>139.4270091485125</v>
      </c>
      <c r="H79" s="104">
        <f>H80+H81+H82+H83</f>
        <v>217120.75999999998</v>
      </c>
      <c r="I79" s="104">
        <f t="shared" ref="I79:AE79" si="20">I80+I81+I82+I83</f>
        <v>90192.700000000012</v>
      </c>
      <c r="J79" s="104">
        <f t="shared" si="20"/>
        <v>290118.50979000004</v>
      </c>
      <c r="K79" s="104">
        <f t="shared" si="20"/>
        <v>253612.65</v>
      </c>
      <c r="L79" s="104">
        <f t="shared" si="20"/>
        <v>245880.64578999998</v>
      </c>
      <c r="M79" s="104">
        <f t="shared" si="20"/>
        <v>204906.37</v>
      </c>
      <c r="N79" s="104">
        <f t="shared" si="20"/>
        <v>288347.17578999995</v>
      </c>
      <c r="O79" s="104">
        <f t="shared" si="20"/>
        <v>224145.56</v>
      </c>
      <c r="P79" s="104">
        <f t="shared" si="20"/>
        <v>438286.87377000001</v>
      </c>
      <c r="Q79" s="104">
        <f t="shared" si="20"/>
        <v>438287.43</v>
      </c>
      <c r="R79" s="104">
        <f t="shared" si="20"/>
        <v>235084.67378000001</v>
      </c>
      <c r="S79" s="104">
        <f t="shared" si="20"/>
        <v>237794.31</v>
      </c>
      <c r="T79" s="104">
        <f t="shared" si="20"/>
        <v>165304.35379000002</v>
      </c>
      <c r="U79" s="104">
        <f t="shared" si="20"/>
        <v>0</v>
      </c>
      <c r="V79" s="104">
        <f t="shared" si="20"/>
        <v>112211.90578999999</v>
      </c>
      <c r="W79" s="104">
        <f t="shared" si="20"/>
        <v>0</v>
      </c>
      <c r="X79" s="104">
        <f t="shared" si="20"/>
        <v>143167.01879</v>
      </c>
      <c r="Y79" s="104">
        <f t="shared" si="20"/>
        <v>0</v>
      </c>
      <c r="Z79" s="104">
        <f t="shared" si="20"/>
        <v>136614.00378999999</v>
      </c>
      <c r="AA79" s="104">
        <f t="shared" si="20"/>
        <v>0</v>
      </c>
      <c r="AB79" s="104">
        <f t="shared" si="20"/>
        <v>129725.70379</v>
      </c>
      <c r="AC79" s="104">
        <f t="shared" si="20"/>
        <v>0</v>
      </c>
      <c r="AD79" s="104">
        <f t="shared" si="20"/>
        <v>222918.97495999999</v>
      </c>
      <c r="AE79" s="104">
        <f t="shared" si="20"/>
        <v>0</v>
      </c>
      <c r="AF79" s="101"/>
      <c r="AG79" s="102">
        <f t="shared" si="1"/>
        <v>0</v>
      </c>
    </row>
    <row r="80" spans="1:33" x14ac:dyDescent="0.3">
      <c r="A80" s="129" t="s">
        <v>169</v>
      </c>
      <c r="B80" s="107">
        <f>J80+L80+N80+P80+R80+T80+V80+X80+Z80+AB80+AD80+H80</f>
        <v>57704.600000000006</v>
      </c>
      <c r="C80" s="801">
        <f>SUM(H80+J80+L80+N80)</f>
        <v>24877.43</v>
      </c>
      <c r="D80" s="801">
        <f>E80</f>
        <v>48042.2</v>
      </c>
      <c r="E80" s="801">
        <f>SUM(I80,K80,M80,O80,Q80,S80,U80,W80,Y80,AA80,AC80,AE80)</f>
        <v>48042.2</v>
      </c>
      <c r="F80" s="107">
        <f>IFERROR(E80/B80*100,0)</f>
        <v>83.255407714462962</v>
      </c>
      <c r="G80" s="107">
        <f>IFERROR(E80/C80*100,0)</f>
        <v>193.11560719897511</v>
      </c>
      <c r="H80" s="107">
        <f>H86+H116+H122</f>
        <v>4082.28</v>
      </c>
      <c r="I80" s="107">
        <f t="shared" ref="I80:AE83" si="21">I86+I116+I122</f>
        <v>4012.3</v>
      </c>
      <c r="J80" s="107">
        <f t="shared" si="21"/>
        <v>4046.15</v>
      </c>
      <c r="K80" s="107">
        <f t="shared" si="21"/>
        <v>3924.3</v>
      </c>
      <c r="L80" s="107">
        <f t="shared" si="21"/>
        <v>4209.92</v>
      </c>
      <c r="M80" s="107">
        <f t="shared" si="21"/>
        <v>4194.3999999999996</v>
      </c>
      <c r="N80" s="107">
        <f t="shared" si="21"/>
        <v>12539.08</v>
      </c>
      <c r="O80" s="107">
        <f t="shared" si="21"/>
        <v>12067</v>
      </c>
      <c r="P80" s="107">
        <f t="shared" si="21"/>
        <v>10239.700000000001</v>
      </c>
      <c r="Q80" s="107">
        <f t="shared" si="21"/>
        <v>10239.700000000001</v>
      </c>
      <c r="R80" s="107">
        <f t="shared" si="21"/>
        <v>13678.669999999998</v>
      </c>
      <c r="S80" s="107">
        <f t="shared" si="21"/>
        <v>13604.5</v>
      </c>
      <c r="T80" s="107">
        <f t="shared" si="21"/>
        <v>8908.7999999999993</v>
      </c>
      <c r="U80" s="107">
        <f t="shared" si="21"/>
        <v>0</v>
      </c>
      <c r="V80" s="107">
        <f t="shared" si="21"/>
        <v>0</v>
      </c>
      <c r="W80" s="107">
        <f t="shared" si="21"/>
        <v>0</v>
      </c>
      <c r="X80" s="107">
        <f t="shared" si="21"/>
        <v>0</v>
      </c>
      <c r="Y80" s="107">
        <f t="shared" si="21"/>
        <v>0</v>
      </c>
      <c r="Z80" s="107">
        <f t="shared" si="21"/>
        <v>0</v>
      </c>
      <c r="AA80" s="107">
        <f t="shared" si="21"/>
        <v>0</v>
      </c>
      <c r="AB80" s="107">
        <f t="shared" si="21"/>
        <v>0</v>
      </c>
      <c r="AC80" s="107">
        <f t="shared" si="21"/>
        <v>0</v>
      </c>
      <c r="AD80" s="107">
        <f t="shared" si="21"/>
        <v>0</v>
      </c>
      <c r="AE80" s="107">
        <f t="shared" si="21"/>
        <v>0</v>
      </c>
      <c r="AF80" s="101"/>
      <c r="AG80" s="102">
        <f t="shared" si="1"/>
        <v>7.2759576141834259E-12</v>
      </c>
    </row>
    <row r="81" spans="1:33" x14ac:dyDescent="0.3">
      <c r="A81" s="129" t="s">
        <v>32</v>
      </c>
      <c r="B81" s="107">
        <f>J81+L81+N81+P81+R81+T81+V81+X81+Z81+AB81+AD81+H81</f>
        <v>2147450.1998299998</v>
      </c>
      <c r="C81" s="801">
        <f>SUM(H81+J81+L81+N81)</f>
        <v>807801.54136999999</v>
      </c>
      <c r="D81" s="801">
        <f>E81</f>
        <v>1115888.58</v>
      </c>
      <c r="E81" s="801">
        <f>SUM(I81,K81,M81,O81,Q81,S81,U81,W81,Y81,AA81,AC81,AE81)</f>
        <v>1115888.58</v>
      </c>
      <c r="F81" s="107">
        <f>IFERROR(E81/B81*100,0)</f>
        <v>51.9634206226686</v>
      </c>
      <c r="G81" s="107">
        <f>IFERROR(E81/C81*100,0)</f>
        <v>138.13895156816568</v>
      </c>
      <c r="H81" s="107">
        <f>H87+H117+H123</f>
        <v>160097.37999999998</v>
      </c>
      <c r="I81" s="107">
        <f t="shared" ref="I81:W81" si="22">I87+I117+I123</f>
        <v>33973.1</v>
      </c>
      <c r="J81" s="107">
        <f t="shared" si="22"/>
        <v>218612.98979000002</v>
      </c>
      <c r="K81" s="107">
        <f t="shared" si="22"/>
        <v>181495.2</v>
      </c>
      <c r="L81" s="107">
        <f t="shared" si="22"/>
        <v>194991.11578999998</v>
      </c>
      <c r="M81" s="107">
        <f t="shared" si="22"/>
        <v>154056.82</v>
      </c>
      <c r="N81" s="107">
        <f t="shared" si="22"/>
        <v>234100.05578999998</v>
      </c>
      <c r="O81" s="107">
        <f t="shared" si="22"/>
        <v>170551.99</v>
      </c>
      <c r="P81" s="107">
        <f t="shared" si="22"/>
        <v>388791.16376999998</v>
      </c>
      <c r="Q81" s="107">
        <f t="shared" si="22"/>
        <v>388791.16</v>
      </c>
      <c r="R81" s="107">
        <f t="shared" si="22"/>
        <v>182323.92378000001</v>
      </c>
      <c r="S81" s="107">
        <f t="shared" si="22"/>
        <v>187020.31</v>
      </c>
      <c r="T81" s="107">
        <f t="shared" si="22"/>
        <v>127819.16379000001</v>
      </c>
      <c r="U81" s="107">
        <f t="shared" si="22"/>
        <v>0</v>
      </c>
      <c r="V81" s="107">
        <f t="shared" si="22"/>
        <v>92210.165789999999</v>
      </c>
      <c r="W81" s="107">
        <f t="shared" si="22"/>
        <v>0</v>
      </c>
      <c r="X81" s="107">
        <f t="shared" si="21"/>
        <v>120484.50879000001</v>
      </c>
      <c r="Y81" s="107">
        <f t="shared" si="21"/>
        <v>0</v>
      </c>
      <c r="Z81" s="107">
        <f t="shared" si="21"/>
        <v>114695.95379</v>
      </c>
      <c r="AA81" s="107">
        <f t="shared" si="21"/>
        <v>0</v>
      </c>
      <c r="AB81" s="107">
        <f t="shared" si="21"/>
        <v>107459.51379</v>
      </c>
      <c r="AC81" s="107">
        <f t="shared" si="21"/>
        <v>0</v>
      </c>
      <c r="AD81" s="107">
        <f t="shared" si="21"/>
        <v>205864.26496</v>
      </c>
      <c r="AE81" s="107">
        <f t="shared" si="21"/>
        <v>0</v>
      </c>
      <c r="AF81" s="101"/>
      <c r="AG81" s="102">
        <f t="shared" si="1"/>
        <v>0</v>
      </c>
    </row>
    <row r="82" spans="1:33" x14ac:dyDescent="0.3">
      <c r="A82" s="129" t="s">
        <v>33</v>
      </c>
      <c r="B82" s="107">
        <f>J82+L82+N82+P82+R82+T82+V82+X82+Z82+AB82+AD82+H82</f>
        <v>409625.8</v>
      </c>
      <c r="C82" s="801">
        <f>SUM(H82+J82+L82+N82)</f>
        <v>201265.62000000002</v>
      </c>
      <c r="D82" s="801">
        <f>E82</f>
        <v>277667.24</v>
      </c>
      <c r="E82" s="801">
        <f>SUM(I82,K82,M82,O82,Q82,S82,U82,W82,Y82,AA82,AC82,AE82)</f>
        <v>277667.24</v>
      </c>
      <c r="F82" s="107">
        <f>IFERROR(E82/B82*100,0)</f>
        <v>67.78558381820676</v>
      </c>
      <c r="G82" s="107">
        <f>IFERROR(E82/C82*100,0)</f>
        <v>137.96059158041993</v>
      </c>
      <c r="H82" s="107">
        <f>H88+H118+H124</f>
        <v>52941.1</v>
      </c>
      <c r="I82" s="107">
        <f t="shared" si="21"/>
        <v>52207.3</v>
      </c>
      <c r="J82" s="107">
        <f t="shared" si="21"/>
        <v>67459.37</v>
      </c>
      <c r="K82" s="107">
        <f t="shared" si="21"/>
        <v>68193.149999999994</v>
      </c>
      <c r="L82" s="107">
        <f t="shared" si="21"/>
        <v>43449.61</v>
      </c>
      <c r="M82" s="107">
        <f t="shared" si="21"/>
        <v>43425.15</v>
      </c>
      <c r="N82" s="107">
        <f t="shared" si="21"/>
        <v>37415.54</v>
      </c>
      <c r="O82" s="107">
        <f t="shared" si="21"/>
        <v>37415.57</v>
      </c>
      <c r="P82" s="107">
        <f t="shared" si="21"/>
        <v>39256.01</v>
      </c>
      <c r="Q82" s="107">
        <f t="shared" si="21"/>
        <v>39256.57</v>
      </c>
      <c r="R82" s="107">
        <f t="shared" si="21"/>
        <v>39082.080000000002</v>
      </c>
      <c r="S82" s="107">
        <f t="shared" si="21"/>
        <v>37169.5</v>
      </c>
      <c r="T82" s="107">
        <f t="shared" si="21"/>
        <v>28576.39</v>
      </c>
      <c r="U82" s="107">
        <f t="shared" si="21"/>
        <v>0</v>
      </c>
      <c r="V82" s="107">
        <f t="shared" si="21"/>
        <v>20001.739999999998</v>
      </c>
      <c r="W82" s="107">
        <f t="shared" si="21"/>
        <v>0</v>
      </c>
      <c r="X82" s="107">
        <f t="shared" si="21"/>
        <v>22682.51</v>
      </c>
      <c r="Y82" s="107">
        <f t="shared" si="21"/>
        <v>0</v>
      </c>
      <c r="Z82" s="107">
        <f t="shared" si="21"/>
        <v>21918.05</v>
      </c>
      <c r="AA82" s="107">
        <f t="shared" si="21"/>
        <v>0</v>
      </c>
      <c r="AB82" s="107">
        <f t="shared" si="21"/>
        <v>22266.19</v>
      </c>
      <c r="AC82" s="107">
        <f t="shared" si="21"/>
        <v>0</v>
      </c>
      <c r="AD82" s="107">
        <f t="shared" si="21"/>
        <v>14577.21</v>
      </c>
      <c r="AE82" s="107">
        <f t="shared" si="21"/>
        <v>0</v>
      </c>
      <c r="AF82" s="101"/>
      <c r="AG82" s="102">
        <f t="shared" si="1"/>
        <v>2.5465851649641991E-11</v>
      </c>
    </row>
    <row r="83" spans="1:33" x14ac:dyDescent="0.3">
      <c r="A83" s="129" t="s">
        <v>170</v>
      </c>
      <c r="B83" s="107">
        <f>J83+L83+N83+P83+R83+T83+V83+X83+Z83+AB83+AD83+H83</f>
        <v>10000</v>
      </c>
      <c r="C83" s="801">
        <f>H83+J83+L83+N83</f>
        <v>7522.5</v>
      </c>
      <c r="D83" s="801">
        <f>E83</f>
        <v>7341</v>
      </c>
      <c r="E83" s="801">
        <f>SUM(I83,K83,M83,O83,Q83,S83,U83,W83,Y83,AA83,AC83,AE83)</f>
        <v>7341</v>
      </c>
      <c r="F83" s="107">
        <f>IFERROR(E83/B83*100,0)</f>
        <v>73.41</v>
      </c>
      <c r="G83" s="107">
        <f>IFERROR(E83/C83*100,0)</f>
        <v>97.587238285144565</v>
      </c>
      <c r="H83" s="107">
        <f>H89+H119+H125</f>
        <v>0</v>
      </c>
      <c r="I83" s="107">
        <f t="shared" si="21"/>
        <v>0</v>
      </c>
      <c r="J83" s="107">
        <f t="shared" si="21"/>
        <v>0</v>
      </c>
      <c r="K83" s="107">
        <f t="shared" si="21"/>
        <v>0</v>
      </c>
      <c r="L83" s="107">
        <f t="shared" si="21"/>
        <v>3230</v>
      </c>
      <c r="M83" s="107">
        <f t="shared" si="21"/>
        <v>3230</v>
      </c>
      <c r="N83" s="107">
        <f t="shared" si="21"/>
        <v>4292.5</v>
      </c>
      <c r="O83" s="107">
        <f t="shared" si="21"/>
        <v>4111</v>
      </c>
      <c r="P83" s="107">
        <f t="shared" si="21"/>
        <v>0</v>
      </c>
      <c r="Q83" s="107">
        <f t="shared" si="21"/>
        <v>0</v>
      </c>
      <c r="R83" s="107">
        <f t="shared" si="21"/>
        <v>0</v>
      </c>
      <c r="S83" s="107">
        <f t="shared" si="21"/>
        <v>0</v>
      </c>
      <c r="T83" s="107">
        <f t="shared" si="21"/>
        <v>0</v>
      </c>
      <c r="U83" s="107">
        <f t="shared" si="21"/>
        <v>0</v>
      </c>
      <c r="V83" s="107">
        <f t="shared" si="21"/>
        <v>0</v>
      </c>
      <c r="W83" s="107">
        <f t="shared" si="21"/>
        <v>0</v>
      </c>
      <c r="X83" s="107">
        <f t="shared" si="21"/>
        <v>0</v>
      </c>
      <c r="Y83" s="107">
        <f t="shared" si="21"/>
        <v>0</v>
      </c>
      <c r="Z83" s="107">
        <f t="shared" si="21"/>
        <v>0</v>
      </c>
      <c r="AA83" s="107">
        <f t="shared" si="21"/>
        <v>0</v>
      </c>
      <c r="AB83" s="107">
        <f t="shared" si="21"/>
        <v>0</v>
      </c>
      <c r="AC83" s="107">
        <f t="shared" si="21"/>
        <v>0</v>
      </c>
      <c r="AD83" s="107">
        <f t="shared" si="21"/>
        <v>2477.5</v>
      </c>
      <c r="AE83" s="107">
        <f t="shared" si="21"/>
        <v>0</v>
      </c>
      <c r="AF83" s="101"/>
      <c r="AG83" s="102">
        <f t="shared" si="1"/>
        <v>0</v>
      </c>
    </row>
    <row r="84" spans="1:33" s="97" customFormat="1" ht="97.5" customHeight="1" x14ac:dyDescent="0.3">
      <c r="A84" s="211" t="s">
        <v>529</v>
      </c>
      <c r="B84" s="130"/>
      <c r="C84" s="131"/>
      <c r="D84" s="131"/>
      <c r="E84" s="131"/>
      <c r="F84" s="131"/>
      <c r="G84" s="131"/>
      <c r="H84" s="212"/>
      <c r="I84" s="212"/>
      <c r="J84" s="212"/>
      <c r="K84" s="212"/>
      <c r="L84" s="212"/>
      <c r="M84" s="212"/>
      <c r="N84" s="212"/>
      <c r="O84" s="212"/>
      <c r="P84" s="212"/>
      <c r="Q84" s="212"/>
      <c r="R84" s="212"/>
      <c r="S84" s="212"/>
      <c r="T84" s="212"/>
      <c r="U84" s="212"/>
      <c r="V84" s="212"/>
      <c r="W84" s="212"/>
      <c r="X84" s="212"/>
      <c r="Y84" s="212"/>
      <c r="Z84" s="212"/>
      <c r="AA84" s="212"/>
      <c r="AB84" s="212"/>
      <c r="AC84" s="212"/>
      <c r="AD84" s="212"/>
      <c r="AE84" s="212"/>
      <c r="AF84" s="213"/>
      <c r="AG84" s="214">
        <f t="shared" si="1"/>
        <v>0</v>
      </c>
    </row>
    <row r="85" spans="1:33" s="97" customFormat="1" x14ac:dyDescent="0.3">
      <c r="A85" s="126" t="s">
        <v>31</v>
      </c>
      <c r="B85" s="113">
        <f>B87+B88+B86+B89</f>
        <v>2624780.5998299997</v>
      </c>
      <c r="C85" s="113">
        <f>C87+C88+C86+C89</f>
        <v>1693098.8389199998</v>
      </c>
      <c r="D85" s="113">
        <f>D87+D88+D86+D89</f>
        <v>1429708.5499999998</v>
      </c>
      <c r="E85" s="113">
        <f>E87+E88+E86+E89</f>
        <v>1429708.5499999998</v>
      </c>
      <c r="F85" s="113">
        <f>IFERROR(E85/B85*100,0)</f>
        <v>54.469640246982863</v>
      </c>
      <c r="G85" s="113">
        <f>IFERROR(E85/C85*100,0)</f>
        <v>84.443301072250904</v>
      </c>
      <c r="H85" s="113">
        <f t="shared" ref="H85:AE85" si="23">H87+H88+H86+H89</f>
        <v>216140.75999999998</v>
      </c>
      <c r="I85" s="113">
        <f t="shared" si="23"/>
        <v>90192.7</v>
      </c>
      <c r="J85" s="113">
        <f t="shared" si="23"/>
        <v>286163.90979000006</v>
      </c>
      <c r="K85" s="113">
        <f t="shared" si="23"/>
        <v>249918.55</v>
      </c>
      <c r="L85" s="113">
        <f t="shared" si="23"/>
        <v>241752.24578999999</v>
      </c>
      <c r="M85" s="113">
        <f t="shared" si="23"/>
        <v>201105.97</v>
      </c>
      <c r="N85" s="113">
        <f t="shared" si="23"/>
        <v>284377.37579000002</v>
      </c>
      <c r="O85" s="113">
        <f t="shared" si="23"/>
        <v>220503.75</v>
      </c>
      <c r="P85" s="113">
        <f t="shared" si="23"/>
        <v>434317.07377000002</v>
      </c>
      <c r="Q85" s="113">
        <f t="shared" si="23"/>
        <v>434317.63</v>
      </c>
      <c r="R85" s="113">
        <f t="shared" si="23"/>
        <v>230347.47378</v>
      </c>
      <c r="S85" s="113">
        <f t="shared" si="23"/>
        <v>233669.95</v>
      </c>
      <c r="T85" s="113">
        <f t="shared" si="23"/>
        <v>164324.35378999999</v>
      </c>
      <c r="U85" s="113">
        <f t="shared" si="23"/>
        <v>0</v>
      </c>
      <c r="V85" s="113">
        <f t="shared" si="23"/>
        <v>111231.90578999999</v>
      </c>
      <c r="W85" s="113">
        <f t="shared" si="23"/>
        <v>0</v>
      </c>
      <c r="X85" s="113">
        <f t="shared" si="23"/>
        <v>142187.01879</v>
      </c>
      <c r="Y85" s="113">
        <f t="shared" si="23"/>
        <v>0</v>
      </c>
      <c r="Z85" s="113">
        <f t="shared" si="23"/>
        <v>135634.00378999999</v>
      </c>
      <c r="AA85" s="113">
        <f t="shared" si="23"/>
        <v>0</v>
      </c>
      <c r="AB85" s="113">
        <f t="shared" si="23"/>
        <v>128745.70379</v>
      </c>
      <c r="AC85" s="113">
        <f t="shared" si="23"/>
        <v>0</v>
      </c>
      <c r="AD85" s="113">
        <f t="shared" si="23"/>
        <v>176904.17496</v>
      </c>
      <c r="AE85" s="113">
        <f t="shared" si="23"/>
        <v>0</v>
      </c>
      <c r="AF85" s="213"/>
      <c r="AG85" s="214">
        <f t="shared" si="1"/>
        <v>72654.599999999889</v>
      </c>
    </row>
    <row r="86" spans="1:33" s="97" customFormat="1" x14ac:dyDescent="0.3">
      <c r="A86" s="126" t="s">
        <v>169</v>
      </c>
      <c r="B86" s="113">
        <f>B92+B98+B104+B110</f>
        <v>57704.600000000006</v>
      </c>
      <c r="C86" s="113">
        <f>C92+C98+C104+C110</f>
        <v>48795.8</v>
      </c>
      <c r="D86" s="113">
        <f>D92+D98+D104+D110</f>
        <v>48042.2</v>
      </c>
      <c r="E86" s="113">
        <f>E92+E98+E104+E110</f>
        <v>48042.2</v>
      </c>
      <c r="F86" s="113">
        <f>IFERROR(E86/B86*100,0)</f>
        <v>83.255407714462962</v>
      </c>
      <c r="G86" s="113">
        <f>IFERROR(E86/C86*100,0)</f>
        <v>98.455604785657769</v>
      </c>
      <c r="H86" s="113">
        <f t="shared" ref="H86:AE89" si="24">H92+H98+H104+H110</f>
        <v>4082.28</v>
      </c>
      <c r="I86" s="113">
        <f t="shared" si="24"/>
        <v>4012.3</v>
      </c>
      <c r="J86" s="113">
        <f t="shared" si="24"/>
        <v>4046.15</v>
      </c>
      <c r="K86" s="113">
        <f t="shared" si="24"/>
        <v>3924.3</v>
      </c>
      <c r="L86" s="113">
        <f t="shared" si="24"/>
        <v>4209.92</v>
      </c>
      <c r="M86" s="113">
        <f t="shared" si="24"/>
        <v>4194.3999999999996</v>
      </c>
      <c r="N86" s="113">
        <f t="shared" si="24"/>
        <v>12539.08</v>
      </c>
      <c r="O86" s="113">
        <f t="shared" si="24"/>
        <v>12067</v>
      </c>
      <c r="P86" s="113">
        <f t="shared" si="24"/>
        <v>10239.700000000001</v>
      </c>
      <c r="Q86" s="113">
        <f t="shared" si="24"/>
        <v>10239.700000000001</v>
      </c>
      <c r="R86" s="113">
        <f t="shared" si="24"/>
        <v>13678.669999999998</v>
      </c>
      <c r="S86" s="113">
        <f t="shared" si="24"/>
        <v>13604.5</v>
      </c>
      <c r="T86" s="113">
        <f t="shared" si="24"/>
        <v>8908.7999999999993</v>
      </c>
      <c r="U86" s="113">
        <f t="shared" si="24"/>
        <v>0</v>
      </c>
      <c r="V86" s="113">
        <f t="shared" si="24"/>
        <v>0</v>
      </c>
      <c r="W86" s="113">
        <f t="shared" si="24"/>
        <v>0</v>
      </c>
      <c r="X86" s="113">
        <f t="shared" si="24"/>
        <v>0</v>
      </c>
      <c r="Y86" s="113">
        <f t="shared" si="24"/>
        <v>0</v>
      </c>
      <c r="Z86" s="113">
        <f t="shared" si="24"/>
        <v>0</v>
      </c>
      <c r="AA86" s="113">
        <f t="shared" si="24"/>
        <v>0</v>
      </c>
      <c r="AB86" s="113">
        <f t="shared" si="24"/>
        <v>0</v>
      </c>
      <c r="AC86" s="113">
        <f t="shared" si="24"/>
        <v>0</v>
      </c>
      <c r="AD86" s="113">
        <f t="shared" si="24"/>
        <v>0</v>
      </c>
      <c r="AE86" s="113">
        <f t="shared" si="24"/>
        <v>0</v>
      </c>
      <c r="AF86" s="213"/>
      <c r="AG86" s="214">
        <f t="shared" si="1"/>
        <v>7.2759576141834259E-12</v>
      </c>
    </row>
    <row r="87" spans="1:33" s="97" customFormat="1" x14ac:dyDescent="0.3">
      <c r="A87" s="126" t="s">
        <v>32</v>
      </c>
      <c r="B87" s="113">
        <f>B93+B99+B105+B111+B117+B123</f>
        <v>2147450.1998299998</v>
      </c>
      <c r="C87" s="113">
        <f t="shared" ref="B87:E89" si="25">C93+C99+C105+C111</f>
        <v>1357176.8289199998</v>
      </c>
      <c r="D87" s="113">
        <f t="shared" si="25"/>
        <v>1096658.1099999999</v>
      </c>
      <c r="E87" s="113">
        <f t="shared" si="25"/>
        <v>1096658.1099999999</v>
      </c>
      <c r="F87" s="113">
        <f>IFERROR(E87/B87*100,0)</f>
        <v>51.067918133180243</v>
      </c>
      <c r="G87" s="113">
        <f>IFERROR(E87/C87*100,0)</f>
        <v>80.804364371051577</v>
      </c>
      <c r="H87" s="113">
        <f>H93+H99+H105+H111</f>
        <v>159117.37999999998</v>
      </c>
      <c r="I87" s="113">
        <f t="shared" si="24"/>
        <v>33973.1</v>
      </c>
      <c r="J87" s="113">
        <f t="shared" si="24"/>
        <v>214658.38979000002</v>
      </c>
      <c r="K87" s="113">
        <f t="shared" si="24"/>
        <v>177801.1</v>
      </c>
      <c r="L87" s="113">
        <f t="shared" si="24"/>
        <v>190862.71578999999</v>
      </c>
      <c r="M87" s="113">
        <f t="shared" si="24"/>
        <v>150256.42000000001</v>
      </c>
      <c r="N87" s="113">
        <f t="shared" si="24"/>
        <v>230130.25579</v>
      </c>
      <c r="O87" s="113">
        <f t="shared" si="24"/>
        <v>166910.18</v>
      </c>
      <c r="P87" s="113">
        <f t="shared" si="24"/>
        <v>384821.36377</v>
      </c>
      <c r="Q87" s="113">
        <f t="shared" si="24"/>
        <v>384821.36</v>
      </c>
      <c r="R87" s="113">
        <f t="shared" si="24"/>
        <v>177586.72378</v>
      </c>
      <c r="S87" s="113">
        <f t="shared" si="24"/>
        <v>182895.95</v>
      </c>
      <c r="T87" s="113">
        <f t="shared" si="24"/>
        <v>126839.16379000001</v>
      </c>
      <c r="U87" s="113">
        <f t="shared" si="24"/>
        <v>0</v>
      </c>
      <c r="V87" s="113">
        <f t="shared" si="24"/>
        <v>91230.165789999999</v>
      </c>
      <c r="W87" s="113">
        <f t="shared" si="24"/>
        <v>0</v>
      </c>
      <c r="X87" s="113">
        <f t="shared" si="24"/>
        <v>119504.50879000001</v>
      </c>
      <c r="Y87" s="113">
        <f t="shared" si="24"/>
        <v>0</v>
      </c>
      <c r="Z87" s="113">
        <f t="shared" si="24"/>
        <v>113715.95379</v>
      </c>
      <c r="AA87" s="113">
        <f t="shared" si="24"/>
        <v>0</v>
      </c>
      <c r="AB87" s="113">
        <f t="shared" si="24"/>
        <v>106479.51379</v>
      </c>
      <c r="AC87" s="113">
        <f t="shared" si="24"/>
        <v>0</v>
      </c>
      <c r="AD87" s="113">
        <f t="shared" si="24"/>
        <v>159849.46496000001</v>
      </c>
      <c r="AE87" s="113">
        <f t="shared" si="24"/>
        <v>0</v>
      </c>
      <c r="AF87" s="213"/>
      <c r="AG87" s="214">
        <f t="shared" si="1"/>
        <v>72654.599999999919</v>
      </c>
    </row>
    <row r="88" spans="1:33" s="97" customFormat="1" x14ac:dyDescent="0.3">
      <c r="A88" s="112" t="s">
        <v>33</v>
      </c>
      <c r="B88" s="113">
        <f t="shared" si="25"/>
        <v>409625.8</v>
      </c>
      <c r="C88" s="113">
        <f>C94+C100+C106+C112</f>
        <v>279603.71000000002</v>
      </c>
      <c r="D88" s="113">
        <f t="shared" si="25"/>
        <v>277667.24</v>
      </c>
      <c r="E88" s="113">
        <f t="shared" si="25"/>
        <v>277667.24</v>
      </c>
      <c r="F88" s="113">
        <f>IFERROR(E88/B88*100,0)</f>
        <v>67.78558381820676</v>
      </c>
      <c r="G88" s="113">
        <f>IFERROR(E88/C88*100,0)</f>
        <v>99.307423352858933</v>
      </c>
      <c r="H88" s="113">
        <f t="shared" si="24"/>
        <v>52941.1</v>
      </c>
      <c r="I88" s="113">
        <f t="shared" si="24"/>
        <v>52207.3</v>
      </c>
      <c r="J88" s="113">
        <f t="shared" si="24"/>
        <v>67459.37</v>
      </c>
      <c r="K88" s="113">
        <f t="shared" si="24"/>
        <v>68193.149999999994</v>
      </c>
      <c r="L88" s="113">
        <f t="shared" si="24"/>
        <v>43449.61</v>
      </c>
      <c r="M88" s="113">
        <f t="shared" si="24"/>
        <v>43425.15</v>
      </c>
      <c r="N88" s="113">
        <f t="shared" si="24"/>
        <v>37415.54</v>
      </c>
      <c r="O88" s="113">
        <f t="shared" si="24"/>
        <v>37415.57</v>
      </c>
      <c r="P88" s="113">
        <f t="shared" si="24"/>
        <v>39256.01</v>
      </c>
      <c r="Q88" s="113">
        <f t="shared" si="24"/>
        <v>39256.57</v>
      </c>
      <c r="R88" s="113">
        <f t="shared" si="24"/>
        <v>39082.080000000002</v>
      </c>
      <c r="S88" s="113">
        <f t="shared" si="24"/>
        <v>37169.5</v>
      </c>
      <c r="T88" s="113">
        <f t="shared" si="24"/>
        <v>28576.39</v>
      </c>
      <c r="U88" s="113">
        <f t="shared" si="24"/>
        <v>0</v>
      </c>
      <c r="V88" s="113">
        <f t="shared" si="24"/>
        <v>20001.739999999998</v>
      </c>
      <c r="W88" s="113">
        <f t="shared" si="24"/>
        <v>0</v>
      </c>
      <c r="X88" s="113">
        <f t="shared" si="24"/>
        <v>22682.51</v>
      </c>
      <c r="Y88" s="113">
        <f t="shared" si="24"/>
        <v>0</v>
      </c>
      <c r="Z88" s="113">
        <f t="shared" si="24"/>
        <v>21918.05</v>
      </c>
      <c r="AA88" s="113">
        <f t="shared" si="24"/>
        <v>0</v>
      </c>
      <c r="AB88" s="113">
        <f t="shared" si="24"/>
        <v>22266.19</v>
      </c>
      <c r="AC88" s="113">
        <f t="shared" si="24"/>
        <v>0</v>
      </c>
      <c r="AD88" s="113">
        <f t="shared" si="24"/>
        <v>14577.21</v>
      </c>
      <c r="AE88" s="113">
        <f t="shared" si="24"/>
        <v>0</v>
      </c>
      <c r="AF88" s="213"/>
      <c r="AG88" s="214">
        <f t="shared" si="1"/>
        <v>2.5465851649641991E-11</v>
      </c>
    </row>
    <row r="89" spans="1:33" s="97" customFormat="1" x14ac:dyDescent="0.3">
      <c r="A89" s="112" t="s">
        <v>170</v>
      </c>
      <c r="B89" s="113">
        <f t="shared" si="25"/>
        <v>10000</v>
      </c>
      <c r="C89" s="113">
        <f>C95+C101+C107+C113</f>
        <v>7522.5</v>
      </c>
      <c r="D89" s="113">
        <f t="shared" si="25"/>
        <v>7341</v>
      </c>
      <c r="E89" s="113">
        <f t="shared" si="25"/>
        <v>7341</v>
      </c>
      <c r="F89" s="113">
        <f>IFERROR(E89/B89*100,0)</f>
        <v>73.41</v>
      </c>
      <c r="G89" s="113">
        <f>IFERROR(E89/C89*100,0)</f>
        <v>97.587238285144565</v>
      </c>
      <c r="H89" s="113">
        <f t="shared" si="24"/>
        <v>0</v>
      </c>
      <c r="I89" s="113">
        <f t="shared" si="24"/>
        <v>0</v>
      </c>
      <c r="J89" s="113">
        <f t="shared" si="24"/>
        <v>0</v>
      </c>
      <c r="K89" s="113">
        <f t="shared" si="24"/>
        <v>0</v>
      </c>
      <c r="L89" s="113">
        <f t="shared" si="24"/>
        <v>3230</v>
      </c>
      <c r="M89" s="113">
        <f t="shared" si="24"/>
        <v>3230</v>
      </c>
      <c r="N89" s="113">
        <f t="shared" si="24"/>
        <v>4292.5</v>
      </c>
      <c r="O89" s="113">
        <f t="shared" si="24"/>
        <v>4111</v>
      </c>
      <c r="P89" s="113">
        <f t="shared" si="24"/>
        <v>0</v>
      </c>
      <c r="Q89" s="113">
        <f t="shared" si="24"/>
        <v>0</v>
      </c>
      <c r="R89" s="113">
        <f t="shared" si="24"/>
        <v>0</v>
      </c>
      <c r="S89" s="113">
        <f t="shared" si="24"/>
        <v>0</v>
      </c>
      <c r="T89" s="113">
        <f t="shared" si="24"/>
        <v>0</v>
      </c>
      <c r="U89" s="113">
        <f t="shared" si="24"/>
        <v>0</v>
      </c>
      <c r="V89" s="113">
        <f t="shared" si="24"/>
        <v>0</v>
      </c>
      <c r="W89" s="113">
        <f t="shared" si="24"/>
        <v>0</v>
      </c>
      <c r="X89" s="113">
        <f t="shared" si="24"/>
        <v>0</v>
      </c>
      <c r="Y89" s="113">
        <f t="shared" si="24"/>
        <v>0</v>
      </c>
      <c r="Z89" s="113">
        <f t="shared" si="24"/>
        <v>0</v>
      </c>
      <c r="AA89" s="113">
        <f t="shared" si="24"/>
        <v>0</v>
      </c>
      <c r="AB89" s="113">
        <f t="shared" si="24"/>
        <v>0</v>
      </c>
      <c r="AC89" s="113">
        <f t="shared" si="24"/>
        <v>0</v>
      </c>
      <c r="AD89" s="113">
        <f>AD95+AD101+AD107+AD113</f>
        <v>2477.5</v>
      </c>
      <c r="AE89" s="113">
        <f t="shared" si="24"/>
        <v>0</v>
      </c>
      <c r="AF89" s="213"/>
      <c r="AG89" s="214">
        <f t="shared" si="1"/>
        <v>0</v>
      </c>
    </row>
    <row r="90" spans="1:33" ht="197.25" customHeight="1" x14ac:dyDescent="0.3">
      <c r="A90" s="787" t="s">
        <v>527</v>
      </c>
      <c r="B90" s="627"/>
      <c r="C90" s="110"/>
      <c r="D90" s="110"/>
      <c r="E90" s="110"/>
      <c r="F90" s="110"/>
      <c r="G90" s="110"/>
      <c r="H90" s="111"/>
      <c r="I90" s="111"/>
      <c r="J90" s="111"/>
      <c r="K90" s="111"/>
      <c r="L90" s="111"/>
      <c r="M90" s="111"/>
      <c r="N90" s="111"/>
      <c r="O90" s="111"/>
      <c r="P90" s="111"/>
      <c r="Q90" s="111"/>
      <c r="R90" s="111"/>
      <c r="S90" s="111"/>
      <c r="T90" s="111"/>
      <c r="U90" s="111"/>
      <c r="V90" s="111"/>
      <c r="W90" s="111"/>
      <c r="X90" s="111"/>
      <c r="Y90" s="111"/>
      <c r="Z90" s="111"/>
      <c r="AA90" s="111"/>
      <c r="AB90" s="111"/>
      <c r="AC90" s="111"/>
      <c r="AD90" s="111"/>
      <c r="AE90" s="111"/>
      <c r="AF90" s="29"/>
      <c r="AG90" s="102">
        <f t="shared" si="1"/>
        <v>0</v>
      </c>
    </row>
    <row r="91" spans="1:33" s="622" customFormat="1" x14ac:dyDescent="0.3">
      <c r="A91" s="798" t="s">
        <v>31</v>
      </c>
      <c r="B91" s="792">
        <f>B93+B94+B92+B95</f>
        <v>57704.600000000006</v>
      </c>
      <c r="C91" s="792">
        <f>C93+C94+C92+C95</f>
        <v>48795.8</v>
      </c>
      <c r="D91" s="792">
        <f>D93+D94+D92+D95</f>
        <v>48042.2</v>
      </c>
      <c r="E91" s="792">
        <f>E93+E94+E92+E95</f>
        <v>48042.2</v>
      </c>
      <c r="F91" s="792">
        <f>IFERROR(E91/B91*100,0)</f>
        <v>83.255407714462962</v>
      </c>
      <c r="G91" s="792">
        <f>IFERROR(E91/C91*100,0)</f>
        <v>98.455604785657769</v>
      </c>
      <c r="H91" s="792">
        <f t="shared" ref="H91:AE91" si="26">H93+H94+H92+H95</f>
        <v>4082.28</v>
      </c>
      <c r="I91" s="792">
        <f t="shared" si="26"/>
        <v>4012.3</v>
      </c>
      <c r="J91" s="792">
        <f t="shared" si="26"/>
        <v>4046.15</v>
      </c>
      <c r="K91" s="792">
        <f t="shared" si="26"/>
        <v>3924.3</v>
      </c>
      <c r="L91" s="792">
        <f t="shared" si="26"/>
        <v>4209.92</v>
      </c>
      <c r="M91" s="792">
        <f t="shared" si="26"/>
        <v>4194.3999999999996</v>
      </c>
      <c r="N91" s="792">
        <f t="shared" si="26"/>
        <v>12539.08</v>
      </c>
      <c r="O91" s="792">
        <f t="shared" si="26"/>
        <v>12067</v>
      </c>
      <c r="P91" s="792">
        <f t="shared" si="26"/>
        <v>10239.700000000001</v>
      </c>
      <c r="Q91" s="792">
        <f t="shared" si="26"/>
        <v>10239.700000000001</v>
      </c>
      <c r="R91" s="792">
        <f t="shared" si="26"/>
        <v>13678.669999999998</v>
      </c>
      <c r="S91" s="792">
        <f t="shared" si="26"/>
        <v>13604.5</v>
      </c>
      <c r="T91" s="792">
        <f t="shared" si="26"/>
        <v>8908.7999999999993</v>
      </c>
      <c r="U91" s="792">
        <f t="shared" si="26"/>
        <v>0</v>
      </c>
      <c r="V91" s="792">
        <f t="shared" si="26"/>
        <v>0</v>
      </c>
      <c r="W91" s="792">
        <f t="shared" si="26"/>
        <v>0</v>
      </c>
      <c r="X91" s="792">
        <f t="shared" si="26"/>
        <v>0</v>
      </c>
      <c r="Y91" s="792">
        <f t="shared" si="26"/>
        <v>0</v>
      </c>
      <c r="Z91" s="792">
        <f t="shared" si="26"/>
        <v>0</v>
      </c>
      <c r="AA91" s="792">
        <f t="shared" si="26"/>
        <v>0</v>
      </c>
      <c r="AB91" s="792">
        <f t="shared" si="26"/>
        <v>0</v>
      </c>
      <c r="AC91" s="792">
        <f t="shared" si="26"/>
        <v>0</v>
      </c>
      <c r="AD91" s="792">
        <f t="shared" si="26"/>
        <v>0</v>
      </c>
      <c r="AE91" s="792">
        <f t="shared" si="26"/>
        <v>0</v>
      </c>
      <c r="AF91" s="620"/>
      <c r="AG91" s="621">
        <f t="shared" si="1"/>
        <v>7.2759576141834259E-12</v>
      </c>
    </row>
    <row r="92" spans="1:33" x14ac:dyDescent="0.3">
      <c r="A92" s="626" t="s">
        <v>169</v>
      </c>
      <c r="B92" s="627">
        <f>J92+L92+N92+P92+R92+T92+V92+X92+Z92+AB92+AD92+H92</f>
        <v>57704.600000000006</v>
      </c>
      <c r="C92" s="117">
        <f>H92+J92+L92+N92+P92+R92</f>
        <v>48795.8</v>
      </c>
      <c r="D92" s="789">
        <f>E92</f>
        <v>48042.2</v>
      </c>
      <c r="E92" s="117">
        <f>SUM(I92,K92,M92,O92,Q92,S92,U92,W92,Y92,AA92,AC92,AE92)</f>
        <v>48042.2</v>
      </c>
      <c r="F92" s="116">
        <f>IFERROR(E92/B92*100,0)</f>
        <v>83.255407714462962</v>
      </c>
      <c r="G92" s="116">
        <f>IFERROR(E92/C92*100,0)</f>
        <v>98.455604785657769</v>
      </c>
      <c r="H92" s="111">
        <v>4082.28</v>
      </c>
      <c r="I92" s="111">
        <v>4012.3</v>
      </c>
      <c r="J92" s="111">
        <v>4046.15</v>
      </c>
      <c r="K92" s="111">
        <v>3924.3</v>
      </c>
      <c r="L92" s="111">
        <v>4209.92</v>
      </c>
      <c r="M92" s="111">
        <v>4194.3999999999996</v>
      </c>
      <c r="N92" s="111">
        <v>12539.08</v>
      </c>
      <c r="O92" s="111">
        <v>12067</v>
      </c>
      <c r="P92" s="111">
        <v>10239.700000000001</v>
      </c>
      <c r="Q92" s="111">
        <v>10239.700000000001</v>
      </c>
      <c r="R92" s="111">
        <f>23918.37+9174.73-19414.43</f>
        <v>13678.669999999998</v>
      </c>
      <c r="S92" s="111">
        <v>13604.5</v>
      </c>
      <c r="T92" s="111">
        <f>8695.98+212.82</f>
        <v>8908.7999999999993</v>
      </c>
      <c r="U92" s="111"/>
      <c r="V92" s="111"/>
      <c r="W92" s="111"/>
      <c r="X92" s="111"/>
      <c r="Y92" s="111"/>
      <c r="Z92" s="111"/>
      <c r="AA92" s="111"/>
      <c r="AB92" s="111"/>
      <c r="AC92" s="111"/>
      <c r="AD92" s="111"/>
      <c r="AE92" s="111"/>
      <c r="AF92" s="29"/>
      <c r="AG92" s="102">
        <f t="shared" si="1"/>
        <v>7.2759576141834259E-12</v>
      </c>
    </row>
    <row r="93" spans="1:33" x14ac:dyDescent="0.3">
      <c r="A93" s="626" t="s">
        <v>32</v>
      </c>
      <c r="B93" s="627"/>
      <c r="C93" s="117"/>
      <c r="D93" s="118"/>
      <c r="E93" s="117"/>
      <c r="F93" s="116"/>
      <c r="G93" s="116"/>
      <c r="H93" s="111"/>
      <c r="I93" s="111"/>
      <c r="J93" s="111"/>
      <c r="K93" s="111"/>
      <c r="L93" s="111"/>
      <c r="M93" s="111"/>
      <c r="N93" s="111"/>
      <c r="O93" s="111"/>
      <c r="P93" s="111"/>
      <c r="Q93" s="111"/>
      <c r="R93" s="111"/>
      <c r="S93" s="111"/>
      <c r="T93" s="111"/>
      <c r="U93" s="111"/>
      <c r="V93" s="111"/>
      <c r="W93" s="111"/>
      <c r="X93" s="111"/>
      <c r="Y93" s="111"/>
      <c r="Z93" s="111"/>
      <c r="AA93" s="111"/>
      <c r="AB93" s="111"/>
      <c r="AC93" s="111"/>
      <c r="AD93" s="111"/>
      <c r="AE93" s="111"/>
      <c r="AF93" s="29"/>
      <c r="AG93" s="102">
        <f t="shared" si="1"/>
        <v>0</v>
      </c>
    </row>
    <row r="94" spans="1:33" x14ac:dyDescent="0.3">
      <c r="A94" s="626" t="s">
        <v>33</v>
      </c>
      <c r="B94" s="627">
        <f>J94+L94+N94+P94+R94+T94+V94+X94+Z94+AB94+AD94+H94</f>
        <v>0</v>
      </c>
      <c r="C94" s="117">
        <f>SUM(H94)</f>
        <v>0</v>
      </c>
      <c r="D94" s="118">
        <f>E94</f>
        <v>0</v>
      </c>
      <c r="E94" s="117">
        <f>SUM(I94,K94,M94,O94,Q94,S94,U94,W94,Y94,AA94,AC94,AE94)</f>
        <v>0</v>
      </c>
      <c r="F94" s="116">
        <f>IFERROR(E94/B94*100,0)</f>
        <v>0</v>
      </c>
      <c r="G94" s="116">
        <f>IFERROR(E94/C94*100,0)</f>
        <v>0</v>
      </c>
      <c r="H94" s="111"/>
      <c r="I94" s="111"/>
      <c r="J94" s="111"/>
      <c r="K94" s="111"/>
      <c r="L94" s="111"/>
      <c r="M94" s="111"/>
      <c r="N94" s="111"/>
      <c r="O94" s="111"/>
      <c r="P94" s="111"/>
      <c r="Q94" s="111"/>
      <c r="R94" s="111"/>
      <c r="S94" s="111"/>
      <c r="T94" s="111"/>
      <c r="U94" s="111"/>
      <c r="V94" s="111"/>
      <c r="W94" s="111"/>
      <c r="X94" s="111"/>
      <c r="Y94" s="111"/>
      <c r="Z94" s="111"/>
      <c r="AA94" s="111"/>
      <c r="AB94" s="111"/>
      <c r="AC94" s="111"/>
      <c r="AD94" s="111"/>
      <c r="AE94" s="111"/>
      <c r="AF94" s="29"/>
      <c r="AG94" s="102">
        <f t="shared" si="1"/>
        <v>0</v>
      </c>
    </row>
    <row r="95" spans="1:33" x14ac:dyDescent="0.3">
      <c r="A95" s="626" t="s">
        <v>170</v>
      </c>
      <c r="B95" s="627"/>
      <c r="C95" s="117"/>
      <c r="D95" s="118"/>
      <c r="E95" s="117"/>
      <c r="F95" s="116"/>
      <c r="G95" s="116"/>
      <c r="H95" s="111"/>
      <c r="I95" s="111"/>
      <c r="J95" s="111"/>
      <c r="K95" s="111"/>
      <c r="L95" s="111"/>
      <c r="M95" s="111"/>
      <c r="N95" s="111"/>
      <c r="O95" s="111"/>
      <c r="P95" s="111"/>
      <c r="Q95" s="111"/>
      <c r="R95" s="111"/>
      <c r="S95" s="111"/>
      <c r="T95" s="111"/>
      <c r="U95" s="111"/>
      <c r="V95" s="111"/>
      <c r="W95" s="111"/>
      <c r="X95" s="111"/>
      <c r="Y95" s="111"/>
      <c r="Z95" s="111"/>
      <c r="AA95" s="111"/>
      <c r="AB95" s="111"/>
      <c r="AC95" s="111"/>
      <c r="AD95" s="111"/>
      <c r="AE95" s="111"/>
      <c r="AF95" s="29"/>
      <c r="AG95" s="102">
        <f t="shared" si="1"/>
        <v>0</v>
      </c>
    </row>
    <row r="96" spans="1:33" ht="65.25" customHeight="1" x14ac:dyDescent="0.3">
      <c r="A96" s="787" t="s">
        <v>633</v>
      </c>
      <c r="B96" s="627"/>
      <c r="C96" s="110"/>
      <c r="D96" s="110"/>
      <c r="E96" s="110"/>
      <c r="F96" s="110"/>
      <c r="G96" s="110"/>
      <c r="H96" s="111"/>
      <c r="I96" s="111"/>
      <c r="J96" s="111"/>
      <c r="K96" s="111"/>
      <c r="L96" s="111"/>
      <c r="M96" s="111"/>
      <c r="N96" s="111"/>
      <c r="O96" s="111"/>
      <c r="P96" s="111"/>
      <c r="Q96" s="111"/>
      <c r="R96" s="111"/>
      <c r="S96" s="111"/>
      <c r="T96" s="111"/>
      <c r="U96" s="111"/>
      <c r="V96" s="111"/>
      <c r="W96" s="111"/>
      <c r="X96" s="111"/>
      <c r="Y96" s="111"/>
      <c r="Z96" s="111"/>
      <c r="AA96" s="111"/>
      <c r="AB96" s="111"/>
      <c r="AC96" s="111"/>
      <c r="AD96" s="111"/>
      <c r="AE96" s="111"/>
      <c r="AF96" s="29"/>
      <c r="AG96" s="102">
        <f t="shared" si="1"/>
        <v>0</v>
      </c>
    </row>
    <row r="97" spans="1:33" s="622" customFormat="1" x14ac:dyDescent="0.3">
      <c r="A97" s="798" t="s">
        <v>31</v>
      </c>
      <c r="B97" s="792">
        <f>B99+B100+B98+B101</f>
        <v>419625.8</v>
      </c>
      <c r="C97" s="792">
        <f>C99+C100+C98+C101</f>
        <v>287126.21000000002</v>
      </c>
      <c r="D97" s="792">
        <f>D99+D100+D98+D101</f>
        <v>285008.24</v>
      </c>
      <c r="E97" s="792">
        <f>E99+E100+E98+E101</f>
        <v>285008.24</v>
      </c>
      <c r="F97" s="792">
        <f>IFERROR(E97/B97*100,0)</f>
        <v>67.91961790719256</v>
      </c>
      <c r="G97" s="792">
        <f>IFERROR(E97/C97*100,0)</f>
        <v>99.262355742445095</v>
      </c>
      <c r="H97" s="792">
        <f t="shared" ref="H97:AE97" si="27">H99+H100+H98+H101</f>
        <v>52941.1</v>
      </c>
      <c r="I97" s="792">
        <f t="shared" si="27"/>
        <v>52207.3</v>
      </c>
      <c r="J97" s="792">
        <f t="shared" si="27"/>
        <v>67459.37</v>
      </c>
      <c r="K97" s="792">
        <f t="shared" si="27"/>
        <v>68193.149999999994</v>
      </c>
      <c r="L97" s="792">
        <f t="shared" si="27"/>
        <v>46679.61</v>
      </c>
      <c r="M97" s="792">
        <f t="shared" si="27"/>
        <v>46655.15</v>
      </c>
      <c r="N97" s="792">
        <f t="shared" si="27"/>
        <v>41708.04</v>
      </c>
      <c r="O97" s="792">
        <f t="shared" si="27"/>
        <v>41526.57</v>
      </c>
      <c r="P97" s="792">
        <f t="shared" si="27"/>
        <v>39256.01</v>
      </c>
      <c r="Q97" s="792">
        <f t="shared" si="27"/>
        <v>39256.57</v>
      </c>
      <c r="R97" s="792">
        <f t="shared" si="27"/>
        <v>39082.080000000002</v>
      </c>
      <c r="S97" s="792">
        <f t="shared" si="27"/>
        <v>37169.5</v>
      </c>
      <c r="T97" s="792">
        <f t="shared" si="27"/>
        <v>28576.39</v>
      </c>
      <c r="U97" s="792">
        <f t="shared" si="27"/>
        <v>0</v>
      </c>
      <c r="V97" s="792">
        <f t="shared" si="27"/>
        <v>20001.739999999998</v>
      </c>
      <c r="W97" s="792">
        <f t="shared" si="27"/>
        <v>0</v>
      </c>
      <c r="X97" s="792">
        <f t="shared" si="27"/>
        <v>22682.51</v>
      </c>
      <c r="Y97" s="792">
        <f t="shared" si="27"/>
        <v>0</v>
      </c>
      <c r="Z97" s="792">
        <f t="shared" si="27"/>
        <v>21918.05</v>
      </c>
      <c r="AA97" s="792">
        <f t="shared" si="27"/>
        <v>0</v>
      </c>
      <c r="AB97" s="792">
        <f t="shared" si="27"/>
        <v>22266.19</v>
      </c>
      <c r="AC97" s="792">
        <f t="shared" si="27"/>
        <v>0</v>
      </c>
      <c r="AD97" s="792">
        <f t="shared" si="27"/>
        <v>17054.71</v>
      </c>
      <c r="AE97" s="792">
        <f t="shared" si="27"/>
        <v>0</v>
      </c>
      <c r="AF97" s="620"/>
      <c r="AG97" s="621">
        <f t="shared" si="1"/>
        <v>0</v>
      </c>
    </row>
    <row r="98" spans="1:33" x14ac:dyDescent="0.3">
      <c r="A98" s="626" t="s">
        <v>169</v>
      </c>
      <c r="B98" s="627"/>
      <c r="C98" s="117"/>
      <c r="D98" s="118"/>
      <c r="E98" s="117"/>
      <c r="F98" s="116"/>
      <c r="G98" s="116"/>
      <c r="H98" s="111"/>
      <c r="I98" s="111"/>
      <c r="J98" s="111"/>
      <c r="K98" s="111"/>
      <c r="L98" s="111"/>
      <c r="M98" s="111"/>
      <c r="N98" s="111"/>
      <c r="O98" s="111"/>
      <c r="P98" s="111"/>
      <c r="Q98" s="111"/>
      <c r="R98" s="111"/>
      <c r="S98" s="111"/>
      <c r="T98" s="111"/>
      <c r="U98" s="111"/>
      <c r="V98" s="111"/>
      <c r="W98" s="111"/>
      <c r="X98" s="111"/>
      <c r="Y98" s="111"/>
      <c r="Z98" s="111"/>
      <c r="AA98" s="111"/>
      <c r="AB98" s="111"/>
      <c r="AC98" s="111"/>
      <c r="AD98" s="111"/>
      <c r="AE98" s="111"/>
      <c r="AF98" s="29"/>
      <c r="AG98" s="102">
        <f t="shared" si="1"/>
        <v>0</v>
      </c>
    </row>
    <row r="99" spans="1:33" x14ac:dyDescent="0.3">
      <c r="A99" s="626" t="s">
        <v>32</v>
      </c>
      <c r="B99" s="627"/>
      <c r="C99" s="786"/>
      <c r="D99" s="789"/>
      <c r="E99" s="117"/>
      <c r="F99" s="116"/>
      <c r="G99" s="116"/>
      <c r="H99" s="111"/>
      <c r="I99" s="111"/>
      <c r="J99" s="111"/>
      <c r="K99" s="111"/>
      <c r="L99" s="111"/>
      <c r="M99" s="111"/>
      <c r="N99" s="111"/>
      <c r="O99" s="111"/>
      <c r="P99" s="111"/>
      <c r="Q99" s="111"/>
      <c r="R99" s="111"/>
      <c r="S99" s="111"/>
      <c r="T99" s="111"/>
      <c r="U99" s="111"/>
      <c r="V99" s="111"/>
      <c r="W99" s="111"/>
      <c r="X99" s="111"/>
      <c r="Y99" s="111"/>
      <c r="Z99" s="111"/>
      <c r="AA99" s="111"/>
      <c r="AB99" s="111"/>
      <c r="AC99" s="111"/>
      <c r="AD99" s="111"/>
      <c r="AE99" s="111"/>
      <c r="AF99" s="29"/>
      <c r="AG99" s="102">
        <f t="shared" si="1"/>
        <v>0</v>
      </c>
    </row>
    <row r="100" spans="1:33" x14ac:dyDescent="0.3">
      <c r="A100" s="626" t="s">
        <v>33</v>
      </c>
      <c r="B100" s="627">
        <f>J100+L100+N100+P100+R100+T100+V100+X100+Z100+AB100+AD100+H100</f>
        <v>409625.8</v>
      </c>
      <c r="C100" s="794">
        <f>SUM(H100+J100+L100+N100+P100+R100)</f>
        <v>279603.71000000002</v>
      </c>
      <c r="D100" s="795">
        <f>E100</f>
        <v>277667.24</v>
      </c>
      <c r="E100" s="794">
        <f>SUM(I100,K100,M100,O100,Q100,S100,U100,W100,Y100,AA100,AC100,AE100)</f>
        <v>277667.24</v>
      </c>
      <c r="F100" s="793">
        <f>IFERROR(E100/B100*100,0)</f>
        <v>67.78558381820676</v>
      </c>
      <c r="G100" s="793">
        <f>IFERROR(E100/C100*100,0)</f>
        <v>99.307423352858933</v>
      </c>
      <c r="H100" s="520">
        <f>52941.1</f>
        <v>52941.1</v>
      </c>
      <c r="I100" s="520">
        <v>52207.3</v>
      </c>
      <c r="J100" s="520">
        <f>67459.37</f>
        <v>67459.37</v>
      </c>
      <c r="K100" s="520">
        <v>68193.149999999994</v>
      </c>
      <c r="L100" s="520">
        <v>43449.61</v>
      </c>
      <c r="M100" s="520">
        <v>43425.15</v>
      </c>
      <c r="N100" s="520">
        <v>37415.54</v>
      </c>
      <c r="O100" s="520">
        <v>37415.57</v>
      </c>
      <c r="P100" s="520">
        <v>39256.01</v>
      </c>
      <c r="Q100" s="520">
        <v>39256.57</v>
      </c>
      <c r="R100" s="520">
        <f>35938.43+3143.65</f>
        <v>39082.080000000002</v>
      </c>
      <c r="S100" s="520">
        <v>37169.5</v>
      </c>
      <c r="T100" s="520">
        <v>28576.39</v>
      </c>
      <c r="U100" s="520"/>
      <c r="V100" s="520">
        <f>21492.64-1490.9</f>
        <v>20001.739999999998</v>
      </c>
      <c r="W100" s="520"/>
      <c r="X100" s="520">
        <v>22682.51</v>
      </c>
      <c r="Y100" s="520"/>
      <c r="Z100" s="520">
        <f>25061.7-3143.65</f>
        <v>21918.05</v>
      </c>
      <c r="AA100" s="520"/>
      <c r="AB100" s="520">
        <v>22266.19</v>
      </c>
      <c r="AC100" s="520"/>
      <c r="AD100" s="520">
        <f>18867.51-4290.3</f>
        <v>14577.21</v>
      </c>
      <c r="AE100" s="111"/>
      <c r="AF100" s="29"/>
      <c r="AG100" s="102">
        <f t="shared" si="1"/>
        <v>2.5465851649641991E-11</v>
      </c>
    </row>
    <row r="101" spans="1:33" x14ac:dyDescent="0.3">
      <c r="A101" s="626" t="s">
        <v>170</v>
      </c>
      <c r="B101" s="627">
        <f>J101+L101+N101+P101+R101+T101+V101+X101+Z101+AB101+AD101+H101</f>
        <v>10000</v>
      </c>
      <c r="C101" s="794">
        <f>L101+N101</f>
        <v>7522.5</v>
      </c>
      <c r="D101" s="795">
        <f>E101</f>
        <v>7341</v>
      </c>
      <c r="E101" s="794">
        <f>SUM(I101,K101,M101,O101,Q101,S101,U101,W101,Y101,AA101,AC101,AE101)</f>
        <v>7341</v>
      </c>
      <c r="F101" s="793">
        <f>IFERROR(E101/B101*100,0)</f>
        <v>73.41</v>
      </c>
      <c r="G101" s="793">
        <f>IFERROR(E101/C101*100,0)</f>
        <v>97.587238285144565</v>
      </c>
      <c r="H101" s="520">
        <v>0</v>
      </c>
      <c r="I101" s="520">
        <v>0</v>
      </c>
      <c r="J101" s="520">
        <v>0</v>
      </c>
      <c r="K101" s="520"/>
      <c r="L101" s="520">
        <v>3230</v>
      </c>
      <c r="M101" s="520">
        <v>3230</v>
      </c>
      <c r="N101" s="520">
        <f>4471.5-179</f>
        <v>4292.5</v>
      </c>
      <c r="O101" s="520">
        <v>4111</v>
      </c>
      <c r="P101" s="520">
        <v>0</v>
      </c>
      <c r="Q101" s="520"/>
      <c r="R101" s="520">
        <v>0</v>
      </c>
      <c r="S101" s="520"/>
      <c r="T101" s="520">
        <v>0</v>
      </c>
      <c r="U101" s="520"/>
      <c r="V101" s="520"/>
      <c r="W101" s="520"/>
      <c r="X101" s="520">
        <v>0</v>
      </c>
      <c r="Y101" s="520"/>
      <c r="Z101" s="520">
        <v>0</v>
      </c>
      <c r="AA101" s="520"/>
      <c r="AB101" s="520">
        <v>0</v>
      </c>
      <c r="AC101" s="520"/>
      <c r="AD101" s="520">
        <f>2477.5</f>
        <v>2477.5</v>
      </c>
      <c r="AE101" s="111"/>
      <c r="AF101" s="29"/>
      <c r="AG101" s="102">
        <f t="shared" si="1"/>
        <v>0</v>
      </c>
    </row>
    <row r="102" spans="1:33" ht="287.25" customHeight="1" x14ac:dyDescent="0.3">
      <c r="A102" s="787" t="s">
        <v>528</v>
      </c>
      <c r="B102" s="627"/>
      <c r="C102" s="110"/>
      <c r="D102" s="110"/>
      <c r="E102" s="110"/>
      <c r="F102" s="110"/>
      <c r="G102" s="110"/>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c r="AD102" s="111"/>
      <c r="AE102" s="111"/>
      <c r="AF102" s="684" t="s">
        <v>501</v>
      </c>
      <c r="AG102" s="102">
        <f t="shared" si="1"/>
        <v>0</v>
      </c>
    </row>
    <row r="103" spans="1:33" x14ac:dyDescent="0.3">
      <c r="A103" s="126" t="s">
        <v>31</v>
      </c>
      <c r="B103" s="624">
        <f>B105+B106+B104+B107</f>
        <v>2032809.6001999998</v>
      </c>
      <c r="C103" s="624">
        <f>C105+C106+C104+C107</f>
        <v>1329457.9859999998</v>
      </c>
      <c r="D103" s="624">
        <f>D105+D106+D104+D107</f>
        <v>1074523.21</v>
      </c>
      <c r="E103" s="113">
        <f>E105+E106+E104+E107</f>
        <v>1074523.21</v>
      </c>
      <c r="F103" s="113">
        <f>IFERROR(E103/B103*100,0)</f>
        <v>52.859018862085364</v>
      </c>
      <c r="G103" s="113">
        <f>IFERROR(E103/C103*100,0)</f>
        <v>80.82415701100615</v>
      </c>
      <c r="H103" s="113">
        <f t="shared" ref="H103:AE103" si="28">H105+H106+H104+H107</f>
        <v>154921.35999999999</v>
      </c>
      <c r="I103" s="113">
        <f t="shared" si="28"/>
        <v>32726.3</v>
      </c>
      <c r="J103" s="113">
        <f t="shared" si="28"/>
        <v>209296.92600000001</v>
      </c>
      <c r="K103" s="113">
        <f t="shared" si="28"/>
        <v>174495.7</v>
      </c>
      <c r="L103" s="113">
        <f t="shared" si="28"/>
        <v>185523.4</v>
      </c>
      <c r="M103" s="113">
        <f t="shared" si="28"/>
        <v>145599.5</v>
      </c>
      <c r="N103" s="113">
        <f t="shared" si="28"/>
        <v>225302.69</v>
      </c>
      <c r="O103" s="113">
        <f t="shared" si="28"/>
        <v>162726.53</v>
      </c>
      <c r="P103" s="113">
        <f t="shared" si="28"/>
        <v>380330.2</v>
      </c>
      <c r="Q103" s="113">
        <f t="shared" si="28"/>
        <v>380330.2</v>
      </c>
      <c r="R103" s="113">
        <f t="shared" si="28"/>
        <v>174083.41</v>
      </c>
      <c r="S103" s="113">
        <f t="shared" si="28"/>
        <v>178644.98</v>
      </c>
      <c r="T103" s="113">
        <f t="shared" si="28"/>
        <v>124068</v>
      </c>
      <c r="U103" s="113">
        <f t="shared" si="28"/>
        <v>0</v>
      </c>
      <c r="V103" s="113">
        <f t="shared" si="28"/>
        <v>88859</v>
      </c>
      <c r="W103" s="113">
        <f t="shared" si="28"/>
        <v>0</v>
      </c>
      <c r="X103" s="113">
        <f t="shared" si="28"/>
        <v>116638.19500000001</v>
      </c>
      <c r="Y103" s="113">
        <f t="shared" si="28"/>
        <v>0</v>
      </c>
      <c r="Z103" s="113">
        <f t="shared" si="28"/>
        <v>111314.9</v>
      </c>
      <c r="AA103" s="113">
        <f t="shared" si="28"/>
        <v>0</v>
      </c>
      <c r="AB103" s="113">
        <f t="shared" si="28"/>
        <v>104424.5</v>
      </c>
      <c r="AC103" s="113">
        <f t="shared" si="28"/>
        <v>0</v>
      </c>
      <c r="AD103" s="113">
        <f t="shared" si="28"/>
        <v>158047.01920000001</v>
      </c>
      <c r="AE103" s="113">
        <f t="shared" si="28"/>
        <v>0</v>
      </c>
      <c r="AF103" s="29"/>
      <c r="AG103" s="102">
        <f t="shared" si="1"/>
        <v>0</v>
      </c>
    </row>
    <row r="104" spans="1:33" x14ac:dyDescent="0.3">
      <c r="A104" s="127" t="s">
        <v>169</v>
      </c>
      <c r="B104" s="116"/>
      <c r="C104" s="117"/>
      <c r="D104" s="118"/>
      <c r="E104" s="117"/>
      <c r="F104" s="116"/>
      <c r="G104" s="116"/>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c r="AD104" s="111"/>
      <c r="AE104" s="111"/>
      <c r="AF104" s="29"/>
      <c r="AG104" s="102">
        <f t="shared" si="1"/>
        <v>0</v>
      </c>
    </row>
    <row r="105" spans="1:33" s="159" customFormat="1" x14ac:dyDescent="0.3">
      <c r="A105" s="127" t="s">
        <v>32</v>
      </c>
      <c r="B105" s="116">
        <f>J105+L105+N105+P105+R105+T105+V105+X105+Z105+AB105+AD105+H105</f>
        <v>2032809.6001999998</v>
      </c>
      <c r="C105" s="117">
        <f>H105+J105+L105+N105+P105+R105</f>
        <v>1329457.9859999998</v>
      </c>
      <c r="D105" s="118">
        <f>E105</f>
        <v>1074523.21</v>
      </c>
      <c r="E105" s="117">
        <f>SUM(I105,K105,M105,O105,Q105,S105,U105,W105,Y105,AA105,AC105,AE105)</f>
        <v>1074523.21</v>
      </c>
      <c r="F105" s="116">
        <f>IFERROR(E105/B105*100,0)</f>
        <v>52.859018862085364</v>
      </c>
      <c r="G105" s="116">
        <f>IFERROR(E105/C105*100,0)</f>
        <v>80.82415701100615</v>
      </c>
      <c r="H105" s="137">
        <v>154921.35999999999</v>
      </c>
      <c r="I105" s="137">
        <v>32726.3</v>
      </c>
      <c r="J105" s="137">
        <v>209296.92600000001</v>
      </c>
      <c r="K105" s="137">
        <v>174495.7</v>
      </c>
      <c r="L105" s="137">
        <v>185523.4</v>
      </c>
      <c r="M105" s="137">
        <v>145599.5</v>
      </c>
      <c r="N105" s="137">
        <f>59.99+225242.7</f>
        <v>225302.69</v>
      </c>
      <c r="O105" s="137">
        <v>162726.53</v>
      </c>
      <c r="P105" s="137">
        <v>380330.2</v>
      </c>
      <c r="Q105" s="137">
        <v>380330.2</v>
      </c>
      <c r="R105" s="137">
        <f>174143.4-59.99</f>
        <v>174083.41</v>
      </c>
      <c r="S105" s="137">
        <v>178644.98</v>
      </c>
      <c r="T105" s="137">
        <v>124068</v>
      </c>
      <c r="U105" s="137"/>
      <c r="V105" s="137">
        <v>88859</v>
      </c>
      <c r="W105" s="137"/>
      <c r="X105" s="137">
        <v>116638.19500000001</v>
      </c>
      <c r="Y105" s="137"/>
      <c r="Z105" s="137">
        <v>111314.9</v>
      </c>
      <c r="AA105" s="137"/>
      <c r="AB105" s="137">
        <v>104424.5</v>
      </c>
      <c r="AC105" s="137"/>
      <c r="AD105" s="137">
        <v>158047.01920000001</v>
      </c>
      <c r="AE105" s="137"/>
      <c r="AF105" s="90"/>
      <c r="AG105" s="802">
        <f t="shared" si="1"/>
        <v>0</v>
      </c>
    </row>
    <row r="106" spans="1:33" x14ac:dyDescent="0.3">
      <c r="A106" s="115" t="s">
        <v>33</v>
      </c>
      <c r="B106" s="116">
        <f>J106+L106+N106+P106+R106+T106+V106+X106+Z106+AB106+AD106+H106</f>
        <v>0</v>
      </c>
      <c r="C106" s="117">
        <f>SUM(H106)</f>
        <v>0</v>
      </c>
      <c r="D106" s="118">
        <f>E106</f>
        <v>0</v>
      </c>
      <c r="E106" s="117">
        <f>SUM(I106,K106,M106,O106,Q106,S106,U106,W106,Y106,AA106,AC106,AE106)</f>
        <v>0</v>
      </c>
      <c r="F106" s="116">
        <f>IFERROR(E106/B106*100,0)</f>
        <v>0</v>
      </c>
      <c r="G106" s="116">
        <f>IFERROR(E106/C106*100,0)</f>
        <v>0</v>
      </c>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c r="AD106" s="111"/>
      <c r="AE106" s="111"/>
      <c r="AF106" s="29"/>
      <c r="AG106" s="102">
        <f t="shared" si="1"/>
        <v>0</v>
      </c>
    </row>
    <row r="107" spans="1:33" x14ac:dyDescent="0.3">
      <c r="A107" s="115" t="s">
        <v>170</v>
      </c>
      <c r="B107" s="116"/>
      <c r="C107" s="117"/>
      <c r="D107" s="118"/>
      <c r="E107" s="117"/>
      <c r="F107" s="116"/>
      <c r="G107" s="116"/>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29"/>
      <c r="AG107" s="102">
        <f t="shared" si="1"/>
        <v>0</v>
      </c>
    </row>
    <row r="108" spans="1:33" ht="175.5" customHeight="1" x14ac:dyDescent="0.3">
      <c r="A108" s="787" t="s">
        <v>626</v>
      </c>
      <c r="B108" s="627"/>
      <c r="C108" s="110"/>
      <c r="D108" s="110"/>
      <c r="E108" s="110"/>
      <c r="F108" s="110"/>
      <c r="G108" s="110"/>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c r="AD108" s="111"/>
      <c r="AE108" s="111"/>
      <c r="AF108" s="29"/>
      <c r="AG108" s="102">
        <f t="shared" si="1"/>
        <v>0</v>
      </c>
    </row>
    <row r="109" spans="1:33" x14ac:dyDescent="0.3">
      <c r="A109" s="623" t="s">
        <v>31</v>
      </c>
      <c r="B109" s="624">
        <f>B111+B112+B110+B113</f>
        <v>41985.999629999991</v>
      </c>
      <c r="C109" s="113">
        <f>C111+C112+C110+C113</f>
        <v>27718.842919999999</v>
      </c>
      <c r="D109" s="113">
        <f>D111+D112+D110+D113</f>
        <v>22134.9</v>
      </c>
      <c r="E109" s="113">
        <f>E111+E112+E110+E113</f>
        <v>22134.9</v>
      </c>
      <c r="F109" s="113">
        <f>IFERROR(E109/B109*100,0)</f>
        <v>52.719716560431948</v>
      </c>
      <c r="G109" s="113">
        <f>IFERROR(E109/C109*100,0)</f>
        <v>79.855064888112594</v>
      </c>
      <c r="H109" s="113">
        <f t="shared" ref="H109:AE109" si="29">H111+H112+H110+H113</f>
        <v>4196.0200000000004</v>
      </c>
      <c r="I109" s="113">
        <f t="shared" si="29"/>
        <v>1246.8</v>
      </c>
      <c r="J109" s="113">
        <f t="shared" si="29"/>
        <v>5361.4637899999998</v>
      </c>
      <c r="K109" s="113">
        <f t="shared" si="29"/>
        <v>3305.4</v>
      </c>
      <c r="L109" s="113">
        <f t="shared" si="29"/>
        <v>5339.3157899999997</v>
      </c>
      <c r="M109" s="113">
        <f t="shared" si="29"/>
        <v>4656.92</v>
      </c>
      <c r="N109" s="113">
        <f t="shared" si="29"/>
        <v>4827.5657899999997</v>
      </c>
      <c r="O109" s="113">
        <f t="shared" si="29"/>
        <v>4183.6499999999996</v>
      </c>
      <c r="P109" s="113">
        <f t="shared" si="29"/>
        <v>4491.1637700000001</v>
      </c>
      <c r="Q109" s="113">
        <f t="shared" si="29"/>
        <v>4491.16</v>
      </c>
      <c r="R109" s="113">
        <f t="shared" si="29"/>
        <v>3503.31378</v>
      </c>
      <c r="S109" s="113">
        <f t="shared" si="29"/>
        <v>4250.97</v>
      </c>
      <c r="T109" s="113">
        <f t="shared" si="29"/>
        <v>2771.1637900000001</v>
      </c>
      <c r="U109" s="113">
        <f t="shared" si="29"/>
        <v>0</v>
      </c>
      <c r="V109" s="113">
        <f t="shared" si="29"/>
        <v>2371.16579</v>
      </c>
      <c r="W109" s="113">
        <f t="shared" si="29"/>
        <v>0</v>
      </c>
      <c r="X109" s="113">
        <f t="shared" si="29"/>
        <v>2866.3137900000002</v>
      </c>
      <c r="Y109" s="113">
        <f t="shared" si="29"/>
        <v>0</v>
      </c>
      <c r="Z109" s="113">
        <f t="shared" si="29"/>
        <v>2401.0537899999999</v>
      </c>
      <c r="AA109" s="113">
        <f t="shared" si="29"/>
        <v>0</v>
      </c>
      <c r="AB109" s="113">
        <f t="shared" si="29"/>
        <v>2055.01379</v>
      </c>
      <c r="AC109" s="113">
        <f t="shared" si="29"/>
        <v>0</v>
      </c>
      <c r="AD109" s="113">
        <f t="shared" si="29"/>
        <v>1802.4457600000001</v>
      </c>
      <c r="AE109" s="113">
        <f t="shared" si="29"/>
        <v>0</v>
      </c>
      <c r="AF109" s="29"/>
      <c r="AG109" s="102">
        <f t="shared" si="1"/>
        <v>-1.6825651982799172E-11</v>
      </c>
    </row>
    <row r="110" spans="1:33" x14ac:dyDescent="0.3">
      <c r="A110" s="626" t="s">
        <v>169</v>
      </c>
      <c r="B110" s="627"/>
      <c r="C110" s="117"/>
      <c r="D110" s="118"/>
      <c r="E110" s="117"/>
      <c r="F110" s="116"/>
      <c r="G110" s="116"/>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c r="AD110" s="111"/>
      <c r="AE110" s="111"/>
      <c r="AF110" s="29"/>
      <c r="AG110" s="102">
        <f t="shared" si="1"/>
        <v>0</v>
      </c>
    </row>
    <row r="111" spans="1:33" x14ac:dyDescent="0.3">
      <c r="A111" s="626" t="s">
        <v>32</v>
      </c>
      <c r="B111" s="627">
        <f>J111+L111+N111+P111+R111+T111+V111+X111+Z111+AB111+AD111+H111</f>
        <v>41985.999629999991</v>
      </c>
      <c r="C111" s="117">
        <f>H111+J111+L111+N111+P111+R111</f>
        <v>27718.842919999999</v>
      </c>
      <c r="D111" s="118">
        <f>E111</f>
        <v>22134.9</v>
      </c>
      <c r="E111" s="117">
        <f>SUM(I111,K111,M111,O111,Q111,S111,U111,W111,Y111,AA111,AC111,AE111)</f>
        <v>22134.9</v>
      </c>
      <c r="F111" s="116">
        <f>IFERROR(E111/B111*100,0)</f>
        <v>52.719716560431948</v>
      </c>
      <c r="G111" s="116">
        <f>IFERROR(E111/C111*100,0)</f>
        <v>79.855064888112594</v>
      </c>
      <c r="H111" s="137">
        <f>3940+256.02</f>
        <v>4196.0200000000004</v>
      </c>
      <c r="I111" s="137">
        <v>1246.8</v>
      </c>
      <c r="J111" s="111">
        <v>5361.4637899999998</v>
      </c>
      <c r="K111" s="111">
        <v>3305.4</v>
      </c>
      <c r="L111" s="111">
        <v>5339.3157899999997</v>
      </c>
      <c r="M111" s="111">
        <v>4656.92</v>
      </c>
      <c r="N111" s="111">
        <v>4827.5657899999997</v>
      </c>
      <c r="O111" s="111">
        <v>4183.6499999999996</v>
      </c>
      <c r="P111" s="111">
        <v>4491.1637700000001</v>
      </c>
      <c r="Q111" s="111">
        <v>4491.16</v>
      </c>
      <c r="R111" s="111">
        <f>3503.31378</f>
        <v>3503.31378</v>
      </c>
      <c r="S111" s="111">
        <v>4250.97</v>
      </c>
      <c r="T111" s="111">
        <v>2771.1637900000001</v>
      </c>
      <c r="U111" s="111"/>
      <c r="V111" s="111">
        <v>2371.16579</v>
      </c>
      <c r="W111" s="111"/>
      <c r="X111" s="111">
        <v>2866.3137900000002</v>
      </c>
      <c r="Y111" s="111"/>
      <c r="Z111" s="111">
        <f>2401.06379-0.01</f>
        <v>2401.0537899999999</v>
      </c>
      <c r="AA111" s="111"/>
      <c r="AB111" s="111">
        <v>2055.01379</v>
      </c>
      <c r="AC111" s="111"/>
      <c r="AD111" s="111">
        <v>1802.4457600000001</v>
      </c>
      <c r="AE111" s="111"/>
      <c r="AF111" s="29"/>
      <c r="AG111" s="102">
        <f t="shared" si="1"/>
        <v>-1.6825651982799172E-11</v>
      </c>
    </row>
    <row r="112" spans="1:33" x14ac:dyDescent="0.3">
      <c r="A112" s="115" t="s">
        <v>33</v>
      </c>
      <c r="B112" s="116">
        <f>J112+L112+N112+P112+R112+T112+V112+X112+Z112+AB112+AD112+H112</f>
        <v>0</v>
      </c>
      <c r="C112" s="117">
        <f>SUM(H112)</f>
        <v>0</v>
      </c>
      <c r="D112" s="118">
        <f>E112</f>
        <v>0</v>
      </c>
      <c r="E112" s="117">
        <f>SUM(I112,K112,M112,O112,Q112,S112,U112,W112,Y112,AA112,AC112,AE112)</f>
        <v>0</v>
      </c>
      <c r="F112" s="116">
        <f>IFERROR(E112/B112*100,0)</f>
        <v>0</v>
      </c>
      <c r="G112" s="116">
        <f>IFERROR(E112/C112*100,0)</f>
        <v>0</v>
      </c>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c r="AD112" s="111"/>
      <c r="AE112" s="111"/>
      <c r="AF112" s="29"/>
      <c r="AG112" s="102">
        <f t="shared" si="1"/>
        <v>0</v>
      </c>
    </row>
    <row r="113" spans="1:34" x14ac:dyDescent="0.3">
      <c r="A113" s="115" t="s">
        <v>170</v>
      </c>
      <c r="B113" s="116"/>
      <c r="C113" s="117"/>
      <c r="D113" s="118"/>
      <c r="E113" s="117"/>
      <c r="F113" s="116"/>
      <c r="G113" s="116"/>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c r="AD113" s="111"/>
      <c r="AE113" s="111"/>
      <c r="AF113" s="29"/>
      <c r="AG113" s="102">
        <f t="shared" si="1"/>
        <v>0</v>
      </c>
    </row>
    <row r="114" spans="1:34" ht="123" customHeight="1" x14ac:dyDescent="0.3">
      <c r="A114" s="787" t="s">
        <v>284</v>
      </c>
      <c r="B114" s="627"/>
      <c r="C114" s="635"/>
      <c r="D114" s="635"/>
      <c r="E114" s="635"/>
      <c r="F114" s="635"/>
      <c r="G114" s="635"/>
      <c r="H114" s="520"/>
      <c r="I114" s="520"/>
      <c r="J114" s="520"/>
      <c r="K114" s="520"/>
      <c r="L114" s="520"/>
      <c r="M114" s="520"/>
      <c r="N114" s="520"/>
      <c r="O114" s="520"/>
      <c r="P114" s="520"/>
      <c r="Q114" s="111"/>
      <c r="R114" s="111"/>
      <c r="S114" s="111"/>
      <c r="T114" s="111"/>
      <c r="U114" s="111"/>
      <c r="V114" s="111"/>
      <c r="W114" s="111"/>
      <c r="X114" s="111"/>
      <c r="Y114" s="111"/>
      <c r="Z114" s="111"/>
      <c r="AA114" s="111"/>
      <c r="AB114" s="111"/>
      <c r="AC114" s="111"/>
      <c r="AD114" s="111"/>
      <c r="AE114" s="111"/>
      <c r="AF114" s="694" t="s">
        <v>508</v>
      </c>
      <c r="AG114" s="102">
        <f t="shared" si="1"/>
        <v>0</v>
      </c>
    </row>
    <row r="115" spans="1:34" x14ac:dyDescent="0.3">
      <c r="A115" s="623" t="s">
        <v>31</v>
      </c>
      <c r="B115" s="624">
        <f>B117+B118+B116+B119</f>
        <v>11760</v>
      </c>
      <c r="C115" s="624">
        <f>C117+C118+C116+C119</f>
        <v>5880</v>
      </c>
      <c r="D115" s="624">
        <f>D117+D118+D116+D119</f>
        <v>3388</v>
      </c>
      <c r="E115" s="624">
        <f>E117+E118+E116+E119</f>
        <v>3388</v>
      </c>
      <c r="F115" s="624">
        <f>IFERROR(E115/B115*100,0)</f>
        <v>28.809523809523807</v>
      </c>
      <c r="G115" s="624">
        <f>IFERROR(E115/C115*100,0)</f>
        <v>57.619047619047613</v>
      </c>
      <c r="H115" s="624">
        <f t="shared" ref="H115:AE115" si="30">H117+H118+H116+H119</f>
        <v>980</v>
      </c>
      <c r="I115" s="624">
        <f t="shared" si="30"/>
        <v>0</v>
      </c>
      <c r="J115" s="624">
        <f t="shared" si="30"/>
        <v>980</v>
      </c>
      <c r="K115" s="624">
        <f t="shared" si="30"/>
        <v>720</v>
      </c>
      <c r="L115" s="624">
        <f t="shared" si="30"/>
        <v>980</v>
      </c>
      <c r="M115" s="624">
        <f t="shared" si="30"/>
        <v>652</v>
      </c>
      <c r="N115" s="624">
        <f t="shared" si="30"/>
        <v>980</v>
      </c>
      <c r="O115" s="624">
        <f t="shared" si="30"/>
        <v>652</v>
      </c>
      <c r="P115" s="624">
        <f t="shared" si="30"/>
        <v>980</v>
      </c>
      <c r="Q115" s="113">
        <f t="shared" si="30"/>
        <v>980</v>
      </c>
      <c r="R115" s="113">
        <f t="shared" si="30"/>
        <v>980</v>
      </c>
      <c r="S115" s="113">
        <f t="shared" si="30"/>
        <v>384</v>
      </c>
      <c r="T115" s="113">
        <f t="shared" si="30"/>
        <v>980</v>
      </c>
      <c r="U115" s="113">
        <f t="shared" si="30"/>
        <v>0</v>
      </c>
      <c r="V115" s="113">
        <f t="shared" si="30"/>
        <v>980</v>
      </c>
      <c r="W115" s="113">
        <f t="shared" si="30"/>
        <v>0</v>
      </c>
      <c r="X115" s="113">
        <f t="shared" si="30"/>
        <v>980</v>
      </c>
      <c r="Y115" s="113">
        <f t="shared" si="30"/>
        <v>0</v>
      </c>
      <c r="Z115" s="113">
        <f t="shared" si="30"/>
        <v>980</v>
      </c>
      <c r="AA115" s="113">
        <f t="shared" si="30"/>
        <v>0</v>
      </c>
      <c r="AB115" s="113">
        <f t="shared" si="30"/>
        <v>980</v>
      </c>
      <c r="AC115" s="113">
        <f t="shared" si="30"/>
        <v>0</v>
      </c>
      <c r="AD115" s="113">
        <f t="shared" si="30"/>
        <v>980</v>
      </c>
      <c r="AE115" s="113">
        <f t="shared" si="30"/>
        <v>0</v>
      </c>
      <c r="AF115" s="29"/>
      <c r="AG115" s="102">
        <f t="shared" si="1"/>
        <v>0</v>
      </c>
    </row>
    <row r="116" spans="1:34" x14ac:dyDescent="0.3">
      <c r="A116" s="626" t="s">
        <v>169</v>
      </c>
      <c r="B116" s="627"/>
      <c r="C116" s="786"/>
      <c r="D116" s="789"/>
      <c r="E116" s="786"/>
      <c r="F116" s="627"/>
      <c r="G116" s="627"/>
      <c r="H116" s="520"/>
      <c r="I116" s="520"/>
      <c r="J116" s="520"/>
      <c r="K116" s="520"/>
      <c r="L116" s="520"/>
      <c r="M116" s="520"/>
      <c r="N116" s="520"/>
      <c r="O116" s="520"/>
      <c r="P116" s="520"/>
      <c r="Q116" s="111"/>
      <c r="R116" s="111"/>
      <c r="S116" s="111"/>
      <c r="T116" s="111"/>
      <c r="U116" s="111"/>
      <c r="V116" s="111"/>
      <c r="W116" s="111"/>
      <c r="X116" s="111"/>
      <c r="Y116" s="111"/>
      <c r="Z116" s="111"/>
      <c r="AA116" s="111"/>
      <c r="AB116" s="111"/>
      <c r="AC116" s="111"/>
      <c r="AD116" s="111"/>
      <c r="AE116" s="111"/>
      <c r="AF116" s="29"/>
      <c r="AG116" s="102">
        <f t="shared" si="1"/>
        <v>0</v>
      </c>
    </row>
    <row r="117" spans="1:34" x14ac:dyDescent="0.3">
      <c r="A117" s="626" t="s">
        <v>32</v>
      </c>
      <c r="B117" s="627">
        <f>J117+L117+N117+P117+R117+T117+V117+X117+Z117+AB117+AD117+H117</f>
        <v>11760</v>
      </c>
      <c r="C117" s="786">
        <f>H117+J117+L117+N117+P117+R117</f>
        <v>5880</v>
      </c>
      <c r="D117" s="789">
        <f>E117</f>
        <v>3388</v>
      </c>
      <c r="E117" s="786">
        <f>SUM(I117,K117,M117,O117,Q117,S117,U117,W117,Y117,AA117,AC117,AE117)</f>
        <v>3388</v>
      </c>
      <c r="F117" s="627">
        <f>IFERROR(E117/B117*100,0)</f>
        <v>28.809523809523807</v>
      </c>
      <c r="G117" s="627">
        <f>IFERROR(E117/C117*100,0)</f>
        <v>57.619047619047613</v>
      </c>
      <c r="H117" s="520">
        <v>980</v>
      </c>
      <c r="I117" s="520"/>
      <c r="J117" s="520">
        <v>980</v>
      </c>
      <c r="K117" s="520">
        <v>720</v>
      </c>
      <c r="L117" s="520">
        <v>980</v>
      </c>
      <c r="M117" s="520">
        <v>652</v>
      </c>
      <c r="N117" s="520">
        <v>980</v>
      </c>
      <c r="O117" s="520">
        <v>652</v>
      </c>
      <c r="P117" s="520">
        <v>980</v>
      </c>
      <c r="Q117" s="111">
        <v>980</v>
      </c>
      <c r="R117" s="111">
        <v>980</v>
      </c>
      <c r="S117" s="111">
        <v>384</v>
      </c>
      <c r="T117" s="111">
        <v>980</v>
      </c>
      <c r="U117" s="111"/>
      <c r="V117" s="111">
        <v>980</v>
      </c>
      <c r="W117" s="111"/>
      <c r="X117" s="111">
        <v>980</v>
      </c>
      <c r="Y117" s="111"/>
      <c r="Z117" s="111">
        <v>980</v>
      </c>
      <c r="AA117" s="111"/>
      <c r="AB117" s="111">
        <v>980</v>
      </c>
      <c r="AC117" s="111"/>
      <c r="AD117" s="111">
        <v>980</v>
      </c>
      <c r="AE117" s="111"/>
      <c r="AF117" s="29"/>
      <c r="AG117" s="102">
        <f t="shared" si="1"/>
        <v>0</v>
      </c>
      <c r="AH117" s="693">
        <f>C117-E117</f>
        <v>2492</v>
      </c>
    </row>
    <row r="118" spans="1:34" x14ac:dyDescent="0.3">
      <c r="A118" s="626" t="s">
        <v>33</v>
      </c>
      <c r="B118" s="627">
        <f>J118+L118+N118+P118+R118+T118+V118+X118+Z118+AB118+AD118+H118</f>
        <v>0</v>
      </c>
      <c r="C118" s="786">
        <f>SUM(H118)</f>
        <v>0</v>
      </c>
      <c r="D118" s="789">
        <f>E118</f>
        <v>0</v>
      </c>
      <c r="E118" s="786">
        <f>SUM(I118,K118,M118,O118,Q118,S118,U118,W118,Y118,AA118,AC118,AE118)</f>
        <v>0</v>
      </c>
      <c r="F118" s="627">
        <f>IFERROR(E118/B118*100,0)</f>
        <v>0</v>
      </c>
      <c r="G118" s="627">
        <f>IFERROR(E118/C118*100,0)</f>
        <v>0</v>
      </c>
      <c r="H118" s="520"/>
      <c r="I118" s="520"/>
      <c r="J118" s="520"/>
      <c r="K118" s="520"/>
      <c r="L118" s="520"/>
      <c r="M118" s="520"/>
      <c r="N118" s="520"/>
      <c r="O118" s="520"/>
      <c r="P118" s="520"/>
      <c r="Q118" s="111"/>
      <c r="R118" s="111"/>
      <c r="S118" s="111"/>
      <c r="T118" s="111"/>
      <c r="U118" s="111"/>
      <c r="V118" s="111"/>
      <c r="W118" s="111"/>
      <c r="X118" s="111"/>
      <c r="Y118" s="111"/>
      <c r="Z118" s="111"/>
      <c r="AA118" s="111"/>
      <c r="AB118" s="111"/>
      <c r="AC118" s="111"/>
      <c r="AD118" s="111"/>
      <c r="AE118" s="111"/>
      <c r="AF118" s="29"/>
      <c r="AG118" s="102">
        <f t="shared" si="1"/>
        <v>0</v>
      </c>
    </row>
    <row r="119" spans="1:34" x14ac:dyDescent="0.3">
      <c r="A119" s="626" t="s">
        <v>170</v>
      </c>
      <c r="B119" s="627"/>
      <c r="C119" s="786"/>
      <c r="D119" s="789"/>
      <c r="E119" s="786"/>
      <c r="F119" s="627"/>
      <c r="G119" s="627"/>
      <c r="H119" s="520"/>
      <c r="I119" s="520"/>
      <c r="J119" s="520"/>
      <c r="K119" s="520"/>
      <c r="L119" s="520"/>
      <c r="M119" s="520"/>
      <c r="N119" s="520"/>
      <c r="O119" s="520"/>
      <c r="P119" s="520"/>
      <c r="Q119" s="111"/>
      <c r="R119" s="111"/>
      <c r="S119" s="111"/>
      <c r="T119" s="111"/>
      <c r="U119" s="111"/>
      <c r="V119" s="111"/>
      <c r="W119" s="111"/>
      <c r="X119" s="111"/>
      <c r="Y119" s="111"/>
      <c r="Z119" s="111"/>
      <c r="AA119" s="111"/>
      <c r="AB119" s="111"/>
      <c r="AC119" s="111"/>
      <c r="AD119" s="111"/>
      <c r="AE119" s="111"/>
      <c r="AF119" s="29"/>
      <c r="AG119" s="102">
        <f t="shared" si="1"/>
        <v>0</v>
      </c>
    </row>
    <row r="120" spans="1:34" ht="123" customHeight="1" x14ac:dyDescent="0.3">
      <c r="A120" s="787" t="s">
        <v>285</v>
      </c>
      <c r="B120" s="627"/>
      <c r="C120" s="635"/>
      <c r="D120" s="635"/>
      <c r="E120" s="635"/>
      <c r="F120" s="635"/>
      <c r="G120" s="635"/>
      <c r="H120" s="520"/>
      <c r="I120" s="520"/>
      <c r="J120" s="520"/>
      <c r="K120" s="520"/>
      <c r="L120" s="520"/>
      <c r="M120" s="520"/>
      <c r="N120" s="520"/>
      <c r="O120" s="520"/>
      <c r="P120" s="520"/>
      <c r="Q120" s="111"/>
      <c r="R120" s="111"/>
      <c r="S120" s="111"/>
      <c r="T120" s="111"/>
      <c r="U120" s="111"/>
      <c r="V120" s="111"/>
      <c r="W120" s="111"/>
      <c r="X120" s="111"/>
      <c r="Y120" s="111"/>
      <c r="Z120" s="111"/>
      <c r="AA120" s="111"/>
      <c r="AB120" s="111"/>
      <c r="AC120" s="111"/>
      <c r="AD120" s="111"/>
      <c r="AE120" s="111"/>
      <c r="AF120" s="29"/>
      <c r="AG120" s="102">
        <f t="shared" si="1"/>
        <v>0</v>
      </c>
    </row>
    <row r="121" spans="1:34" x14ac:dyDescent="0.3">
      <c r="A121" s="126" t="s">
        <v>31</v>
      </c>
      <c r="B121" s="113">
        <f>B123+B124+B122+B125</f>
        <v>60894.599999999991</v>
      </c>
      <c r="C121" s="113">
        <f>C123+C124+C122+C125</f>
        <v>15859.8</v>
      </c>
      <c r="D121" s="113">
        <f>D123+D124+D122+D125</f>
        <v>15842.470000000001</v>
      </c>
      <c r="E121" s="113">
        <f>E123+E124+E122+E125</f>
        <v>15842.470000000001</v>
      </c>
      <c r="F121" s="113">
        <f>IFERROR(E121/B121*100,0)</f>
        <v>26.016214902470828</v>
      </c>
      <c r="G121" s="113">
        <f>IFERROR(E121/C121*100,0)</f>
        <v>99.890730021816182</v>
      </c>
      <c r="H121" s="113">
        <f t="shared" ref="H121:AE121" si="31">H123+H124+H122+H125</f>
        <v>0</v>
      </c>
      <c r="I121" s="113">
        <f t="shared" si="31"/>
        <v>0</v>
      </c>
      <c r="J121" s="113">
        <f t="shared" si="31"/>
        <v>2974.6</v>
      </c>
      <c r="K121" s="113">
        <f t="shared" si="31"/>
        <v>2974.1</v>
      </c>
      <c r="L121" s="113">
        <f t="shared" si="31"/>
        <v>3148.4</v>
      </c>
      <c r="M121" s="113">
        <f t="shared" si="31"/>
        <v>3148.4</v>
      </c>
      <c r="N121" s="113">
        <f t="shared" si="31"/>
        <v>2989.8</v>
      </c>
      <c r="O121" s="113">
        <f t="shared" si="31"/>
        <v>2989.81</v>
      </c>
      <c r="P121" s="113">
        <f t="shared" si="31"/>
        <v>2989.8</v>
      </c>
      <c r="Q121" s="113">
        <f t="shared" si="31"/>
        <v>2989.8</v>
      </c>
      <c r="R121" s="113">
        <f t="shared" si="31"/>
        <v>3757.2</v>
      </c>
      <c r="S121" s="113">
        <f t="shared" si="31"/>
        <v>3740.36</v>
      </c>
      <c r="T121" s="113">
        <f t="shared" si="31"/>
        <v>0</v>
      </c>
      <c r="U121" s="113">
        <f t="shared" si="31"/>
        <v>0</v>
      </c>
      <c r="V121" s="113">
        <f t="shared" si="31"/>
        <v>0</v>
      </c>
      <c r="W121" s="113">
        <f t="shared" si="31"/>
        <v>0</v>
      </c>
      <c r="X121" s="113">
        <f t="shared" si="31"/>
        <v>0</v>
      </c>
      <c r="Y121" s="113">
        <f t="shared" si="31"/>
        <v>0</v>
      </c>
      <c r="Z121" s="113">
        <f t="shared" si="31"/>
        <v>0</v>
      </c>
      <c r="AA121" s="113">
        <f t="shared" si="31"/>
        <v>0</v>
      </c>
      <c r="AB121" s="113">
        <f t="shared" si="31"/>
        <v>0</v>
      </c>
      <c r="AC121" s="113">
        <f t="shared" si="31"/>
        <v>0</v>
      </c>
      <c r="AD121" s="113">
        <f t="shared" si="31"/>
        <v>45034.799999999996</v>
      </c>
      <c r="AE121" s="113">
        <f t="shared" si="31"/>
        <v>0</v>
      </c>
      <c r="AF121" s="29"/>
      <c r="AG121" s="102">
        <f t="shared" si="1"/>
        <v>0</v>
      </c>
    </row>
    <row r="122" spans="1:34" x14ac:dyDescent="0.3">
      <c r="A122" s="127" t="s">
        <v>169</v>
      </c>
      <c r="B122" s="116"/>
      <c r="C122" s="117"/>
      <c r="D122" s="118"/>
      <c r="E122" s="117"/>
      <c r="F122" s="116"/>
      <c r="G122" s="116"/>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c r="AD122" s="111"/>
      <c r="AE122" s="111"/>
      <c r="AF122" s="29"/>
      <c r="AG122" s="102">
        <f t="shared" si="1"/>
        <v>0</v>
      </c>
    </row>
    <row r="123" spans="1:34" ht="93.75" x14ac:dyDescent="0.3">
      <c r="A123" s="127" t="s">
        <v>32</v>
      </c>
      <c r="B123" s="116">
        <f>J123+L123+N123+P123+R123+T123+V123+X123+Z123+AB123+AD123+H123</f>
        <v>60894.599999999991</v>
      </c>
      <c r="C123" s="117">
        <f>H123+J123+L123+N123+P123+R123</f>
        <v>15859.8</v>
      </c>
      <c r="D123" s="118">
        <f>E123</f>
        <v>15842.470000000001</v>
      </c>
      <c r="E123" s="117">
        <f>SUM(I123,K123,M123,O123,Q123,S123,U123,W123,Y123,AA123,AC123,AE123)</f>
        <v>15842.470000000001</v>
      </c>
      <c r="F123" s="116">
        <f>IFERROR(E123/B123*100,0)</f>
        <v>26.016214902470828</v>
      </c>
      <c r="G123" s="116">
        <f>IFERROR(E123/C123*100,0)</f>
        <v>99.890730021816182</v>
      </c>
      <c r="H123" s="111"/>
      <c r="I123" s="111"/>
      <c r="J123" s="111">
        <f>3300-325.4</f>
        <v>2974.6</v>
      </c>
      <c r="K123" s="111">
        <v>2974.1</v>
      </c>
      <c r="L123" s="111">
        <v>3148.4</v>
      </c>
      <c r="M123" s="111">
        <v>3148.4</v>
      </c>
      <c r="N123" s="111">
        <f>2664.4+325.4</f>
        <v>2989.8</v>
      </c>
      <c r="O123" s="111">
        <v>2989.81</v>
      </c>
      <c r="P123" s="111">
        <v>2989.8</v>
      </c>
      <c r="Q123" s="111">
        <v>2989.8</v>
      </c>
      <c r="R123" s="111">
        <v>3757.2</v>
      </c>
      <c r="S123" s="111">
        <v>3740.36</v>
      </c>
      <c r="T123" s="111"/>
      <c r="U123" s="111"/>
      <c r="V123" s="111"/>
      <c r="W123" s="111"/>
      <c r="X123" s="111"/>
      <c r="Y123" s="111"/>
      <c r="Z123" s="111"/>
      <c r="AA123" s="111"/>
      <c r="AB123" s="111"/>
      <c r="AC123" s="111"/>
      <c r="AD123" s="111">
        <f>60894.6-3300-3148.4-6224.4+3560-6747</f>
        <v>45034.799999999996</v>
      </c>
      <c r="AE123" s="111"/>
      <c r="AF123" s="694" t="s">
        <v>508</v>
      </c>
      <c r="AG123" s="102">
        <f>B123-H123-J123-L123-N123-P123-R123-T123-V123-X123-Z123-AB123-AD123</f>
        <v>0</v>
      </c>
      <c r="AH123" s="693">
        <f>C123-E123</f>
        <v>17.329999999998108</v>
      </c>
    </row>
    <row r="124" spans="1:34" x14ac:dyDescent="0.3">
      <c r="A124" s="115" t="s">
        <v>33</v>
      </c>
      <c r="B124" s="116">
        <f>J124+L124+N124+P124+R124+T124+V124+X124+Z124+AB124+AD124+H124</f>
        <v>0</v>
      </c>
      <c r="C124" s="117">
        <f>SUM(H124)</f>
        <v>0</v>
      </c>
      <c r="D124" s="118">
        <f>E124</f>
        <v>0</v>
      </c>
      <c r="E124" s="117">
        <f>SUM(I124,K124,M124,O124,Q124,S124,U124,W124,Y124,AA124,AC124,AE124)</f>
        <v>0</v>
      </c>
      <c r="F124" s="116">
        <f>IFERROR(E124/B124*100,0)</f>
        <v>0</v>
      </c>
      <c r="G124" s="116">
        <f>IFERROR(E124/C124*100,0)</f>
        <v>0</v>
      </c>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c r="AD124" s="111"/>
      <c r="AE124" s="111"/>
      <c r="AF124" s="29"/>
      <c r="AG124" s="102">
        <f t="shared" si="1"/>
        <v>0</v>
      </c>
    </row>
    <row r="125" spans="1:34" x14ac:dyDescent="0.3">
      <c r="A125" s="115" t="s">
        <v>170</v>
      </c>
      <c r="B125" s="116"/>
      <c r="C125" s="117"/>
      <c r="D125" s="118"/>
      <c r="E125" s="117"/>
      <c r="F125" s="116"/>
      <c r="G125" s="116"/>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c r="AD125" s="111"/>
      <c r="AE125" s="111"/>
      <c r="AF125" s="29"/>
      <c r="AG125" s="102">
        <f t="shared" si="1"/>
        <v>0</v>
      </c>
    </row>
    <row r="126" spans="1:34" ht="43.5" customHeight="1" x14ac:dyDescent="0.3">
      <c r="A126" s="124" t="s">
        <v>286</v>
      </c>
      <c r="B126" s="104"/>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c r="AD126" s="125"/>
      <c r="AE126" s="125"/>
      <c r="AF126" s="101"/>
      <c r="AG126" s="102">
        <f t="shared" si="1"/>
        <v>0</v>
      </c>
    </row>
    <row r="127" spans="1:34" x14ac:dyDescent="0.3">
      <c r="A127" s="128" t="s">
        <v>31</v>
      </c>
      <c r="B127" s="104">
        <f>B128+B129+B130+B131</f>
        <v>57523.027320000008</v>
      </c>
      <c r="C127" s="104">
        <f>C128+C129+C130</f>
        <v>28799.55732</v>
      </c>
      <c r="D127" s="104">
        <f>D128+D129+D130</f>
        <v>22899.260000000002</v>
      </c>
      <c r="E127" s="104">
        <f>E128+E129+E130</f>
        <v>22899.260000000002</v>
      </c>
      <c r="F127" s="104">
        <f>IFERROR(E127/B127*100,0)</f>
        <v>39.808857542583169</v>
      </c>
      <c r="G127" s="104">
        <f>IFERROR(E127/C127*100,0)</f>
        <v>79.512541618469584</v>
      </c>
      <c r="H127" s="104">
        <f>H128+H129+H130</f>
        <v>9700</v>
      </c>
      <c r="I127" s="104">
        <f t="shared" ref="I127:AE127" si="32">I128+I129+I130</f>
        <v>0</v>
      </c>
      <c r="J127" s="104">
        <f t="shared" si="32"/>
        <v>0</v>
      </c>
      <c r="K127" s="104">
        <f t="shared" si="32"/>
        <v>8394</v>
      </c>
      <c r="L127" s="104">
        <f t="shared" si="32"/>
        <v>1622.5</v>
      </c>
      <c r="M127" s="104">
        <f t="shared" si="32"/>
        <v>1622.5</v>
      </c>
      <c r="N127" s="104">
        <f t="shared" si="32"/>
        <v>2120.8173200000001</v>
      </c>
      <c r="O127" s="104">
        <f t="shared" si="32"/>
        <v>2107.9</v>
      </c>
      <c r="P127" s="104">
        <f t="shared" si="32"/>
        <v>1589.5</v>
      </c>
      <c r="Q127" s="104">
        <f t="shared" si="32"/>
        <v>1589.5</v>
      </c>
      <c r="R127" s="104">
        <f t="shared" si="32"/>
        <v>13766.74</v>
      </c>
      <c r="S127" s="104">
        <f t="shared" si="32"/>
        <v>9185.36</v>
      </c>
      <c r="T127" s="104">
        <f t="shared" si="32"/>
        <v>4244.8999999999996</v>
      </c>
      <c r="U127" s="104">
        <f t="shared" si="32"/>
        <v>0</v>
      </c>
      <c r="V127" s="104">
        <f t="shared" si="32"/>
        <v>1218.5</v>
      </c>
      <c r="W127" s="104">
        <f t="shared" si="32"/>
        <v>0</v>
      </c>
      <c r="X127" s="104">
        <f t="shared" si="32"/>
        <v>138.18</v>
      </c>
      <c r="Y127" s="104">
        <f t="shared" si="32"/>
        <v>0</v>
      </c>
      <c r="Z127" s="104">
        <f t="shared" si="32"/>
        <v>0</v>
      </c>
      <c r="AA127" s="104">
        <f t="shared" si="32"/>
        <v>0</v>
      </c>
      <c r="AB127" s="104">
        <f t="shared" si="32"/>
        <v>0</v>
      </c>
      <c r="AC127" s="104">
        <f t="shared" si="32"/>
        <v>0</v>
      </c>
      <c r="AD127" s="104">
        <f t="shared" si="32"/>
        <v>15140.060000000001</v>
      </c>
      <c r="AE127" s="104">
        <f t="shared" si="32"/>
        <v>0</v>
      </c>
      <c r="AF127" s="101"/>
      <c r="AG127" s="102">
        <f t="shared" si="1"/>
        <v>7981.8300000000054</v>
      </c>
    </row>
    <row r="128" spans="1:34" x14ac:dyDescent="0.3">
      <c r="A128" s="129" t="s">
        <v>169</v>
      </c>
      <c r="B128" s="107">
        <f t="shared" ref="B128:E130" si="33">B134+B141</f>
        <v>0</v>
      </c>
      <c r="C128" s="107">
        <f t="shared" si="33"/>
        <v>0</v>
      </c>
      <c r="D128" s="107">
        <f t="shared" si="33"/>
        <v>0</v>
      </c>
      <c r="E128" s="107">
        <f t="shared" si="33"/>
        <v>0</v>
      </c>
      <c r="F128" s="107">
        <f>IFERROR(E128/B128*100,0)</f>
        <v>0</v>
      </c>
      <c r="G128" s="107">
        <f>IFERROR(E128/C128*100,0)</f>
        <v>0</v>
      </c>
      <c r="H128" s="107">
        <f t="shared" ref="H128:AE128" si="34">H134+H141</f>
        <v>0</v>
      </c>
      <c r="I128" s="107">
        <f t="shared" si="34"/>
        <v>0</v>
      </c>
      <c r="J128" s="107">
        <f t="shared" si="34"/>
        <v>0</v>
      </c>
      <c r="K128" s="107">
        <f t="shared" si="34"/>
        <v>0</v>
      </c>
      <c r="L128" s="107">
        <f t="shared" si="34"/>
        <v>0</v>
      </c>
      <c r="M128" s="107">
        <f t="shared" si="34"/>
        <v>0</v>
      </c>
      <c r="N128" s="107">
        <f t="shared" si="34"/>
        <v>0</v>
      </c>
      <c r="O128" s="107">
        <f t="shared" si="34"/>
        <v>0</v>
      </c>
      <c r="P128" s="107">
        <f t="shared" si="34"/>
        <v>0</v>
      </c>
      <c r="Q128" s="107">
        <f t="shared" si="34"/>
        <v>0</v>
      </c>
      <c r="R128" s="107">
        <f t="shared" si="34"/>
        <v>0</v>
      </c>
      <c r="S128" s="107">
        <f t="shared" si="34"/>
        <v>0</v>
      </c>
      <c r="T128" s="107">
        <f t="shared" si="34"/>
        <v>0</v>
      </c>
      <c r="U128" s="107">
        <f t="shared" si="34"/>
        <v>0</v>
      </c>
      <c r="V128" s="107">
        <f t="shared" si="34"/>
        <v>0</v>
      </c>
      <c r="W128" s="107">
        <f t="shared" si="34"/>
        <v>0</v>
      </c>
      <c r="X128" s="107">
        <f t="shared" si="34"/>
        <v>0</v>
      </c>
      <c r="Y128" s="107">
        <f t="shared" si="34"/>
        <v>0</v>
      </c>
      <c r="Z128" s="107">
        <f t="shared" si="34"/>
        <v>0</v>
      </c>
      <c r="AA128" s="107">
        <f t="shared" si="34"/>
        <v>0</v>
      </c>
      <c r="AB128" s="107">
        <f t="shared" si="34"/>
        <v>0</v>
      </c>
      <c r="AC128" s="107">
        <f t="shared" si="34"/>
        <v>0</v>
      </c>
      <c r="AD128" s="107">
        <f t="shared" si="34"/>
        <v>0</v>
      </c>
      <c r="AE128" s="107">
        <f t="shared" si="34"/>
        <v>0</v>
      </c>
      <c r="AF128" s="101"/>
      <c r="AG128" s="102">
        <f t="shared" si="1"/>
        <v>0</v>
      </c>
    </row>
    <row r="129" spans="1:34" x14ac:dyDescent="0.3">
      <c r="A129" s="129" t="s">
        <v>32</v>
      </c>
      <c r="B129" s="107">
        <f t="shared" si="33"/>
        <v>29396.300000000003</v>
      </c>
      <c r="C129" s="107">
        <f t="shared" si="33"/>
        <v>15737.72</v>
      </c>
      <c r="D129" s="107">
        <f t="shared" si="33"/>
        <v>9985.64</v>
      </c>
      <c r="E129" s="107">
        <f t="shared" si="33"/>
        <v>9985.64</v>
      </c>
      <c r="F129" s="107">
        <f>IFERROR(E129/B129*100,0)</f>
        <v>33.969036919612329</v>
      </c>
      <c r="G129" s="107">
        <f>IFERROR(E129/C129*100,0)</f>
        <v>63.450360026738309</v>
      </c>
      <c r="H129" s="107">
        <f t="shared" ref="H129:AE129" si="35">H135+H142</f>
        <v>9700</v>
      </c>
      <c r="I129" s="107">
        <f t="shared" si="35"/>
        <v>0</v>
      </c>
      <c r="J129" s="107">
        <f t="shared" si="35"/>
        <v>0</v>
      </c>
      <c r="K129" s="107">
        <f t="shared" si="35"/>
        <v>8394</v>
      </c>
      <c r="L129" s="107">
        <f t="shared" si="35"/>
        <v>0</v>
      </c>
      <c r="M129" s="107">
        <f t="shared" si="35"/>
        <v>0</v>
      </c>
      <c r="N129" s="107">
        <f t="shared" si="35"/>
        <v>1587.72</v>
      </c>
      <c r="O129" s="107">
        <f t="shared" si="35"/>
        <v>1574.8</v>
      </c>
      <c r="P129" s="107">
        <f t="shared" si="35"/>
        <v>0</v>
      </c>
      <c r="Q129" s="107">
        <f t="shared" si="35"/>
        <v>0</v>
      </c>
      <c r="R129" s="107">
        <f t="shared" si="35"/>
        <v>4450</v>
      </c>
      <c r="S129" s="107">
        <f t="shared" si="35"/>
        <v>16.84</v>
      </c>
      <c r="T129" s="107">
        <f t="shared" si="35"/>
        <v>3281.9</v>
      </c>
      <c r="U129" s="107">
        <f t="shared" si="35"/>
        <v>0</v>
      </c>
      <c r="V129" s="107">
        <f t="shared" si="35"/>
        <v>0</v>
      </c>
      <c r="W129" s="107">
        <f t="shared" si="35"/>
        <v>0</v>
      </c>
      <c r="X129" s="107">
        <f t="shared" si="35"/>
        <v>0</v>
      </c>
      <c r="Y129" s="107">
        <f t="shared" si="35"/>
        <v>0</v>
      </c>
      <c r="Z129" s="107">
        <f t="shared" si="35"/>
        <v>0</v>
      </c>
      <c r="AA129" s="107">
        <f t="shared" si="35"/>
        <v>0</v>
      </c>
      <c r="AB129" s="107">
        <f t="shared" si="35"/>
        <v>0</v>
      </c>
      <c r="AC129" s="107">
        <f t="shared" si="35"/>
        <v>0</v>
      </c>
      <c r="AD129" s="107">
        <f t="shared" si="35"/>
        <v>10376.68</v>
      </c>
      <c r="AE129" s="107">
        <f t="shared" si="35"/>
        <v>0</v>
      </c>
      <c r="AF129" s="101"/>
      <c r="AG129" s="102">
        <f t="shared" si="1"/>
        <v>0</v>
      </c>
    </row>
    <row r="130" spans="1:34" x14ac:dyDescent="0.3">
      <c r="A130" s="129" t="s">
        <v>33</v>
      </c>
      <c r="B130" s="107">
        <f t="shared" si="33"/>
        <v>20144.89732</v>
      </c>
      <c r="C130" s="107">
        <f t="shared" si="33"/>
        <v>13061.837319999999</v>
      </c>
      <c r="D130" s="107">
        <f t="shared" si="33"/>
        <v>12913.62</v>
      </c>
      <c r="E130" s="107">
        <f t="shared" si="33"/>
        <v>12913.62</v>
      </c>
      <c r="F130" s="107">
        <f>IFERROR(E130/B130*100,0)</f>
        <v>64.103677446790783</v>
      </c>
      <c r="G130" s="107">
        <f>IFERROR(E130/C130*100,0)</f>
        <v>98.865264385332296</v>
      </c>
      <c r="H130" s="107">
        <f t="shared" ref="H130:AE130" si="36">H136+H143</f>
        <v>0</v>
      </c>
      <c r="I130" s="107">
        <f t="shared" si="36"/>
        <v>0</v>
      </c>
      <c r="J130" s="107">
        <f t="shared" si="36"/>
        <v>0</v>
      </c>
      <c r="K130" s="107">
        <f t="shared" si="36"/>
        <v>0</v>
      </c>
      <c r="L130" s="107">
        <f t="shared" si="36"/>
        <v>1622.5</v>
      </c>
      <c r="M130" s="107">
        <f t="shared" si="36"/>
        <v>1622.5</v>
      </c>
      <c r="N130" s="107">
        <f t="shared" si="36"/>
        <v>533.09732000000008</v>
      </c>
      <c r="O130" s="107">
        <f t="shared" si="36"/>
        <v>533.1</v>
      </c>
      <c r="P130" s="107">
        <f t="shared" si="36"/>
        <v>1589.5</v>
      </c>
      <c r="Q130" s="107">
        <f t="shared" si="36"/>
        <v>1589.5</v>
      </c>
      <c r="R130" s="107">
        <f t="shared" si="36"/>
        <v>9316.74</v>
      </c>
      <c r="S130" s="107">
        <f t="shared" si="36"/>
        <v>9168.52</v>
      </c>
      <c r="T130" s="107">
        <f t="shared" si="36"/>
        <v>963</v>
      </c>
      <c r="U130" s="107">
        <f t="shared" si="36"/>
        <v>0</v>
      </c>
      <c r="V130" s="107">
        <f t="shared" si="36"/>
        <v>1218.5</v>
      </c>
      <c r="W130" s="107">
        <f t="shared" si="36"/>
        <v>0</v>
      </c>
      <c r="X130" s="107">
        <f t="shared" si="36"/>
        <v>138.18</v>
      </c>
      <c r="Y130" s="107">
        <f t="shared" si="36"/>
        <v>0</v>
      </c>
      <c r="Z130" s="107">
        <f t="shared" si="36"/>
        <v>0</v>
      </c>
      <c r="AA130" s="107">
        <f t="shared" si="36"/>
        <v>0</v>
      </c>
      <c r="AB130" s="107">
        <f t="shared" si="36"/>
        <v>0</v>
      </c>
      <c r="AC130" s="107">
        <f t="shared" si="36"/>
        <v>0</v>
      </c>
      <c r="AD130" s="107">
        <f t="shared" si="36"/>
        <v>4763.380000000001</v>
      </c>
      <c r="AE130" s="107">
        <f t="shared" si="36"/>
        <v>0</v>
      </c>
      <c r="AF130" s="101"/>
      <c r="AG130" s="102">
        <f t="shared" ref="AG130:AG358" si="37">B130-H130-J130-L130-N130-P130-R130-T130-V130-X130-Z130-AB130-AD130</f>
        <v>0</v>
      </c>
    </row>
    <row r="131" spans="1:34" x14ac:dyDescent="0.3">
      <c r="A131" s="129" t="s">
        <v>170</v>
      </c>
      <c r="B131" s="107">
        <f>B138+B144</f>
        <v>7981.83</v>
      </c>
      <c r="C131" s="107">
        <f>C138+C144</f>
        <v>7981.83</v>
      </c>
      <c r="D131" s="107">
        <f>D138+D144</f>
        <v>7981.83</v>
      </c>
      <c r="E131" s="107">
        <f>E138+E144</f>
        <v>7981.83</v>
      </c>
      <c r="F131" s="107">
        <f>IFERROR(E131/B131*100,0)</f>
        <v>100</v>
      </c>
      <c r="G131" s="107">
        <f>IFERROR(E131/C131*100,0)</f>
        <v>100</v>
      </c>
      <c r="H131" s="107">
        <f t="shared" ref="H131:AE131" si="38">H138+H144</f>
        <v>0</v>
      </c>
      <c r="I131" s="107">
        <f t="shared" si="38"/>
        <v>0</v>
      </c>
      <c r="J131" s="107">
        <f t="shared" si="38"/>
        <v>0</v>
      </c>
      <c r="K131" s="107">
        <f t="shared" si="38"/>
        <v>0</v>
      </c>
      <c r="L131" s="107">
        <f t="shared" si="38"/>
        <v>0</v>
      </c>
      <c r="M131" s="107">
        <f t="shared" si="38"/>
        <v>0</v>
      </c>
      <c r="N131" s="107">
        <f t="shared" si="38"/>
        <v>0</v>
      </c>
      <c r="O131" s="107">
        <f t="shared" si="38"/>
        <v>0</v>
      </c>
      <c r="P131" s="107">
        <f t="shared" si="38"/>
        <v>5700</v>
      </c>
      <c r="Q131" s="107">
        <f t="shared" si="38"/>
        <v>5700</v>
      </c>
      <c r="R131" s="107">
        <f t="shared" si="38"/>
        <v>2281.83</v>
      </c>
      <c r="S131" s="107">
        <f t="shared" si="38"/>
        <v>2281.83</v>
      </c>
      <c r="T131" s="107">
        <f t="shared" si="38"/>
        <v>0</v>
      </c>
      <c r="U131" s="107">
        <f t="shared" si="38"/>
        <v>0</v>
      </c>
      <c r="V131" s="107">
        <f t="shared" si="38"/>
        <v>0</v>
      </c>
      <c r="W131" s="107">
        <f t="shared" si="38"/>
        <v>0</v>
      </c>
      <c r="X131" s="107">
        <f t="shared" si="38"/>
        <v>0</v>
      </c>
      <c r="Y131" s="107">
        <f t="shared" si="38"/>
        <v>0</v>
      </c>
      <c r="Z131" s="107">
        <f t="shared" si="38"/>
        <v>0</v>
      </c>
      <c r="AA131" s="107">
        <f t="shared" si="38"/>
        <v>0</v>
      </c>
      <c r="AB131" s="107">
        <f t="shared" si="38"/>
        <v>0</v>
      </c>
      <c r="AC131" s="107">
        <f t="shared" si="38"/>
        <v>0</v>
      </c>
      <c r="AD131" s="107">
        <f t="shared" si="38"/>
        <v>0</v>
      </c>
      <c r="AE131" s="107">
        <f t="shared" si="38"/>
        <v>0</v>
      </c>
      <c r="AF131" s="101"/>
      <c r="AG131" s="102">
        <f t="shared" si="37"/>
        <v>0</v>
      </c>
    </row>
    <row r="132" spans="1:34" ht="243.75" x14ac:dyDescent="0.3">
      <c r="A132" s="799" t="s">
        <v>530</v>
      </c>
      <c r="B132" s="624"/>
      <c r="C132" s="131"/>
      <c r="D132" s="131"/>
      <c r="E132" s="131"/>
      <c r="F132" s="131"/>
      <c r="G132" s="13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c r="AD132" s="111"/>
      <c r="AE132" s="111"/>
      <c r="AF132" s="29"/>
      <c r="AG132" s="102">
        <f t="shared" si="37"/>
        <v>0</v>
      </c>
    </row>
    <row r="133" spans="1:34" s="622" customFormat="1" x14ac:dyDescent="0.3">
      <c r="A133" s="623" t="s">
        <v>31</v>
      </c>
      <c r="B133" s="624">
        <f>B135+B136+B134+B138</f>
        <v>55351.030000000006</v>
      </c>
      <c r="C133" s="624">
        <f>C135+C136+C134+C138</f>
        <v>35493.870000000003</v>
      </c>
      <c r="D133" s="624">
        <f>D135+D136+D134+D138</f>
        <v>29740.57</v>
      </c>
      <c r="E133" s="624">
        <f>E135+E136+E134+E138</f>
        <v>29740.57</v>
      </c>
      <c r="F133" s="624">
        <f>IFERROR(E133/B133*100,0)</f>
        <v>53.730833915827759</v>
      </c>
      <c r="G133" s="624">
        <f>IFERROR(E133/C133*100,0)</f>
        <v>83.790722172589227</v>
      </c>
      <c r="H133" s="624">
        <f t="shared" ref="H133:AE133" si="39">H135+H136+H134+H138</f>
        <v>9700</v>
      </c>
      <c r="I133" s="624">
        <f t="shared" si="39"/>
        <v>0</v>
      </c>
      <c r="J133" s="624">
        <f t="shared" si="39"/>
        <v>0</v>
      </c>
      <c r="K133" s="624">
        <f t="shared" si="39"/>
        <v>8394</v>
      </c>
      <c r="L133" s="624">
        <f>L135+L136+L134+L138</f>
        <v>1622.5</v>
      </c>
      <c r="M133" s="624">
        <f t="shared" si="39"/>
        <v>1622.5</v>
      </c>
      <c r="N133" s="792">
        <f>N135+N136+N134+N138</f>
        <v>2116.92</v>
      </c>
      <c r="O133" s="792">
        <f t="shared" si="39"/>
        <v>2104</v>
      </c>
      <c r="P133" s="792">
        <f t="shared" si="39"/>
        <v>6635.7</v>
      </c>
      <c r="Q133" s="792">
        <f t="shared" si="39"/>
        <v>6635.7</v>
      </c>
      <c r="R133" s="792">
        <f t="shared" si="39"/>
        <v>15418.75</v>
      </c>
      <c r="S133" s="792">
        <f t="shared" si="39"/>
        <v>10984.37</v>
      </c>
      <c r="T133" s="792">
        <f t="shared" si="39"/>
        <v>3921.4</v>
      </c>
      <c r="U133" s="792">
        <f t="shared" si="39"/>
        <v>0</v>
      </c>
      <c r="V133" s="792">
        <f t="shared" si="39"/>
        <v>795.7</v>
      </c>
      <c r="W133" s="792">
        <f t="shared" si="39"/>
        <v>0</v>
      </c>
      <c r="X133" s="792">
        <f t="shared" si="39"/>
        <v>0</v>
      </c>
      <c r="Y133" s="624">
        <f t="shared" si="39"/>
        <v>0</v>
      </c>
      <c r="Z133" s="624">
        <f t="shared" si="39"/>
        <v>0</v>
      </c>
      <c r="AA133" s="624">
        <f t="shared" si="39"/>
        <v>0</v>
      </c>
      <c r="AB133" s="624">
        <f t="shared" si="39"/>
        <v>0</v>
      </c>
      <c r="AC133" s="624">
        <f t="shared" si="39"/>
        <v>0</v>
      </c>
      <c r="AD133" s="630">
        <f t="shared" si="39"/>
        <v>15140.060000000001</v>
      </c>
      <c r="AE133" s="624">
        <f t="shared" si="39"/>
        <v>0</v>
      </c>
      <c r="AF133" s="620"/>
      <c r="AG133" s="621">
        <f t="shared" si="37"/>
        <v>0</v>
      </c>
    </row>
    <row r="134" spans="1:34" s="622" customFormat="1" x14ac:dyDescent="0.3">
      <c r="A134" s="626" t="s">
        <v>169</v>
      </c>
      <c r="B134" s="627"/>
      <c r="C134" s="786"/>
      <c r="D134" s="789"/>
      <c r="E134" s="786"/>
      <c r="F134" s="627"/>
      <c r="G134" s="627"/>
      <c r="H134" s="520"/>
      <c r="I134" s="520"/>
      <c r="J134" s="520"/>
      <c r="K134" s="520"/>
      <c r="L134" s="520"/>
      <c r="M134" s="520"/>
      <c r="N134" s="520"/>
      <c r="O134" s="520"/>
      <c r="P134" s="520"/>
      <c r="Q134" s="520"/>
      <c r="R134" s="520"/>
      <c r="S134" s="520"/>
      <c r="T134" s="520"/>
      <c r="U134" s="520"/>
      <c r="V134" s="520"/>
      <c r="W134" s="520"/>
      <c r="X134" s="520"/>
      <c r="Y134" s="520"/>
      <c r="Z134" s="520"/>
      <c r="AA134" s="520"/>
      <c r="AB134" s="520"/>
      <c r="AC134" s="520"/>
      <c r="AD134" s="520"/>
      <c r="AE134" s="520"/>
      <c r="AF134" s="620"/>
      <c r="AG134" s="621">
        <f t="shared" si="37"/>
        <v>0</v>
      </c>
    </row>
    <row r="135" spans="1:34" s="622" customFormat="1" ht="93.75" x14ac:dyDescent="0.3">
      <c r="A135" s="626" t="s">
        <v>32</v>
      </c>
      <c r="B135" s="627">
        <f>J135+L135+N135+P135+R135+T135+V135+X135+Z135+AB135+AD135+H135</f>
        <v>29396.300000000003</v>
      </c>
      <c r="C135" s="786">
        <f>H135+J135+L135+N135+P135+R135</f>
        <v>15737.72</v>
      </c>
      <c r="D135" s="789">
        <f>E135</f>
        <v>9985.64</v>
      </c>
      <c r="E135" s="786">
        <f>SUM(I135,K135,M135,O135,Q135,S135,U135,W135,Y135,AA135,AC135,AE135)</f>
        <v>9985.64</v>
      </c>
      <c r="F135" s="627">
        <f>IFERROR(E135/B135*100,0)</f>
        <v>33.969036919612329</v>
      </c>
      <c r="G135" s="627">
        <f>IFERROR(E135/C135*100,0)</f>
        <v>63.450360026738309</v>
      </c>
      <c r="H135" s="520">
        <v>9700</v>
      </c>
      <c r="I135" s="520"/>
      <c r="J135" s="520"/>
      <c r="K135" s="520">
        <v>8394</v>
      </c>
      <c r="L135" s="520"/>
      <c r="M135" s="520"/>
      <c r="N135" s="520">
        <v>1587.72</v>
      </c>
      <c r="O135" s="520">
        <v>1574.8</v>
      </c>
      <c r="P135" s="520"/>
      <c r="Q135" s="520"/>
      <c r="R135" s="520">
        <v>4450</v>
      </c>
      <c r="S135" s="520">
        <v>16.84</v>
      </c>
      <c r="T135" s="520">
        <v>3281.9</v>
      </c>
      <c r="U135" s="520"/>
      <c r="V135" s="520"/>
      <c r="W135" s="520"/>
      <c r="X135" s="520"/>
      <c r="Y135" s="520"/>
      <c r="Z135" s="520"/>
      <c r="AA135" s="520"/>
      <c r="AB135" s="520"/>
      <c r="AC135" s="520"/>
      <c r="AD135" s="520">
        <f>12972.3-1587.72-1007.9</f>
        <v>10376.68</v>
      </c>
      <c r="AE135" s="520"/>
      <c r="AF135" s="790" t="s">
        <v>510</v>
      </c>
      <c r="AG135" s="621">
        <f t="shared" si="37"/>
        <v>0</v>
      </c>
      <c r="AH135" s="791">
        <f>C135-E135</f>
        <v>5752.08</v>
      </c>
    </row>
    <row r="136" spans="1:34" s="622" customFormat="1" x14ac:dyDescent="0.3">
      <c r="A136" s="626" t="s">
        <v>33</v>
      </c>
      <c r="B136" s="627">
        <f>J136+L136+N136+P136+R136+T136+V136+X136+Z136+AB136+AD136+H136</f>
        <v>17972.900000000001</v>
      </c>
      <c r="C136" s="786">
        <f>SUM(H136+J136+L136+N136+P136+R136)</f>
        <v>11774.32</v>
      </c>
      <c r="D136" s="789">
        <f>E136</f>
        <v>11773.1</v>
      </c>
      <c r="E136" s="786">
        <f>SUM(I136,K136,M136,O136,Q136,S136,U136,W136,Y136,AA136,AC136,AE136)</f>
        <v>11773.1</v>
      </c>
      <c r="F136" s="627">
        <f>IFERROR(E136/B136*100,0)</f>
        <v>65.504732124476291</v>
      </c>
      <c r="G136" s="627">
        <f>IFERROR(E136/C136*100,0)</f>
        <v>99.989638467444408</v>
      </c>
      <c r="H136" s="520"/>
      <c r="I136" s="520"/>
      <c r="J136" s="520"/>
      <c r="K136" s="520"/>
      <c r="L136" s="520">
        <f>1500+122.5</f>
        <v>1622.5</v>
      </c>
      <c r="M136" s="520">
        <v>1622.5</v>
      </c>
      <c r="N136" s="520">
        <v>529.20000000000005</v>
      </c>
      <c r="O136" s="520">
        <v>529.20000000000005</v>
      </c>
      <c r="P136" s="520">
        <f>888.9+46.8</f>
        <v>935.69999999999993</v>
      </c>
      <c r="Q136" s="520">
        <v>935.7</v>
      </c>
      <c r="R136" s="520">
        <f>5656.62+3030.3</f>
        <v>8686.92</v>
      </c>
      <c r="S136" s="520">
        <f>8686.92-1.22</f>
        <v>8685.7000000000007</v>
      </c>
      <c r="T136" s="520">
        <f>639.5</f>
        <v>639.5</v>
      </c>
      <c r="U136" s="520"/>
      <c r="V136" s="520">
        <f>422.8+611.2-238.3</f>
        <v>795.7</v>
      </c>
      <c r="W136" s="520"/>
      <c r="X136" s="520"/>
      <c r="Y136" s="520"/>
      <c r="Z136" s="520"/>
      <c r="AA136" s="520"/>
      <c r="AB136" s="520"/>
      <c r="AC136" s="520"/>
      <c r="AD136" s="520">
        <f>15635.4-2015.8-122.5-5656.62-3077.1</f>
        <v>4763.380000000001</v>
      </c>
      <c r="AE136" s="520"/>
      <c r="AF136" s="620"/>
      <c r="AG136" s="621">
        <f t="shared" si="37"/>
        <v>0</v>
      </c>
    </row>
    <row r="137" spans="1:34" s="622" customFormat="1" x14ac:dyDescent="0.3">
      <c r="A137" s="859" t="s">
        <v>509</v>
      </c>
      <c r="B137" s="627">
        <f>J137+L137+N137+P137+R137+T137+V137+X137+Z137+AB137+AD137+H137</f>
        <v>4327</v>
      </c>
      <c r="C137" s="786">
        <f>SUM(H137+J137+L137+N137)</f>
        <v>529.20000000000005</v>
      </c>
      <c r="D137" s="789">
        <f>E137</f>
        <v>529.20000000000005</v>
      </c>
      <c r="E137" s="786">
        <f>SUM(I137,K137,M137,O137,Q137,S137,U137,W137,Y137,AA137,AC137,AE137)</f>
        <v>529.20000000000005</v>
      </c>
      <c r="F137" s="627">
        <f>IFERROR(E137/B137*100,0)</f>
        <v>12.230182574532011</v>
      </c>
      <c r="G137" s="627">
        <f>IFERROR(E137/C137*100,0)</f>
        <v>100</v>
      </c>
      <c r="H137" s="520"/>
      <c r="I137" s="520"/>
      <c r="J137" s="520"/>
      <c r="K137" s="520"/>
      <c r="L137" s="520"/>
      <c r="M137" s="520"/>
      <c r="N137" s="520">
        <v>529.20000000000005</v>
      </c>
      <c r="O137" s="520">
        <v>529.20000000000005</v>
      </c>
      <c r="P137" s="520"/>
      <c r="Q137" s="520"/>
      <c r="R137" s="520">
        <v>192</v>
      </c>
      <c r="S137" s="520"/>
      <c r="T137" s="520"/>
      <c r="U137" s="520"/>
      <c r="V137" s="520"/>
      <c r="W137" s="520"/>
      <c r="X137" s="520"/>
      <c r="Y137" s="520"/>
      <c r="Z137" s="520"/>
      <c r="AA137" s="520"/>
      <c r="AB137" s="520"/>
      <c r="AC137" s="520"/>
      <c r="AD137" s="520">
        <v>3605.8</v>
      </c>
      <c r="AE137" s="520"/>
      <c r="AF137" s="620"/>
      <c r="AG137" s="621"/>
    </row>
    <row r="138" spans="1:34" s="622" customFormat="1" x14ac:dyDescent="0.3">
      <c r="A138" s="787" t="s">
        <v>170</v>
      </c>
      <c r="B138" s="627">
        <f>J138+L138+N138+P138+R138+T138+V138+X138+Z138+AB138+AD138+H138</f>
        <v>7981.83</v>
      </c>
      <c r="C138" s="786">
        <f>SUM(H138+J138+L138+N138+P138+R138)</f>
        <v>7981.83</v>
      </c>
      <c r="D138" s="789">
        <f>E138</f>
        <v>7981.83</v>
      </c>
      <c r="E138" s="786">
        <f>SUM(I138,K138,M138,O138,Q138,S138,U138,W138,Y138,AA138,AC138,AE138)</f>
        <v>7981.83</v>
      </c>
      <c r="F138" s="627">
        <f>IFERROR(E138/B138*100,0)</f>
        <v>100</v>
      </c>
      <c r="G138" s="627">
        <f>IFERROR(E138/C138*100,0)</f>
        <v>100</v>
      </c>
      <c r="H138" s="520"/>
      <c r="I138" s="520"/>
      <c r="J138" s="520"/>
      <c r="K138" s="520"/>
      <c r="L138" s="520"/>
      <c r="M138" s="520"/>
      <c r="N138" s="520"/>
      <c r="O138" s="520"/>
      <c r="P138" s="520">
        <v>5700</v>
      </c>
      <c r="Q138" s="520">
        <v>5700</v>
      </c>
      <c r="R138" s="520">
        <f>1970.48+311.35</f>
        <v>2281.83</v>
      </c>
      <c r="S138" s="520">
        <f>1970.48+311.35</f>
        <v>2281.83</v>
      </c>
      <c r="T138" s="520"/>
      <c r="U138" s="520"/>
      <c r="V138" s="520"/>
      <c r="W138" s="520"/>
      <c r="X138" s="520"/>
      <c r="Y138" s="520"/>
      <c r="Z138" s="520"/>
      <c r="AA138" s="520"/>
      <c r="AB138" s="520"/>
      <c r="AC138" s="520"/>
      <c r="AD138" s="520"/>
      <c r="AE138" s="520"/>
      <c r="AF138" s="620"/>
      <c r="AG138" s="621">
        <f t="shared" si="37"/>
        <v>0</v>
      </c>
    </row>
    <row r="139" spans="1:34" s="622" customFormat="1" ht="131.25" x14ac:dyDescent="0.3">
      <c r="A139" s="787" t="s">
        <v>627</v>
      </c>
      <c r="B139" s="624"/>
      <c r="C139" s="630"/>
      <c r="D139" s="630"/>
      <c r="E139" s="630"/>
      <c r="F139" s="630"/>
      <c r="G139" s="630"/>
      <c r="H139" s="520"/>
      <c r="I139" s="520"/>
      <c r="J139" s="520"/>
      <c r="K139" s="520"/>
      <c r="L139" s="520"/>
      <c r="M139" s="520"/>
      <c r="N139" s="520"/>
      <c r="O139" s="520"/>
      <c r="P139" s="520"/>
      <c r="Q139" s="520"/>
      <c r="R139" s="843"/>
      <c r="S139" s="520"/>
      <c r="T139" s="520"/>
      <c r="U139" s="520"/>
      <c r="V139" s="520"/>
      <c r="W139" s="520"/>
      <c r="X139" s="520"/>
      <c r="Y139" s="520"/>
      <c r="Z139" s="520"/>
      <c r="AA139" s="520"/>
      <c r="AB139" s="520"/>
      <c r="AC139" s="520"/>
      <c r="AD139" s="520"/>
      <c r="AE139" s="520"/>
      <c r="AF139" s="620"/>
      <c r="AG139" s="621">
        <f t="shared" si="37"/>
        <v>0</v>
      </c>
    </row>
    <row r="140" spans="1:34" s="622" customFormat="1" x14ac:dyDescent="0.3">
      <c r="A140" s="623" t="s">
        <v>31</v>
      </c>
      <c r="B140" s="624">
        <f>B142+B143+B141+B144</f>
        <v>2171.9973199999999</v>
      </c>
      <c r="C140" s="624">
        <f>C142+C143+C141+C144</f>
        <v>1287.5173199999999</v>
      </c>
      <c r="D140" s="624">
        <f>D142+D143+D141+D144</f>
        <v>1140.52</v>
      </c>
      <c r="E140" s="624">
        <f>E142+E143+E141+E144</f>
        <v>1140.52</v>
      </c>
      <c r="F140" s="624">
        <f>IFERROR(E140/B140*100,0)</f>
        <v>52.51019370502722</v>
      </c>
      <c r="G140" s="624">
        <f>IFERROR(E140/C140*100,0)</f>
        <v>88.582886015079012</v>
      </c>
      <c r="H140" s="624">
        <f t="shared" ref="H140:AE140" si="40">H142+H143+H141+H144</f>
        <v>0</v>
      </c>
      <c r="I140" s="624">
        <f t="shared" si="40"/>
        <v>0</v>
      </c>
      <c r="J140" s="624">
        <f t="shared" si="40"/>
        <v>0</v>
      </c>
      <c r="K140" s="624">
        <f t="shared" si="40"/>
        <v>0</v>
      </c>
      <c r="L140" s="624">
        <f t="shared" si="40"/>
        <v>0</v>
      </c>
      <c r="M140" s="624">
        <f t="shared" si="40"/>
        <v>0</v>
      </c>
      <c r="N140" s="624">
        <f t="shared" si="40"/>
        <v>3.8973200000000001</v>
      </c>
      <c r="O140" s="624">
        <f t="shared" si="40"/>
        <v>3.9</v>
      </c>
      <c r="P140" s="624">
        <f t="shared" si="40"/>
        <v>653.79999999999995</v>
      </c>
      <c r="Q140" s="624">
        <f t="shared" si="40"/>
        <v>653.79999999999995</v>
      </c>
      <c r="R140" s="624">
        <f t="shared" si="40"/>
        <v>629.82000000000005</v>
      </c>
      <c r="S140" s="624">
        <f t="shared" si="40"/>
        <v>482.82</v>
      </c>
      <c r="T140" s="624">
        <f t="shared" si="40"/>
        <v>323.5</v>
      </c>
      <c r="U140" s="624">
        <f t="shared" si="40"/>
        <v>0</v>
      </c>
      <c r="V140" s="624">
        <f t="shared" si="40"/>
        <v>422.8</v>
      </c>
      <c r="W140" s="624">
        <f t="shared" si="40"/>
        <v>0</v>
      </c>
      <c r="X140" s="624">
        <f t="shared" si="40"/>
        <v>138.18</v>
      </c>
      <c r="Y140" s="624">
        <f t="shared" si="40"/>
        <v>0</v>
      </c>
      <c r="Z140" s="624">
        <f t="shared" si="40"/>
        <v>0</v>
      </c>
      <c r="AA140" s="624">
        <f t="shared" si="40"/>
        <v>0</v>
      </c>
      <c r="AB140" s="624">
        <f t="shared" si="40"/>
        <v>0</v>
      </c>
      <c r="AC140" s="624">
        <f t="shared" si="40"/>
        <v>0</v>
      </c>
      <c r="AD140" s="624">
        <f t="shared" si="40"/>
        <v>0</v>
      </c>
      <c r="AE140" s="624">
        <f t="shared" si="40"/>
        <v>0</v>
      </c>
      <c r="AF140" s="620"/>
      <c r="AG140" s="621">
        <f t="shared" si="37"/>
        <v>-1.1368683772161603E-13</v>
      </c>
    </row>
    <row r="141" spans="1:34" x14ac:dyDescent="0.3">
      <c r="A141" s="626" t="s">
        <v>169</v>
      </c>
      <c r="B141" s="627"/>
      <c r="C141" s="117"/>
      <c r="D141" s="118"/>
      <c r="E141" s="117"/>
      <c r="F141" s="116"/>
      <c r="G141" s="116"/>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c r="AD141" s="111"/>
      <c r="AE141" s="111"/>
      <c r="AF141" s="29"/>
      <c r="AG141" s="102">
        <f t="shared" si="37"/>
        <v>0</v>
      </c>
    </row>
    <row r="142" spans="1:34" x14ac:dyDescent="0.3">
      <c r="A142" s="626" t="s">
        <v>32</v>
      </c>
      <c r="B142" s="627"/>
      <c r="C142" s="117"/>
      <c r="D142" s="118"/>
      <c r="E142" s="117"/>
      <c r="F142" s="116"/>
      <c r="G142" s="116"/>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c r="AD142" s="111"/>
      <c r="AE142" s="111"/>
      <c r="AF142" s="29"/>
      <c r="AG142" s="102">
        <f t="shared" si="37"/>
        <v>0</v>
      </c>
    </row>
    <row r="143" spans="1:34" x14ac:dyDescent="0.3">
      <c r="A143" s="115" t="s">
        <v>33</v>
      </c>
      <c r="B143" s="116">
        <f>J143+L143+N143+P143+R143+T143+V143+X143+Z143+AB143+AD143+H143</f>
        <v>2171.9973199999999</v>
      </c>
      <c r="C143" s="117">
        <f>H143+J143+L143+N143+P143+R143</f>
        <v>1287.5173199999999</v>
      </c>
      <c r="D143" s="118">
        <f>E143</f>
        <v>1140.52</v>
      </c>
      <c r="E143" s="117">
        <f>I143+K143+M143+O143+Q143+S143</f>
        <v>1140.52</v>
      </c>
      <c r="F143" s="116">
        <f>IFERROR(E143/B143*100,0)</f>
        <v>52.51019370502722</v>
      </c>
      <c r="G143" s="116">
        <f>IFERROR(E143/C143*100,0)</f>
        <v>88.582886015079012</v>
      </c>
      <c r="H143" s="111"/>
      <c r="I143" s="111"/>
      <c r="J143" s="111"/>
      <c r="K143" s="111"/>
      <c r="L143" s="111"/>
      <c r="M143" s="111"/>
      <c r="N143" s="111">
        <v>3.8973200000000001</v>
      </c>
      <c r="O143" s="111">
        <v>3.9</v>
      </c>
      <c r="P143" s="111">
        <v>653.79999999999995</v>
      </c>
      <c r="Q143" s="111">
        <v>653.79999999999995</v>
      </c>
      <c r="R143" s="111">
        <f>565.6+64.22</f>
        <v>629.82000000000005</v>
      </c>
      <c r="S143" s="111">
        <v>482.82</v>
      </c>
      <c r="T143" s="111">
        <v>323.5</v>
      </c>
      <c r="U143" s="111"/>
      <c r="V143" s="111">
        <v>422.8</v>
      </c>
      <c r="W143" s="111"/>
      <c r="X143" s="111">
        <f>194-62.22+6.4</f>
        <v>138.18</v>
      </c>
      <c r="Y143" s="111"/>
      <c r="Z143" s="111"/>
      <c r="AA143" s="111"/>
      <c r="AB143" s="111"/>
      <c r="AC143" s="111"/>
      <c r="AD143" s="111"/>
      <c r="AE143" s="111"/>
      <c r="AF143" s="29"/>
      <c r="AG143" s="102">
        <f t="shared" si="37"/>
        <v>-1.1368683772161603E-13</v>
      </c>
    </row>
    <row r="144" spans="1:34" x14ac:dyDescent="0.3">
      <c r="A144" s="122" t="s">
        <v>170</v>
      </c>
      <c r="B144" s="116"/>
      <c r="C144" s="117"/>
      <c r="D144" s="118"/>
      <c r="E144" s="117"/>
      <c r="F144" s="116"/>
      <c r="G144" s="116"/>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c r="AD144" s="111"/>
      <c r="AE144" s="111"/>
      <c r="AF144" s="29"/>
      <c r="AG144" s="102">
        <f t="shared" si="37"/>
        <v>0</v>
      </c>
    </row>
    <row r="145" spans="1:33" x14ac:dyDescent="0.3">
      <c r="A145" s="1032" t="s">
        <v>287</v>
      </c>
      <c r="B145" s="1033"/>
      <c r="C145" s="1033"/>
      <c r="D145" s="1033"/>
      <c r="E145" s="1033"/>
      <c r="F145" s="1033"/>
      <c r="G145" s="1033"/>
      <c r="H145" s="1033"/>
      <c r="I145" s="1033"/>
      <c r="J145" s="1033"/>
      <c r="K145" s="1033"/>
      <c r="L145" s="1033"/>
      <c r="M145" s="1033"/>
      <c r="N145" s="1033"/>
      <c r="O145" s="1033"/>
      <c r="P145" s="1033"/>
      <c r="Q145" s="1033"/>
      <c r="R145" s="1033"/>
      <c r="S145" s="1033"/>
      <c r="T145" s="1033"/>
      <c r="U145" s="1033"/>
      <c r="V145" s="1033"/>
      <c r="W145" s="1033"/>
      <c r="X145" s="1033"/>
      <c r="Y145" s="1033"/>
      <c r="Z145" s="1033"/>
      <c r="AA145" s="1033"/>
      <c r="AB145" s="1033"/>
      <c r="AC145" s="1033"/>
      <c r="AD145" s="1033"/>
      <c r="AE145" s="1033"/>
      <c r="AF145" s="1034"/>
      <c r="AG145" s="102">
        <f t="shared" si="37"/>
        <v>0</v>
      </c>
    </row>
    <row r="146" spans="1:33" x14ac:dyDescent="0.3">
      <c r="A146" s="1032" t="s">
        <v>54</v>
      </c>
      <c r="B146" s="1033"/>
      <c r="C146" s="1033"/>
      <c r="D146" s="1033"/>
      <c r="E146" s="1033"/>
      <c r="F146" s="1033"/>
      <c r="G146" s="1033"/>
      <c r="H146" s="1033"/>
      <c r="I146" s="1033"/>
      <c r="J146" s="1033"/>
      <c r="K146" s="1033"/>
      <c r="L146" s="1033"/>
      <c r="M146" s="1033"/>
      <c r="N146" s="1033"/>
      <c r="O146" s="1033"/>
      <c r="P146" s="1033"/>
      <c r="Q146" s="1033"/>
      <c r="R146" s="1033"/>
      <c r="S146" s="1033"/>
      <c r="T146" s="1033"/>
      <c r="U146" s="1033"/>
      <c r="V146" s="1033"/>
      <c r="W146" s="1033"/>
      <c r="X146" s="1033"/>
      <c r="Y146" s="1033"/>
      <c r="Z146" s="1033"/>
      <c r="AA146" s="1033"/>
      <c r="AB146" s="1033"/>
      <c r="AC146" s="1033"/>
      <c r="AD146" s="1033"/>
      <c r="AE146" s="1033"/>
      <c r="AF146" s="1034"/>
      <c r="AG146" s="102">
        <f t="shared" si="37"/>
        <v>0</v>
      </c>
    </row>
    <row r="147" spans="1:33" ht="120.75" customHeight="1" x14ac:dyDescent="0.3">
      <c r="A147" s="124" t="s">
        <v>288</v>
      </c>
      <c r="B147" s="132"/>
      <c r="C147" s="133"/>
      <c r="D147" s="133"/>
      <c r="E147" s="133"/>
      <c r="F147" s="133"/>
      <c r="G147" s="133"/>
      <c r="H147" s="132"/>
      <c r="I147" s="132"/>
      <c r="J147" s="132"/>
      <c r="K147" s="132"/>
      <c r="L147" s="132"/>
      <c r="M147" s="132"/>
      <c r="N147" s="132"/>
      <c r="O147" s="132"/>
      <c r="P147" s="132"/>
      <c r="Q147" s="132"/>
      <c r="R147" s="132"/>
      <c r="S147" s="132"/>
      <c r="T147" s="132"/>
      <c r="U147" s="132"/>
      <c r="V147" s="132"/>
      <c r="W147" s="132"/>
      <c r="X147" s="132"/>
      <c r="Y147" s="132"/>
      <c r="Z147" s="132"/>
      <c r="AA147" s="132"/>
      <c r="AB147" s="132"/>
      <c r="AC147" s="132"/>
      <c r="AD147" s="132"/>
      <c r="AE147" s="132"/>
      <c r="AF147" s="101"/>
      <c r="AG147" s="102">
        <f t="shared" si="37"/>
        <v>0</v>
      </c>
    </row>
    <row r="148" spans="1:33" x14ac:dyDescent="0.3">
      <c r="A148" s="103" t="s">
        <v>31</v>
      </c>
      <c r="B148" s="104">
        <f>B149+B150+B151</f>
        <v>0</v>
      </c>
      <c r="C148" s="104">
        <f>C149+C150+C151</f>
        <v>0</v>
      </c>
      <c r="D148" s="104">
        <f>D149+D150+D151</f>
        <v>0</v>
      </c>
      <c r="E148" s="104">
        <f>E149+E150+E151</f>
        <v>0</v>
      </c>
      <c r="F148" s="107">
        <f>IFERROR(E148/B148*100,0)</f>
        <v>0</v>
      </c>
      <c r="G148" s="107">
        <f>IFERROR(E148/C148*100,0)</f>
        <v>0</v>
      </c>
      <c r="H148" s="104">
        <f t="shared" ref="H148:AE148" si="41">H149+H150+H151</f>
        <v>0</v>
      </c>
      <c r="I148" s="104">
        <f t="shared" si="41"/>
        <v>0</v>
      </c>
      <c r="J148" s="104">
        <f t="shared" si="41"/>
        <v>0</v>
      </c>
      <c r="K148" s="104">
        <f t="shared" si="41"/>
        <v>0</v>
      </c>
      <c r="L148" s="104">
        <f t="shared" si="41"/>
        <v>0</v>
      </c>
      <c r="M148" s="104">
        <f t="shared" si="41"/>
        <v>0</v>
      </c>
      <c r="N148" s="104">
        <f t="shared" si="41"/>
        <v>0</v>
      </c>
      <c r="O148" s="104">
        <f t="shared" si="41"/>
        <v>0</v>
      </c>
      <c r="P148" s="104">
        <f t="shared" si="41"/>
        <v>0</v>
      </c>
      <c r="Q148" s="104">
        <f t="shared" si="41"/>
        <v>0</v>
      </c>
      <c r="R148" s="104">
        <f t="shared" si="41"/>
        <v>0</v>
      </c>
      <c r="S148" s="104">
        <f t="shared" si="41"/>
        <v>0</v>
      </c>
      <c r="T148" s="104">
        <f t="shared" si="41"/>
        <v>0</v>
      </c>
      <c r="U148" s="104">
        <f t="shared" si="41"/>
        <v>0</v>
      </c>
      <c r="V148" s="104">
        <f t="shared" si="41"/>
        <v>0</v>
      </c>
      <c r="W148" s="104">
        <f t="shared" si="41"/>
        <v>0</v>
      </c>
      <c r="X148" s="104">
        <f t="shared" si="41"/>
        <v>0</v>
      </c>
      <c r="Y148" s="104">
        <f t="shared" si="41"/>
        <v>0</v>
      </c>
      <c r="Z148" s="104">
        <f t="shared" si="41"/>
        <v>0</v>
      </c>
      <c r="AA148" s="104">
        <f t="shared" si="41"/>
        <v>0</v>
      </c>
      <c r="AB148" s="104">
        <f t="shared" si="41"/>
        <v>0</v>
      </c>
      <c r="AC148" s="104">
        <f t="shared" si="41"/>
        <v>0</v>
      </c>
      <c r="AD148" s="104">
        <f t="shared" si="41"/>
        <v>0</v>
      </c>
      <c r="AE148" s="104">
        <f t="shared" si="41"/>
        <v>0</v>
      </c>
      <c r="AF148" s="101"/>
      <c r="AG148" s="102">
        <f t="shared" si="37"/>
        <v>0</v>
      </c>
    </row>
    <row r="149" spans="1:33" x14ac:dyDescent="0.3">
      <c r="A149" s="106" t="s">
        <v>169</v>
      </c>
      <c r="B149" s="107">
        <f>B155</f>
        <v>0</v>
      </c>
      <c r="C149" s="107">
        <f>C155</f>
        <v>0</v>
      </c>
      <c r="D149" s="107">
        <f>D155</f>
        <v>0</v>
      </c>
      <c r="E149" s="107">
        <f>E155</f>
        <v>0</v>
      </c>
      <c r="F149" s="107">
        <f>IFERROR(E149/B149*100,0)</f>
        <v>0</v>
      </c>
      <c r="G149" s="107">
        <f>IFERROR(E149/C149*100,0)</f>
        <v>0</v>
      </c>
      <c r="H149" s="107">
        <f t="shared" ref="H149:AE152" si="42">H155</f>
        <v>0</v>
      </c>
      <c r="I149" s="107">
        <f t="shared" si="42"/>
        <v>0</v>
      </c>
      <c r="J149" s="107">
        <f t="shared" si="42"/>
        <v>0</v>
      </c>
      <c r="K149" s="107">
        <f t="shared" si="42"/>
        <v>0</v>
      </c>
      <c r="L149" s="107">
        <f t="shared" si="42"/>
        <v>0</v>
      </c>
      <c r="M149" s="107">
        <f t="shared" si="42"/>
        <v>0</v>
      </c>
      <c r="N149" s="107">
        <f t="shared" si="42"/>
        <v>0</v>
      </c>
      <c r="O149" s="107">
        <f t="shared" si="42"/>
        <v>0</v>
      </c>
      <c r="P149" s="107">
        <f t="shared" si="42"/>
        <v>0</v>
      </c>
      <c r="Q149" s="107">
        <f t="shared" si="42"/>
        <v>0</v>
      </c>
      <c r="R149" s="107">
        <f t="shared" si="42"/>
        <v>0</v>
      </c>
      <c r="S149" s="107">
        <f t="shared" si="42"/>
        <v>0</v>
      </c>
      <c r="T149" s="107">
        <f t="shared" si="42"/>
        <v>0</v>
      </c>
      <c r="U149" s="107">
        <f t="shared" si="42"/>
        <v>0</v>
      </c>
      <c r="V149" s="107">
        <f t="shared" si="42"/>
        <v>0</v>
      </c>
      <c r="W149" s="107">
        <f t="shared" si="42"/>
        <v>0</v>
      </c>
      <c r="X149" s="107">
        <f t="shared" si="42"/>
        <v>0</v>
      </c>
      <c r="Y149" s="107">
        <f t="shared" si="42"/>
        <v>0</v>
      </c>
      <c r="Z149" s="107">
        <f t="shared" si="42"/>
        <v>0</v>
      </c>
      <c r="AA149" s="107">
        <f t="shared" si="42"/>
        <v>0</v>
      </c>
      <c r="AB149" s="107">
        <f t="shared" si="42"/>
        <v>0</v>
      </c>
      <c r="AC149" s="107">
        <f t="shared" si="42"/>
        <v>0</v>
      </c>
      <c r="AD149" s="107">
        <f t="shared" si="42"/>
        <v>0</v>
      </c>
      <c r="AE149" s="107">
        <f t="shared" si="42"/>
        <v>0</v>
      </c>
      <c r="AF149" s="101"/>
      <c r="AG149" s="102">
        <f t="shared" si="37"/>
        <v>0</v>
      </c>
    </row>
    <row r="150" spans="1:33" x14ac:dyDescent="0.3">
      <c r="A150" s="106" t="s">
        <v>32</v>
      </c>
      <c r="B150" s="107">
        <f t="shared" ref="B150:E152" si="43">B156</f>
        <v>0</v>
      </c>
      <c r="C150" s="107">
        <f t="shared" si="43"/>
        <v>0</v>
      </c>
      <c r="D150" s="107">
        <f t="shared" si="43"/>
        <v>0</v>
      </c>
      <c r="E150" s="107">
        <f t="shared" si="43"/>
        <v>0</v>
      </c>
      <c r="F150" s="107"/>
      <c r="G150" s="107"/>
      <c r="H150" s="107">
        <f t="shared" si="42"/>
        <v>0</v>
      </c>
      <c r="I150" s="107">
        <f t="shared" si="42"/>
        <v>0</v>
      </c>
      <c r="J150" s="107">
        <f t="shared" si="42"/>
        <v>0</v>
      </c>
      <c r="K150" s="107">
        <f t="shared" si="42"/>
        <v>0</v>
      </c>
      <c r="L150" s="107">
        <f t="shared" si="42"/>
        <v>0</v>
      </c>
      <c r="M150" s="107">
        <f t="shared" si="42"/>
        <v>0</v>
      </c>
      <c r="N150" s="107">
        <f t="shared" si="42"/>
        <v>0</v>
      </c>
      <c r="O150" s="107">
        <f t="shared" si="42"/>
        <v>0</v>
      </c>
      <c r="P150" s="107">
        <f t="shared" si="42"/>
        <v>0</v>
      </c>
      <c r="Q150" s="107">
        <f t="shared" si="42"/>
        <v>0</v>
      </c>
      <c r="R150" s="107">
        <f t="shared" si="42"/>
        <v>0</v>
      </c>
      <c r="S150" s="107">
        <f t="shared" si="42"/>
        <v>0</v>
      </c>
      <c r="T150" s="107">
        <f t="shared" si="42"/>
        <v>0</v>
      </c>
      <c r="U150" s="107">
        <f t="shared" si="42"/>
        <v>0</v>
      </c>
      <c r="V150" s="107">
        <f t="shared" si="42"/>
        <v>0</v>
      </c>
      <c r="W150" s="107">
        <f t="shared" si="42"/>
        <v>0</v>
      </c>
      <c r="X150" s="107">
        <f t="shared" si="42"/>
        <v>0</v>
      </c>
      <c r="Y150" s="107">
        <f t="shared" si="42"/>
        <v>0</v>
      </c>
      <c r="Z150" s="107">
        <f t="shared" si="42"/>
        <v>0</v>
      </c>
      <c r="AA150" s="107">
        <f t="shared" si="42"/>
        <v>0</v>
      </c>
      <c r="AB150" s="107">
        <f t="shared" si="42"/>
        <v>0</v>
      </c>
      <c r="AC150" s="107">
        <f t="shared" si="42"/>
        <v>0</v>
      </c>
      <c r="AD150" s="107">
        <f t="shared" si="42"/>
        <v>0</v>
      </c>
      <c r="AE150" s="107">
        <f t="shared" si="42"/>
        <v>0</v>
      </c>
      <c r="AF150" s="101"/>
      <c r="AG150" s="102">
        <f t="shared" si="37"/>
        <v>0</v>
      </c>
    </row>
    <row r="151" spans="1:33" x14ac:dyDescent="0.3">
      <c r="A151" s="106" t="s">
        <v>33</v>
      </c>
      <c r="B151" s="107">
        <f t="shared" si="43"/>
        <v>0</v>
      </c>
      <c r="C151" s="107">
        <f t="shared" si="43"/>
        <v>0</v>
      </c>
      <c r="D151" s="107">
        <f t="shared" si="43"/>
        <v>0</v>
      </c>
      <c r="E151" s="107">
        <f t="shared" si="43"/>
        <v>0</v>
      </c>
      <c r="F151" s="107">
        <f>IFERROR(E151/B151*100,0)</f>
        <v>0</v>
      </c>
      <c r="G151" s="107">
        <f>IFERROR(E151/C151*100,0)</f>
        <v>0</v>
      </c>
      <c r="H151" s="107">
        <f t="shared" si="42"/>
        <v>0</v>
      </c>
      <c r="I151" s="107">
        <f t="shared" si="42"/>
        <v>0</v>
      </c>
      <c r="J151" s="107">
        <f t="shared" si="42"/>
        <v>0</v>
      </c>
      <c r="K151" s="107">
        <f t="shared" si="42"/>
        <v>0</v>
      </c>
      <c r="L151" s="107">
        <f t="shared" si="42"/>
        <v>0</v>
      </c>
      <c r="M151" s="107">
        <f t="shared" si="42"/>
        <v>0</v>
      </c>
      <c r="N151" s="107">
        <f t="shared" si="42"/>
        <v>0</v>
      </c>
      <c r="O151" s="107">
        <f t="shared" si="42"/>
        <v>0</v>
      </c>
      <c r="P151" s="107">
        <f t="shared" si="42"/>
        <v>0</v>
      </c>
      <c r="Q151" s="107">
        <f t="shared" si="42"/>
        <v>0</v>
      </c>
      <c r="R151" s="107">
        <f t="shared" si="42"/>
        <v>0</v>
      </c>
      <c r="S151" s="107">
        <f t="shared" si="42"/>
        <v>0</v>
      </c>
      <c r="T151" s="107">
        <f t="shared" si="42"/>
        <v>0</v>
      </c>
      <c r="U151" s="107">
        <f t="shared" si="42"/>
        <v>0</v>
      </c>
      <c r="V151" s="107">
        <f t="shared" si="42"/>
        <v>0</v>
      </c>
      <c r="W151" s="107">
        <f t="shared" si="42"/>
        <v>0</v>
      </c>
      <c r="X151" s="107">
        <f t="shared" si="42"/>
        <v>0</v>
      </c>
      <c r="Y151" s="107">
        <f t="shared" si="42"/>
        <v>0</v>
      </c>
      <c r="Z151" s="107">
        <f t="shared" si="42"/>
        <v>0</v>
      </c>
      <c r="AA151" s="107">
        <f t="shared" si="42"/>
        <v>0</v>
      </c>
      <c r="AB151" s="107">
        <f t="shared" si="42"/>
        <v>0</v>
      </c>
      <c r="AC151" s="107">
        <f t="shared" si="42"/>
        <v>0</v>
      </c>
      <c r="AD151" s="107">
        <f t="shared" si="42"/>
        <v>0</v>
      </c>
      <c r="AE151" s="107">
        <f t="shared" si="42"/>
        <v>0</v>
      </c>
      <c r="AF151" s="101"/>
      <c r="AG151" s="102">
        <f t="shared" si="37"/>
        <v>0</v>
      </c>
    </row>
    <row r="152" spans="1:33" x14ac:dyDescent="0.3">
      <c r="A152" s="106" t="s">
        <v>170</v>
      </c>
      <c r="B152" s="107">
        <f t="shared" si="43"/>
        <v>0</v>
      </c>
      <c r="C152" s="107">
        <f t="shared" si="43"/>
        <v>0</v>
      </c>
      <c r="D152" s="107">
        <f t="shared" si="43"/>
        <v>0</v>
      </c>
      <c r="E152" s="107">
        <f t="shared" si="43"/>
        <v>0</v>
      </c>
      <c r="F152" s="107">
        <f>IFERROR(E152/B152*100,0)</f>
        <v>0</v>
      </c>
      <c r="G152" s="107">
        <f>IFERROR(E152/C152*100,0)</f>
        <v>0</v>
      </c>
      <c r="H152" s="107">
        <f t="shared" si="42"/>
        <v>0</v>
      </c>
      <c r="I152" s="107">
        <f t="shared" si="42"/>
        <v>0</v>
      </c>
      <c r="J152" s="107">
        <f t="shared" si="42"/>
        <v>0</v>
      </c>
      <c r="K152" s="107">
        <f t="shared" si="42"/>
        <v>0</v>
      </c>
      <c r="L152" s="107">
        <f t="shared" si="42"/>
        <v>0</v>
      </c>
      <c r="M152" s="107">
        <f t="shared" si="42"/>
        <v>0</v>
      </c>
      <c r="N152" s="107">
        <f t="shared" si="42"/>
        <v>0</v>
      </c>
      <c r="O152" s="107">
        <f t="shared" si="42"/>
        <v>0</v>
      </c>
      <c r="P152" s="107">
        <f t="shared" si="42"/>
        <v>0</v>
      </c>
      <c r="Q152" s="107">
        <f t="shared" si="42"/>
        <v>0</v>
      </c>
      <c r="R152" s="107">
        <f t="shared" si="42"/>
        <v>0</v>
      </c>
      <c r="S152" s="107">
        <f t="shared" si="42"/>
        <v>0</v>
      </c>
      <c r="T152" s="107">
        <f t="shared" si="42"/>
        <v>0</v>
      </c>
      <c r="U152" s="107">
        <f t="shared" si="42"/>
        <v>0</v>
      </c>
      <c r="V152" s="107">
        <f t="shared" si="42"/>
        <v>0</v>
      </c>
      <c r="W152" s="107">
        <f t="shared" si="42"/>
        <v>0</v>
      </c>
      <c r="X152" s="107">
        <f t="shared" si="42"/>
        <v>0</v>
      </c>
      <c r="Y152" s="107">
        <f t="shared" si="42"/>
        <v>0</v>
      </c>
      <c r="Z152" s="107">
        <f t="shared" si="42"/>
        <v>0</v>
      </c>
      <c r="AA152" s="107">
        <f t="shared" si="42"/>
        <v>0</v>
      </c>
      <c r="AB152" s="107">
        <f t="shared" si="42"/>
        <v>0</v>
      </c>
      <c r="AC152" s="107">
        <f t="shared" si="42"/>
        <v>0</v>
      </c>
      <c r="AD152" s="107">
        <f t="shared" si="42"/>
        <v>0</v>
      </c>
      <c r="AE152" s="107">
        <f t="shared" si="42"/>
        <v>0</v>
      </c>
      <c r="AF152" s="101"/>
      <c r="AG152" s="102">
        <f t="shared" si="37"/>
        <v>0</v>
      </c>
    </row>
    <row r="153" spans="1:33" ht="37.5" x14ac:dyDescent="0.3">
      <c r="A153" s="108" t="s">
        <v>289</v>
      </c>
      <c r="B153" s="130"/>
      <c r="C153" s="131"/>
      <c r="D153" s="131"/>
      <c r="E153" s="131"/>
      <c r="F153" s="131"/>
      <c r="G153" s="13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1"/>
      <c r="AF153" s="29"/>
      <c r="AG153" s="102">
        <f t="shared" si="37"/>
        <v>0</v>
      </c>
    </row>
    <row r="154" spans="1:33" x14ac:dyDescent="0.3">
      <c r="A154" s="112" t="s">
        <v>31</v>
      </c>
      <c r="B154" s="113">
        <f>B156+B157+B155+B158</f>
        <v>0</v>
      </c>
      <c r="C154" s="113">
        <f>C156+C157+C155+C158</f>
        <v>0</v>
      </c>
      <c r="D154" s="113">
        <f>D156+D157+D155+D158</f>
        <v>0</v>
      </c>
      <c r="E154" s="113">
        <f>E156+E157+E155+E158</f>
        <v>0</v>
      </c>
      <c r="F154" s="113">
        <f>IFERROR(E154/B154*100,0)</f>
        <v>0</v>
      </c>
      <c r="G154" s="113">
        <f>IFERROR(E154/C154*100,0)</f>
        <v>0</v>
      </c>
      <c r="H154" s="113">
        <f t="shared" ref="H154:AE154" si="44">H156+H157+H155+H158</f>
        <v>0</v>
      </c>
      <c r="I154" s="113">
        <f t="shared" si="44"/>
        <v>0</v>
      </c>
      <c r="J154" s="113">
        <f t="shared" si="44"/>
        <v>0</v>
      </c>
      <c r="K154" s="113">
        <f t="shared" si="44"/>
        <v>0</v>
      </c>
      <c r="L154" s="113">
        <f t="shared" si="44"/>
        <v>0</v>
      </c>
      <c r="M154" s="113">
        <f t="shared" si="44"/>
        <v>0</v>
      </c>
      <c r="N154" s="113">
        <f t="shared" si="44"/>
        <v>0</v>
      </c>
      <c r="O154" s="113">
        <f t="shared" si="44"/>
        <v>0</v>
      </c>
      <c r="P154" s="113">
        <f t="shared" si="44"/>
        <v>0</v>
      </c>
      <c r="Q154" s="113">
        <f t="shared" si="44"/>
        <v>0</v>
      </c>
      <c r="R154" s="113">
        <f t="shared" si="44"/>
        <v>0</v>
      </c>
      <c r="S154" s="113">
        <f t="shared" si="44"/>
        <v>0</v>
      </c>
      <c r="T154" s="113">
        <f t="shared" si="44"/>
        <v>0</v>
      </c>
      <c r="U154" s="113">
        <f t="shared" si="44"/>
        <v>0</v>
      </c>
      <c r="V154" s="113">
        <f t="shared" si="44"/>
        <v>0</v>
      </c>
      <c r="W154" s="113">
        <f t="shared" si="44"/>
        <v>0</v>
      </c>
      <c r="X154" s="113">
        <f t="shared" si="44"/>
        <v>0</v>
      </c>
      <c r="Y154" s="113">
        <f t="shared" si="44"/>
        <v>0</v>
      </c>
      <c r="Z154" s="113">
        <f t="shared" si="44"/>
        <v>0</v>
      </c>
      <c r="AA154" s="113">
        <f t="shared" si="44"/>
        <v>0</v>
      </c>
      <c r="AB154" s="113">
        <f t="shared" si="44"/>
        <v>0</v>
      </c>
      <c r="AC154" s="113">
        <f t="shared" si="44"/>
        <v>0</v>
      </c>
      <c r="AD154" s="113">
        <f t="shared" si="44"/>
        <v>0</v>
      </c>
      <c r="AE154" s="113">
        <f t="shared" si="44"/>
        <v>0</v>
      </c>
      <c r="AF154" s="29"/>
      <c r="AG154" s="102">
        <f t="shared" si="37"/>
        <v>0</v>
      </c>
    </row>
    <row r="155" spans="1:33" x14ac:dyDescent="0.3">
      <c r="A155" s="115" t="s">
        <v>169</v>
      </c>
      <c r="B155" s="116"/>
      <c r="C155" s="117"/>
      <c r="D155" s="118"/>
      <c r="E155" s="117"/>
      <c r="F155" s="116"/>
      <c r="G155" s="116"/>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c r="AD155" s="111"/>
      <c r="AE155" s="111"/>
      <c r="AF155" s="29"/>
      <c r="AG155" s="102">
        <f t="shared" si="37"/>
        <v>0</v>
      </c>
    </row>
    <row r="156" spans="1:33" x14ac:dyDescent="0.3">
      <c r="A156" s="115" t="s">
        <v>32</v>
      </c>
      <c r="B156" s="116"/>
      <c r="C156" s="117"/>
      <c r="D156" s="118"/>
      <c r="E156" s="117"/>
      <c r="F156" s="116"/>
      <c r="G156" s="116"/>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c r="AD156" s="111"/>
      <c r="AE156" s="111"/>
      <c r="AF156" s="29"/>
      <c r="AG156" s="102">
        <f t="shared" si="37"/>
        <v>0</v>
      </c>
    </row>
    <row r="157" spans="1:33" x14ac:dyDescent="0.3">
      <c r="A157" s="115" t="s">
        <v>33</v>
      </c>
      <c r="B157" s="116">
        <f>J157+L157+N157+P157+R157+T157+V157+X157+Z157+AB157+AD157+H157</f>
        <v>0</v>
      </c>
      <c r="C157" s="117">
        <f>SUM(H157)</f>
        <v>0</v>
      </c>
      <c r="D157" s="118">
        <f>E157</f>
        <v>0</v>
      </c>
      <c r="E157" s="117">
        <f>SUM(I157,K157,M157,O157,Q157,S157,U157,W157,Y157,AA157,AC157,AE157)</f>
        <v>0</v>
      </c>
      <c r="F157" s="116">
        <f>IFERROR(E157/B157*100,0)</f>
        <v>0</v>
      </c>
      <c r="G157" s="116">
        <f>IFERROR(E157/C157*100,0)</f>
        <v>0</v>
      </c>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11"/>
      <c r="AF157" s="29"/>
      <c r="AG157" s="102">
        <f t="shared" si="37"/>
        <v>0</v>
      </c>
    </row>
    <row r="158" spans="1:33" x14ac:dyDescent="0.3">
      <c r="A158" s="122" t="s">
        <v>170</v>
      </c>
      <c r="B158" s="116"/>
      <c r="C158" s="117"/>
      <c r="D158" s="118"/>
      <c r="E158" s="117"/>
      <c r="F158" s="116"/>
      <c r="G158" s="116"/>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11"/>
      <c r="AF158" s="29"/>
      <c r="AG158" s="102">
        <f t="shared" si="37"/>
        <v>0</v>
      </c>
    </row>
    <row r="159" spans="1:33" x14ac:dyDescent="0.3">
      <c r="A159" s="1032" t="s">
        <v>290</v>
      </c>
      <c r="B159" s="1033"/>
      <c r="C159" s="1033"/>
      <c r="D159" s="1033"/>
      <c r="E159" s="1033"/>
      <c r="F159" s="1033"/>
      <c r="G159" s="1033"/>
      <c r="H159" s="1033"/>
      <c r="I159" s="1033"/>
      <c r="J159" s="1033"/>
      <c r="K159" s="1033"/>
      <c r="L159" s="1033"/>
      <c r="M159" s="1033"/>
      <c r="N159" s="1033"/>
      <c r="O159" s="1033"/>
      <c r="P159" s="1033"/>
      <c r="Q159" s="1033"/>
      <c r="R159" s="1033"/>
      <c r="S159" s="1033"/>
      <c r="T159" s="1033"/>
      <c r="U159" s="1033"/>
      <c r="V159" s="1033"/>
      <c r="W159" s="1033"/>
      <c r="X159" s="1033"/>
      <c r="Y159" s="1033"/>
      <c r="Z159" s="1033"/>
      <c r="AA159" s="1033"/>
      <c r="AB159" s="1033"/>
      <c r="AC159" s="1033"/>
      <c r="AD159" s="1033"/>
      <c r="AE159" s="1033"/>
      <c r="AF159" s="1034"/>
      <c r="AG159" s="102">
        <f t="shared" si="37"/>
        <v>0</v>
      </c>
    </row>
    <row r="160" spans="1:33" s="97" customFormat="1" x14ac:dyDescent="0.3">
      <c r="A160" s="1032" t="s">
        <v>167</v>
      </c>
      <c r="B160" s="1033"/>
      <c r="C160" s="1033"/>
      <c r="D160" s="1033"/>
      <c r="E160" s="1033"/>
      <c r="F160" s="1033"/>
      <c r="G160" s="1033"/>
      <c r="H160" s="1033"/>
      <c r="I160" s="1033"/>
      <c r="J160" s="1033"/>
      <c r="K160" s="1033"/>
      <c r="L160" s="1033"/>
      <c r="M160" s="1033"/>
      <c r="N160" s="1033"/>
      <c r="O160" s="1033"/>
      <c r="P160" s="1033"/>
      <c r="Q160" s="1033"/>
      <c r="R160" s="1033"/>
      <c r="S160" s="1033"/>
      <c r="T160" s="1033"/>
      <c r="U160" s="1033"/>
      <c r="V160" s="1033"/>
      <c r="W160" s="1033"/>
      <c r="X160" s="1033"/>
      <c r="Y160" s="1033"/>
      <c r="Z160" s="1033"/>
      <c r="AA160" s="1033"/>
      <c r="AB160" s="1033"/>
      <c r="AC160" s="1033"/>
      <c r="AD160" s="1033"/>
      <c r="AE160" s="1033"/>
      <c r="AF160" s="1034"/>
    </row>
    <row r="161" spans="1:33" ht="56.25" customHeight="1" x14ac:dyDescent="0.3">
      <c r="A161" s="98" t="s">
        <v>291</v>
      </c>
      <c r="B161" s="99"/>
      <c r="C161" s="100"/>
      <c r="D161" s="100"/>
      <c r="E161" s="100"/>
      <c r="F161" s="100"/>
      <c r="G161" s="100"/>
      <c r="H161" s="100"/>
      <c r="I161" s="100"/>
      <c r="J161" s="100"/>
      <c r="K161" s="100"/>
      <c r="L161" s="100"/>
      <c r="M161" s="100"/>
      <c r="N161" s="100"/>
      <c r="O161" s="100"/>
      <c r="P161" s="100"/>
      <c r="Q161" s="100"/>
      <c r="R161" s="100"/>
      <c r="S161" s="100"/>
      <c r="T161" s="100"/>
      <c r="U161" s="100"/>
      <c r="V161" s="100"/>
      <c r="W161" s="100"/>
      <c r="X161" s="100"/>
      <c r="Y161" s="100"/>
      <c r="Z161" s="100"/>
      <c r="AA161" s="100"/>
      <c r="AB161" s="100"/>
      <c r="AC161" s="100"/>
      <c r="AD161" s="100"/>
      <c r="AE161" s="100"/>
      <c r="AF161" s="101"/>
      <c r="AG161" s="102">
        <f>B161-H161-J161-L161-N161-P161-R161-T161-V161-X161-Z161-AB161-AD161</f>
        <v>0</v>
      </c>
    </row>
    <row r="162" spans="1:33" x14ac:dyDescent="0.3">
      <c r="A162" s="103" t="s">
        <v>31</v>
      </c>
      <c r="B162" s="104">
        <f>B163+B164+B165+B166</f>
        <v>11</v>
      </c>
      <c r="C162" s="104">
        <f>C163+C164+C165+C166</f>
        <v>11</v>
      </c>
      <c r="D162" s="104">
        <f>D163+D164+D165+D166</f>
        <v>11</v>
      </c>
      <c r="E162" s="104">
        <f>E163+E164+E165+E166</f>
        <v>11</v>
      </c>
      <c r="F162" s="105">
        <f>IFERROR(E162/B162*100,0)</f>
        <v>100</v>
      </c>
      <c r="G162" s="105">
        <f>IFERROR(E162/C162*100,0)</f>
        <v>100</v>
      </c>
      <c r="H162" s="104">
        <f>H163+H164+H165+H166</f>
        <v>2</v>
      </c>
      <c r="I162" s="104">
        <f t="shared" ref="I162:AE162" si="45">I163+I164+I165+I166</f>
        <v>2</v>
      </c>
      <c r="J162" s="104">
        <f t="shared" si="45"/>
        <v>1</v>
      </c>
      <c r="K162" s="104">
        <f t="shared" si="45"/>
        <v>1</v>
      </c>
      <c r="L162" s="104">
        <f t="shared" si="45"/>
        <v>8</v>
      </c>
      <c r="M162" s="104">
        <f t="shared" si="45"/>
        <v>8</v>
      </c>
      <c r="N162" s="104">
        <f t="shared" si="45"/>
        <v>0</v>
      </c>
      <c r="O162" s="104">
        <f t="shared" si="45"/>
        <v>0</v>
      </c>
      <c r="P162" s="104">
        <f t="shared" si="45"/>
        <v>0</v>
      </c>
      <c r="Q162" s="104">
        <f t="shared" si="45"/>
        <v>0</v>
      </c>
      <c r="R162" s="104">
        <f t="shared" si="45"/>
        <v>0</v>
      </c>
      <c r="S162" s="104">
        <f t="shared" si="45"/>
        <v>0</v>
      </c>
      <c r="T162" s="104">
        <f t="shared" si="45"/>
        <v>0</v>
      </c>
      <c r="U162" s="104">
        <f t="shared" si="45"/>
        <v>0</v>
      </c>
      <c r="V162" s="104">
        <f t="shared" si="45"/>
        <v>0</v>
      </c>
      <c r="W162" s="104">
        <f t="shared" si="45"/>
        <v>0</v>
      </c>
      <c r="X162" s="104">
        <f t="shared" si="45"/>
        <v>0</v>
      </c>
      <c r="Y162" s="104">
        <f t="shared" si="45"/>
        <v>0</v>
      </c>
      <c r="Z162" s="104">
        <f t="shared" si="45"/>
        <v>0</v>
      </c>
      <c r="AA162" s="104">
        <f t="shared" si="45"/>
        <v>0</v>
      </c>
      <c r="AB162" s="104">
        <f t="shared" si="45"/>
        <v>0</v>
      </c>
      <c r="AC162" s="104">
        <f t="shared" si="45"/>
        <v>0</v>
      </c>
      <c r="AD162" s="104">
        <f t="shared" si="45"/>
        <v>0</v>
      </c>
      <c r="AE162" s="104">
        <f t="shared" si="45"/>
        <v>0</v>
      </c>
      <c r="AF162" s="101"/>
      <c r="AG162" s="102">
        <f t="shared" ref="AG162:AG172" si="46">B162-H162-J162-L162-N162-P162-R162-T162-V162-X162-Z162-AB162-AD162</f>
        <v>0</v>
      </c>
    </row>
    <row r="163" spans="1:33" x14ac:dyDescent="0.3">
      <c r="A163" s="106" t="s">
        <v>169</v>
      </c>
      <c r="B163" s="107">
        <f>B169</f>
        <v>0</v>
      </c>
      <c r="C163" s="107">
        <f>C169</f>
        <v>0</v>
      </c>
      <c r="D163" s="107">
        <f>D169</f>
        <v>0</v>
      </c>
      <c r="E163" s="107">
        <f>E169</f>
        <v>0</v>
      </c>
      <c r="F163" s="107">
        <f>IFERROR(E163/B163*100,0)</f>
        <v>0</v>
      </c>
      <c r="G163" s="107">
        <f>IFERROR(E163/C163*100,0)</f>
        <v>0</v>
      </c>
      <c r="H163" s="107">
        <f t="shared" ref="H163:AE166" si="47">H169</f>
        <v>0</v>
      </c>
      <c r="I163" s="107">
        <f t="shared" si="47"/>
        <v>0</v>
      </c>
      <c r="J163" s="107">
        <f t="shared" si="47"/>
        <v>0</v>
      </c>
      <c r="K163" s="107">
        <f t="shared" si="47"/>
        <v>0</v>
      </c>
      <c r="L163" s="107">
        <f t="shared" si="47"/>
        <v>0</v>
      </c>
      <c r="M163" s="107">
        <f t="shared" si="47"/>
        <v>0</v>
      </c>
      <c r="N163" s="107">
        <f t="shared" si="47"/>
        <v>0</v>
      </c>
      <c r="O163" s="107">
        <f t="shared" si="47"/>
        <v>0</v>
      </c>
      <c r="P163" s="107">
        <f t="shared" si="47"/>
        <v>0</v>
      </c>
      <c r="Q163" s="107">
        <f t="shared" si="47"/>
        <v>0</v>
      </c>
      <c r="R163" s="107">
        <f t="shared" si="47"/>
        <v>0</v>
      </c>
      <c r="S163" s="107">
        <f t="shared" si="47"/>
        <v>0</v>
      </c>
      <c r="T163" s="107">
        <f t="shared" si="47"/>
        <v>0</v>
      </c>
      <c r="U163" s="107">
        <f t="shared" si="47"/>
        <v>0</v>
      </c>
      <c r="V163" s="107">
        <f t="shared" si="47"/>
        <v>0</v>
      </c>
      <c r="W163" s="107">
        <f t="shared" si="47"/>
        <v>0</v>
      </c>
      <c r="X163" s="107">
        <f t="shared" si="47"/>
        <v>0</v>
      </c>
      <c r="Y163" s="107">
        <f t="shared" si="47"/>
        <v>0</v>
      </c>
      <c r="Z163" s="107">
        <f t="shared" si="47"/>
        <v>0</v>
      </c>
      <c r="AA163" s="107">
        <f t="shared" si="47"/>
        <v>0</v>
      </c>
      <c r="AB163" s="107">
        <f t="shared" si="47"/>
        <v>0</v>
      </c>
      <c r="AC163" s="107">
        <f t="shared" si="47"/>
        <v>0</v>
      </c>
      <c r="AD163" s="107">
        <f t="shared" si="47"/>
        <v>0</v>
      </c>
      <c r="AE163" s="107">
        <f t="shared" si="47"/>
        <v>0</v>
      </c>
      <c r="AF163" s="101"/>
      <c r="AG163" s="102">
        <f t="shared" si="46"/>
        <v>0</v>
      </c>
    </row>
    <row r="164" spans="1:33" x14ac:dyDescent="0.3">
      <c r="A164" s="106" t="s">
        <v>32</v>
      </c>
      <c r="B164" s="107">
        <f t="shared" ref="B164:E166" si="48">B170</f>
        <v>0</v>
      </c>
      <c r="C164" s="107">
        <f t="shared" si="48"/>
        <v>0</v>
      </c>
      <c r="D164" s="107">
        <f t="shared" si="48"/>
        <v>0</v>
      </c>
      <c r="E164" s="107">
        <f t="shared" si="48"/>
        <v>0</v>
      </c>
      <c r="F164" s="107">
        <f>IFERROR(E164/B164*100,0)</f>
        <v>0</v>
      </c>
      <c r="G164" s="107">
        <f>IFERROR(E164/C164*100,0)</f>
        <v>0</v>
      </c>
      <c r="H164" s="107">
        <f t="shared" si="47"/>
        <v>0</v>
      </c>
      <c r="I164" s="107">
        <f t="shared" si="47"/>
        <v>0</v>
      </c>
      <c r="J164" s="107">
        <f t="shared" si="47"/>
        <v>0</v>
      </c>
      <c r="K164" s="107">
        <f t="shared" si="47"/>
        <v>0</v>
      </c>
      <c r="L164" s="107">
        <f t="shared" si="47"/>
        <v>0</v>
      </c>
      <c r="M164" s="107">
        <f t="shared" si="47"/>
        <v>0</v>
      </c>
      <c r="N164" s="107">
        <f t="shared" si="47"/>
        <v>0</v>
      </c>
      <c r="O164" s="107">
        <f t="shared" si="47"/>
        <v>0</v>
      </c>
      <c r="P164" s="107">
        <f t="shared" si="47"/>
        <v>0</v>
      </c>
      <c r="Q164" s="107">
        <f t="shared" si="47"/>
        <v>0</v>
      </c>
      <c r="R164" s="107">
        <f t="shared" si="47"/>
        <v>0</v>
      </c>
      <c r="S164" s="107">
        <f t="shared" si="47"/>
        <v>0</v>
      </c>
      <c r="T164" s="107">
        <f t="shared" si="47"/>
        <v>0</v>
      </c>
      <c r="U164" s="107">
        <f t="shared" si="47"/>
        <v>0</v>
      </c>
      <c r="V164" s="107">
        <f t="shared" si="47"/>
        <v>0</v>
      </c>
      <c r="W164" s="107">
        <f t="shared" si="47"/>
        <v>0</v>
      </c>
      <c r="X164" s="107">
        <f t="shared" si="47"/>
        <v>0</v>
      </c>
      <c r="Y164" s="107">
        <f t="shared" si="47"/>
        <v>0</v>
      </c>
      <c r="Z164" s="107">
        <f t="shared" si="47"/>
        <v>0</v>
      </c>
      <c r="AA164" s="107">
        <f t="shared" si="47"/>
        <v>0</v>
      </c>
      <c r="AB164" s="107">
        <f t="shared" si="47"/>
        <v>0</v>
      </c>
      <c r="AC164" s="107">
        <f t="shared" si="47"/>
        <v>0</v>
      </c>
      <c r="AD164" s="107">
        <f t="shared" si="47"/>
        <v>0</v>
      </c>
      <c r="AE164" s="107">
        <f t="shared" si="47"/>
        <v>0</v>
      </c>
      <c r="AF164" s="101"/>
      <c r="AG164" s="102">
        <f t="shared" si="46"/>
        <v>0</v>
      </c>
    </row>
    <row r="165" spans="1:33" x14ac:dyDescent="0.3">
      <c r="A165" s="106" t="s">
        <v>33</v>
      </c>
      <c r="B165" s="627">
        <f t="shared" si="48"/>
        <v>11</v>
      </c>
      <c r="C165" s="107">
        <f t="shared" si="48"/>
        <v>11</v>
      </c>
      <c r="D165" s="107">
        <f t="shared" si="48"/>
        <v>11</v>
      </c>
      <c r="E165" s="107">
        <f t="shared" si="48"/>
        <v>11</v>
      </c>
      <c r="F165" s="107">
        <f>IFERROR(E165/B165*100,0)</f>
        <v>100</v>
      </c>
      <c r="G165" s="107">
        <f>IFERROR(E165/C165*100,0)</f>
        <v>100</v>
      </c>
      <c r="H165" s="107">
        <f t="shared" si="47"/>
        <v>2</v>
      </c>
      <c r="I165" s="107">
        <f t="shared" si="47"/>
        <v>2</v>
      </c>
      <c r="J165" s="107">
        <f t="shared" si="47"/>
        <v>1</v>
      </c>
      <c r="K165" s="107">
        <f t="shared" si="47"/>
        <v>1</v>
      </c>
      <c r="L165" s="107">
        <f t="shared" si="47"/>
        <v>8</v>
      </c>
      <c r="M165" s="107">
        <f t="shared" si="47"/>
        <v>8</v>
      </c>
      <c r="N165" s="107">
        <f t="shared" si="47"/>
        <v>0</v>
      </c>
      <c r="O165" s="107">
        <f t="shared" si="47"/>
        <v>0</v>
      </c>
      <c r="P165" s="107">
        <f t="shared" si="47"/>
        <v>0</v>
      </c>
      <c r="Q165" s="107">
        <f t="shared" si="47"/>
        <v>0</v>
      </c>
      <c r="R165" s="107">
        <f t="shared" si="47"/>
        <v>0</v>
      </c>
      <c r="S165" s="107">
        <f t="shared" si="47"/>
        <v>0</v>
      </c>
      <c r="T165" s="107">
        <f t="shared" si="47"/>
        <v>0</v>
      </c>
      <c r="U165" s="107">
        <f t="shared" si="47"/>
        <v>0</v>
      </c>
      <c r="V165" s="107">
        <f t="shared" si="47"/>
        <v>0</v>
      </c>
      <c r="W165" s="107">
        <f t="shared" si="47"/>
        <v>0</v>
      </c>
      <c r="X165" s="107">
        <f t="shared" si="47"/>
        <v>0</v>
      </c>
      <c r="Y165" s="107">
        <f t="shared" si="47"/>
        <v>0</v>
      </c>
      <c r="Z165" s="107">
        <f t="shared" si="47"/>
        <v>0</v>
      </c>
      <c r="AA165" s="107">
        <f t="shared" si="47"/>
        <v>0</v>
      </c>
      <c r="AB165" s="107">
        <f t="shared" si="47"/>
        <v>0</v>
      </c>
      <c r="AC165" s="107">
        <f t="shared" si="47"/>
        <v>0</v>
      </c>
      <c r="AD165" s="107">
        <f t="shared" si="47"/>
        <v>0</v>
      </c>
      <c r="AE165" s="107">
        <f t="shared" si="47"/>
        <v>0</v>
      </c>
      <c r="AF165" s="101"/>
      <c r="AG165" s="102">
        <f t="shared" si="46"/>
        <v>0</v>
      </c>
    </row>
    <row r="166" spans="1:33" x14ac:dyDescent="0.3">
      <c r="A166" s="106" t="s">
        <v>170</v>
      </c>
      <c r="B166" s="107">
        <f t="shared" si="48"/>
        <v>0</v>
      </c>
      <c r="C166" s="107">
        <f t="shared" si="48"/>
        <v>0</v>
      </c>
      <c r="D166" s="107">
        <f t="shared" si="48"/>
        <v>0</v>
      </c>
      <c r="E166" s="107">
        <f t="shared" si="48"/>
        <v>0</v>
      </c>
      <c r="F166" s="107">
        <f>IFERROR(E166/B166*100,0)</f>
        <v>0</v>
      </c>
      <c r="G166" s="107">
        <f>IFERROR(E166/C166*100,0)</f>
        <v>0</v>
      </c>
      <c r="H166" s="107">
        <f t="shared" si="47"/>
        <v>0</v>
      </c>
      <c r="I166" s="107">
        <f t="shared" si="47"/>
        <v>0</v>
      </c>
      <c r="J166" s="107">
        <f t="shared" si="47"/>
        <v>0</v>
      </c>
      <c r="K166" s="107">
        <f t="shared" si="47"/>
        <v>0</v>
      </c>
      <c r="L166" s="107">
        <f t="shared" si="47"/>
        <v>0</v>
      </c>
      <c r="M166" s="107">
        <f t="shared" si="47"/>
        <v>0</v>
      </c>
      <c r="N166" s="107">
        <f t="shared" si="47"/>
        <v>0</v>
      </c>
      <c r="O166" s="107">
        <f t="shared" si="47"/>
        <v>0</v>
      </c>
      <c r="P166" s="107">
        <f t="shared" si="47"/>
        <v>0</v>
      </c>
      <c r="Q166" s="107">
        <f t="shared" si="47"/>
        <v>0</v>
      </c>
      <c r="R166" s="107">
        <f t="shared" si="47"/>
        <v>0</v>
      </c>
      <c r="S166" s="107">
        <f t="shared" si="47"/>
        <v>0</v>
      </c>
      <c r="T166" s="107">
        <f t="shared" si="47"/>
        <v>0</v>
      </c>
      <c r="U166" s="107">
        <f t="shared" si="47"/>
        <v>0</v>
      </c>
      <c r="V166" s="107">
        <f t="shared" si="47"/>
        <v>0</v>
      </c>
      <c r="W166" s="107">
        <f t="shared" si="47"/>
        <v>0</v>
      </c>
      <c r="X166" s="107">
        <f t="shared" si="47"/>
        <v>0</v>
      </c>
      <c r="Y166" s="107">
        <f t="shared" si="47"/>
        <v>0</v>
      </c>
      <c r="Z166" s="107">
        <f t="shared" si="47"/>
        <v>0</v>
      </c>
      <c r="AA166" s="107">
        <f t="shared" si="47"/>
        <v>0</v>
      </c>
      <c r="AB166" s="107">
        <f t="shared" si="47"/>
        <v>0</v>
      </c>
      <c r="AC166" s="107">
        <f t="shared" si="47"/>
        <v>0</v>
      </c>
      <c r="AD166" s="107">
        <f t="shared" si="47"/>
        <v>0</v>
      </c>
      <c r="AE166" s="107">
        <f t="shared" si="47"/>
        <v>0</v>
      </c>
      <c r="AF166" s="101"/>
      <c r="AG166" s="102">
        <f t="shared" si="46"/>
        <v>0</v>
      </c>
    </row>
    <row r="167" spans="1:33" ht="60.75" customHeight="1" x14ac:dyDescent="0.3">
      <c r="A167" s="787" t="s">
        <v>292</v>
      </c>
      <c r="B167" s="109"/>
      <c r="C167" s="110"/>
      <c r="D167" s="110"/>
      <c r="E167" s="110"/>
      <c r="F167" s="110"/>
      <c r="G167" s="110"/>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c r="AD167" s="111"/>
      <c r="AE167" s="111"/>
      <c r="AF167" s="29"/>
      <c r="AG167" s="102">
        <f t="shared" si="46"/>
        <v>0</v>
      </c>
    </row>
    <row r="168" spans="1:33" x14ac:dyDescent="0.3">
      <c r="A168" s="112" t="s">
        <v>31</v>
      </c>
      <c r="B168" s="624">
        <f>B170+B171+B169+B172</f>
        <v>11</v>
      </c>
      <c r="C168" s="624">
        <f>C170+C171+C169+C172</f>
        <v>11</v>
      </c>
      <c r="D168" s="114">
        <f>D170+D171+D169+D172</f>
        <v>11</v>
      </c>
      <c r="E168" s="113">
        <f>E170+E171+E169+E172</f>
        <v>11</v>
      </c>
      <c r="F168" s="113">
        <f>IFERROR(E168/B168*100,0)</f>
        <v>100</v>
      </c>
      <c r="G168" s="113">
        <f>IFERROR(E168/C168*100,0)</f>
        <v>100</v>
      </c>
      <c r="H168" s="113">
        <f t="shared" ref="H168:AE168" si="49">H170+H171+H169+H172</f>
        <v>2</v>
      </c>
      <c r="I168" s="113">
        <f t="shared" si="49"/>
        <v>2</v>
      </c>
      <c r="J168" s="113">
        <f t="shared" si="49"/>
        <v>1</v>
      </c>
      <c r="K168" s="113">
        <f t="shared" si="49"/>
        <v>1</v>
      </c>
      <c r="L168" s="113">
        <f t="shared" si="49"/>
        <v>8</v>
      </c>
      <c r="M168" s="113">
        <f t="shared" si="49"/>
        <v>8</v>
      </c>
      <c r="N168" s="113">
        <f t="shared" si="49"/>
        <v>0</v>
      </c>
      <c r="O168" s="113">
        <f t="shared" si="49"/>
        <v>0</v>
      </c>
      <c r="P168" s="113">
        <f t="shared" si="49"/>
        <v>0</v>
      </c>
      <c r="Q168" s="113">
        <f t="shared" si="49"/>
        <v>0</v>
      </c>
      <c r="R168" s="113">
        <f t="shared" si="49"/>
        <v>0</v>
      </c>
      <c r="S168" s="113">
        <f t="shared" si="49"/>
        <v>0</v>
      </c>
      <c r="T168" s="113">
        <f t="shared" si="49"/>
        <v>0</v>
      </c>
      <c r="U168" s="113">
        <f t="shared" si="49"/>
        <v>0</v>
      </c>
      <c r="V168" s="113">
        <f t="shared" si="49"/>
        <v>0</v>
      </c>
      <c r="W168" s="113">
        <f t="shared" si="49"/>
        <v>0</v>
      </c>
      <c r="X168" s="113">
        <f t="shared" si="49"/>
        <v>0</v>
      </c>
      <c r="Y168" s="113">
        <f t="shared" si="49"/>
        <v>0</v>
      </c>
      <c r="Z168" s="113">
        <f t="shared" si="49"/>
        <v>0</v>
      </c>
      <c r="AA168" s="113">
        <f t="shared" si="49"/>
        <v>0</v>
      </c>
      <c r="AB168" s="113">
        <f t="shared" si="49"/>
        <v>0</v>
      </c>
      <c r="AC168" s="113">
        <f t="shared" si="49"/>
        <v>0</v>
      </c>
      <c r="AD168" s="113">
        <f t="shared" si="49"/>
        <v>0</v>
      </c>
      <c r="AE168" s="113">
        <f t="shared" si="49"/>
        <v>0</v>
      </c>
      <c r="AF168" s="29"/>
      <c r="AG168" s="102">
        <f t="shared" si="46"/>
        <v>0</v>
      </c>
    </row>
    <row r="169" spans="1:33" x14ac:dyDescent="0.3">
      <c r="A169" s="115" t="s">
        <v>169</v>
      </c>
      <c r="B169" s="116">
        <f>J169+L169+N169+P169+R169+T169+V169+X169+Z169+AB169+AD169+H169</f>
        <v>0</v>
      </c>
      <c r="C169" s="117">
        <f>SUM(H169)</f>
        <v>0</v>
      </c>
      <c r="D169" s="118">
        <f>E169</f>
        <v>0</v>
      </c>
      <c r="E169" s="117">
        <f>SUM(I169,K169,M169,O169,Q169,S169,U169,W169,Y169,AA169,AC169,AE169)</f>
        <v>0</v>
      </c>
      <c r="F169" s="116">
        <f>IFERROR(E169/B169*100,0)</f>
        <v>0</v>
      </c>
      <c r="G169" s="116">
        <f>IFERROR(E169/C169*100,0)</f>
        <v>0</v>
      </c>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c r="AD169" s="111"/>
      <c r="AE169" s="111"/>
      <c r="AF169" s="29"/>
      <c r="AG169" s="102">
        <f t="shared" si="46"/>
        <v>0</v>
      </c>
    </row>
    <row r="170" spans="1:33" x14ac:dyDescent="0.3">
      <c r="A170" s="115" t="s">
        <v>32</v>
      </c>
      <c r="B170" s="116">
        <f>J170+L170+N170+P170+R170+T170+V170+X170+Z170+AB170+AD170+H170</f>
        <v>0</v>
      </c>
      <c r="C170" s="117">
        <f>SUM(H170)</f>
        <v>0</v>
      </c>
      <c r="D170" s="118">
        <f>E170</f>
        <v>0</v>
      </c>
      <c r="E170" s="117">
        <f>SUM(I170,K170,M170,O170,Q170,S170,U170,W170,Y170,AA170,AC170,AE170)</f>
        <v>0</v>
      </c>
      <c r="F170" s="116">
        <f>IFERROR(E170/B170*100,0)</f>
        <v>0</v>
      </c>
      <c r="G170" s="116">
        <f>IFERROR(E170/C170*100,0)</f>
        <v>0</v>
      </c>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c r="AD170" s="111"/>
      <c r="AE170" s="111"/>
      <c r="AF170" s="29"/>
      <c r="AG170" s="102">
        <f t="shared" si="46"/>
        <v>0</v>
      </c>
    </row>
    <row r="171" spans="1:33" x14ac:dyDescent="0.3">
      <c r="A171" s="115" t="s">
        <v>33</v>
      </c>
      <c r="B171" s="627">
        <f>J171+L171+N171+P171+R171+T171+V171+X171+Z171+AB171+AD171+H171</f>
        <v>11</v>
      </c>
      <c r="C171" s="117">
        <f>H171+J171+L171</f>
        <v>11</v>
      </c>
      <c r="D171" s="118">
        <f>E171</f>
        <v>11</v>
      </c>
      <c r="E171" s="117">
        <f>H171+J171+L171</f>
        <v>11</v>
      </c>
      <c r="F171" s="116">
        <f>IFERROR(E171/B171*100,0)</f>
        <v>100</v>
      </c>
      <c r="G171" s="116">
        <f>IFERROR(E171/C171*100,0)</f>
        <v>100</v>
      </c>
      <c r="H171" s="111">
        <v>2</v>
      </c>
      <c r="I171" s="111">
        <v>2</v>
      </c>
      <c r="J171" s="111">
        <v>1</v>
      </c>
      <c r="K171" s="111">
        <v>1</v>
      </c>
      <c r="L171" s="111">
        <v>8</v>
      </c>
      <c r="M171" s="111">
        <v>8</v>
      </c>
      <c r="N171" s="111"/>
      <c r="O171" s="111"/>
      <c r="P171" s="111"/>
      <c r="Q171" s="111"/>
      <c r="R171" s="111"/>
      <c r="S171" s="111"/>
      <c r="T171" s="111"/>
      <c r="U171" s="111"/>
      <c r="V171" s="111"/>
      <c r="W171" s="111"/>
      <c r="X171" s="111"/>
      <c r="Y171" s="111"/>
      <c r="Z171" s="111"/>
      <c r="AA171" s="111"/>
      <c r="AB171" s="111"/>
      <c r="AC171" s="111"/>
      <c r="AD171" s="111"/>
      <c r="AE171" s="111"/>
      <c r="AF171" s="29"/>
      <c r="AG171" s="102">
        <f t="shared" si="46"/>
        <v>0</v>
      </c>
    </row>
    <row r="172" spans="1:33" x14ac:dyDescent="0.3">
      <c r="A172" s="115" t="s">
        <v>170</v>
      </c>
      <c r="B172" s="116"/>
      <c r="C172" s="117"/>
      <c r="D172" s="118"/>
      <c r="E172" s="117"/>
      <c r="F172" s="116"/>
      <c r="G172" s="116"/>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c r="AD172" s="111"/>
      <c r="AE172" s="111"/>
      <c r="AF172" s="29"/>
      <c r="AG172" s="102">
        <f t="shared" si="46"/>
        <v>0</v>
      </c>
    </row>
    <row r="173" spans="1:33" ht="84" customHeight="1" x14ac:dyDescent="0.3">
      <c r="A173" s="98" t="s">
        <v>293</v>
      </c>
      <c r="B173" s="99"/>
      <c r="C173" s="100"/>
      <c r="D173" s="100"/>
      <c r="E173" s="100"/>
      <c r="F173" s="100"/>
      <c r="G173" s="100"/>
      <c r="H173" s="100"/>
      <c r="I173" s="100"/>
      <c r="J173" s="100"/>
      <c r="K173" s="100"/>
      <c r="L173" s="100"/>
      <c r="M173" s="100"/>
      <c r="N173" s="100"/>
      <c r="O173" s="100"/>
      <c r="P173" s="100"/>
      <c r="Q173" s="100"/>
      <c r="R173" s="100"/>
      <c r="S173" s="100"/>
      <c r="T173" s="100"/>
      <c r="U173" s="100"/>
      <c r="V173" s="100"/>
      <c r="W173" s="100"/>
      <c r="X173" s="100"/>
      <c r="Y173" s="100"/>
      <c r="Z173" s="100"/>
      <c r="AA173" s="100"/>
      <c r="AB173" s="100"/>
      <c r="AC173" s="100"/>
      <c r="AD173" s="100"/>
      <c r="AE173" s="100"/>
      <c r="AF173" s="101"/>
      <c r="AG173" s="102">
        <f>B173-H173-J173-L173-N173-P173-R173-T173-V173-X173-Z173-AB173-AD173</f>
        <v>0</v>
      </c>
    </row>
    <row r="174" spans="1:33" x14ac:dyDescent="0.3">
      <c r="A174" s="103" t="s">
        <v>31</v>
      </c>
      <c r="B174" s="104">
        <f>B175+B176+B177+B178</f>
        <v>1178.59834</v>
      </c>
      <c r="C174" s="104">
        <f>C175+C176+C177+C178</f>
        <v>769.16462999999987</v>
      </c>
      <c r="D174" s="104">
        <f>D175+D176+D177+D178</f>
        <v>768.62462999999991</v>
      </c>
      <c r="E174" s="104">
        <f>E175+E176+E177+E178</f>
        <v>716.61800000000005</v>
      </c>
      <c r="F174" s="105">
        <f>IFERROR(E174/B174*100,0)</f>
        <v>60.802563153109489</v>
      </c>
      <c r="G174" s="105">
        <f>IFERROR(E174/C174*100,0)</f>
        <v>93.168350707962247</v>
      </c>
      <c r="H174" s="104">
        <f>H175+H176+H177+H178</f>
        <v>0</v>
      </c>
      <c r="I174" s="104">
        <f t="shared" ref="I174:AE174" si="50">I175+I176+I177+I178</f>
        <v>0</v>
      </c>
      <c r="J174" s="104">
        <f t="shared" si="50"/>
        <v>123.75</v>
      </c>
      <c r="K174" s="104">
        <f t="shared" si="50"/>
        <v>123.8</v>
      </c>
      <c r="L174" s="104">
        <f t="shared" si="50"/>
        <v>170.89000000000001</v>
      </c>
      <c r="M174" s="104">
        <f t="shared" si="50"/>
        <v>170.05799999999999</v>
      </c>
      <c r="N174" s="104">
        <f t="shared" si="50"/>
        <v>92.240000000000009</v>
      </c>
      <c r="O174" s="104">
        <f t="shared" si="50"/>
        <v>24.48</v>
      </c>
      <c r="P174" s="104">
        <f t="shared" si="50"/>
        <v>176.8364</v>
      </c>
      <c r="Q174" s="104">
        <f t="shared" si="50"/>
        <v>176.83</v>
      </c>
      <c r="R174" s="104">
        <f t="shared" si="50"/>
        <v>205.44823000000002</v>
      </c>
      <c r="S174" s="104">
        <f t="shared" si="50"/>
        <v>221.45000000000002</v>
      </c>
      <c r="T174" s="104">
        <f t="shared" si="50"/>
        <v>0.55500000000000005</v>
      </c>
      <c r="U174" s="104">
        <f t="shared" si="50"/>
        <v>0</v>
      </c>
      <c r="V174" s="104">
        <f t="shared" si="50"/>
        <v>33.122</v>
      </c>
      <c r="W174" s="104">
        <f t="shared" si="50"/>
        <v>0</v>
      </c>
      <c r="X174" s="104">
        <f t="shared" si="50"/>
        <v>75.910229999999999</v>
      </c>
      <c r="Y174" s="104">
        <f t="shared" si="50"/>
        <v>0</v>
      </c>
      <c r="Z174" s="104">
        <f t="shared" si="50"/>
        <v>113.52023</v>
      </c>
      <c r="AA174" s="104">
        <f t="shared" si="50"/>
        <v>0</v>
      </c>
      <c r="AB174" s="104">
        <f t="shared" si="50"/>
        <v>97.43225000000001</v>
      </c>
      <c r="AC174" s="104">
        <f t="shared" si="50"/>
        <v>0</v>
      </c>
      <c r="AD174" s="104">
        <f t="shared" si="50"/>
        <v>88.894000000000005</v>
      </c>
      <c r="AE174" s="104">
        <f t="shared" si="50"/>
        <v>0</v>
      </c>
      <c r="AF174" s="101"/>
      <c r="AG174" s="102">
        <f t="shared" ref="AG174:AG184" si="51">B174-H174-J174-L174-N174-P174-R174-T174-V174-X174-Z174-AB174-AD174</f>
        <v>0</v>
      </c>
    </row>
    <row r="175" spans="1:33" x14ac:dyDescent="0.3">
      <c r="A175" s="106" t="s">
        <v>169</v>
      </c>
      <c r="B175" s="107">
        <f>B181</f>
        <v>455.10403000000002</v>
      </c>
      <c r="C175" s="107">
        <f>C181</f>
        <v>296.99200999999999</v>
      </c>
      <c r="D175" s="107">
        <f>D181</f>
        <v>296.99200999999999</v>
      </c>
      <c r="E175" s="107">
        <f>E181</f>
        <v>276.69</v>
      </c>
      <c r="F175" s="107">
        <f>IFERROR(E175/B175*100,0)</f>
        <v>60.797088525012619</v>
      </c>
      <c r="G175" s="107">
        <f>IFERROR(E175/C175*100,0)</f>
        <v>93.164122496090044</v>
      </c>
      <c r="H175" s="107">
        <f t="shared" ref="H175:AE178" si="52">H181</f>
        <v>0</v>
      </c>
      <c r="I175" s="107">
        <f t="shared" si="52"/>
        <v>0</v>
      </c>
      <c r="J175" s="107">
        <f t="shared" si="52"/>
        <v>47.78</v>
      </c>
      <c r="K175" s="107">
        <f t="shared" si="52"/>
        <v>47.9</v>
      </c>
      <c r="L175" s="107">
        <f t="shared" si="52"/>
        <v>65.98</v>
      </c>
      <c r="M175" s="107">
        <f t="shared" si="52"/>
        <v>65.86</v>
      </c>
      <c r="N175" s="107">
        <f t="shared" si="52"/>
        <v>35.630000000000003</v>
      </c>
      <c r="O175" s="107">
        <f t="shared" si="52"/>
        <v>9.15</v>
      </c>
      <c r="P175" s="107">
        <f t="shared" si="52"/>
        <v>68.342010000000002</v>
      </c>
      <c r="Q175" s="107">
        <f t="shared" si="52"/>
        <v>68.34</v>
      </c>
      <c r="R175" s="107">
        <f t="shared" si="52"/>
        <v>79.260000000000005</v>
      </c>
      <c r="S175" s="107">
        <f t="shared" si="52"/>
        <v>85.44</v>
      </c>
      <c r="T175" s="107">
        <f t="shared" si="52"/>
        <v>0</v>
      </c>
      <c r="U175" s="107">
        <f t="shared" si="52"/>
        <v>0</v>
      </c>
      <c r="V175" s="107">
        <f t="shared" si="52"/>
        <v>32.28</v>
      </c>
      <c r="W175" s="107">
        <f t="shared" si="52"/>
        <v>0</v>
      </c>
      <c r="X175" s="107">
        <f t="shared" si="52"/>
        <v>15.489999999999998</v>
      </c>
      <c r="Y175" s="107">
        <f t="shared" si="52"/>
        <v>0</v>
      </c>
      <c r="Z175" s="107">
        <f t="shared" si="52"/>
        <v>38.03</v>
      </c>
      <c r="AA175" s="107">
        <f t="shared" si="52"/>
        <v>0</v>
      </c>
      <c r="AB175" s="107">
        <f t="shared" si="52"/>
        <v>38.002020000000002</v>
      </c>
      <c r="AC175" s="107">
        <f t="shared" si="52"/>
        <v>0</v>
      </c>
      <c r="AD175" s="107">
        <f t="shared" si="52"/>
        <v>34.31</v>
      </c>
      <c r="AE175" s="107">
        <f t="shared" si="52"/>
        <v>0</v>
      </c>
      <c r="AF175" s="101"/>
      <c r="AG175" s="102">
        <f t="shared" si="51"/>
        <v>0</v>
      </c>
    </row>
    <row r="176" spans="1:33" x14ac:dyDescent="0.3">
      <c r="A176" s="106" t="s">
        <v>32</v>
      </c>
      <c r="B176" s="107">
        <f t="shared" ref="B176:E178" si="53">B182</f>
        <v>711.69531000000006</v>
      </c>
      <c r="C176" s="107">
        <f t="shared" si="53"/>
        <v>464.46461999999997</v>
      </c>
      <c r="D176" s="107">
        <f t="shared" si="53"/>
        <v>464.46461999999997</v>
      </c>
      <c r="E176" s="107">
        <f t="shared" si="53"/>
        <v>432.76</v>
      </c>
      <c r="F176" s="107">
        <f>IFERROR(E176/B176*100,0)</f>
        <v>60.806920309760081</v>
      </c>
      <c r="G176" s="107">
        <f>IFERROR(E176/C176*100,0)</f>
        <v>93.173942936708514</v>
      </c>
      <c r="H176" s="107">
        <f t="shared" si="52"/>
        <v>0</v>
      </c>
      <c r="I176" s="107">
        <f t="shared" si="52"/>
        <v>0</v>
      </c>
      <c r="J176" s="107">
        <f t="shared" si="52"/>
        <v>74.73</v>
      </c>
      <c r="K176" s="107">
        <f t="shared" si="52"/>
        <v>74.7</v>
      </c>
      <c r="L176" s="107">
        <f t="shared" si="52"/>
        <v>103.2</v>
      </c>
      <c r="M176" s="107">
        <f t="shared" si="52"/>
        <v>103.21</v>
      </c>
      <c r="N176" s="107">
        <f t="shared" si="52"/>
        <v>55.68</v>
      </c>
      <c r="O176" s="107">
        <f t="shared" si="52"/>
        <v>14.34</v>
      </c>
      <c r="P176" s="107">
        <f t="shared" si="52"/>
        <v>106.77439</v>
      </c>
      <c r="Q176" s="107">
        <f t="shared" si="52"/>
        <v>106.77</v>
      </c>
      <c r="R176" s="107">
        <f t="shared" si="52"/>
        <v>124.08023</v>
      </c>
      <c r="S176" s="107">
        <f t="shared" si="52"/>
        <v>133.74</v>
      </c>
      <c r="T176" s="107">
        <f t="shared" si="52"/>
        <v>0</v>
      </c>
      <c r="U176" s="107">
        <f t="shared" si="52"/>
        <v>0</v>
      </c>
      <c r="V176" s="107">
        <f t="shared" si="52"/>
        <v>0.1</v>
      </c>
      <c r="W176" s="107">
        <f t="shared" si="52"/>
        <v>0</v>
      </c>
      <c r="X176" s="107">
        <f t="shared" si="52"/>
        <v>59.430230000000002</v>
      </c>
      <c r="Y176" s="107">
        <f t="shared" si="52"/>
        <v>0</v>
      </c>
      <c r="Z176" s="107">
        <f t="shared" si="52"/>
        <v>74.490229999999997</v>
      </c>
      <c r="AA176" s="107">
        <f t="shared" si="52"/>
        <v>0</v>
      </c>
      <c r="AB176" s="107">
        <f t="shared" si="52"/>
        <v>59.430230000000002</v>
      </c>
      <c r="AC176" s="107">
        <f t="shared" si="52"/>
        <v>0</v>
      </c>
      <c r="AD176" s="107">
        <f t="shared" si="52"/>
        <v>53.78</v>
      </c>
      <c r="AE176" s="107">
        <f t="shared" si="52"/>
        <v>0</v>
      </c>
      <c r="AF176" s="101"/>
      <c r="AG176" s="102">
        <f t="shared" si="51"/>
        <v>0</v>
      </c>
    </row>
    <row r="177" spans="1:33" x14ac:dyDescent="0.3">
      <c r="A177" s="106" t="s">
        <v>33</v>
      </c>
      <c r="B177" s="627">
        <f t="shared" si="53"/>
        <v>11.798999999999999</v>
      </c>
      <c r="C177" s="107">
        <f t="shared" si="53"/>
        <v>7.7080000000000002</v>
      </c>
      <c r="D177" s="107">
        <f t="shared" si="53"/>
        <v>7.1679999999999993</v>
      </c>
      <c r="E177" s="107">
        <f t="shared" si="53"/>
        <v>7.1679999999999993</v>
      </c>
      <c r="F177" s="107">
        <f>IFERROR(E177/B177*100,0)</f>
        <v>60.750911094160521</v>
      </c>
      <c r="G177" s="107">
        <f>IFERROR(E177/C177*100,0)</f>
        <v>92.9942916450441</v>
      </c>
      <c r="H177" s="107">
        <f t="shared" si="52"/>
        <v>0</v>
      </c>
      <c r="I177" s="107">
        <f t="shared" si="52"/>
        <v>0</v>
      </c>
      <c r="J177" s="107">
        <f t="shared" si="52"/>
        <v>1.24</v>
      </c>
      <c r="K177" s="107">
        <f t="shared" si="52"/>
        <v>1.2</v>
      </c>
      <c r="L177" s="107">
        <f t="shared" si="52"/>
        <v>1.71</v>
      </c>
      <c r="M177" s="107">
        <f t="shared" si="52"/>
        <v>0.98799999999999999</v>
      </c>
      <c r="N177" s="107">
        <f t="shared" si="52"/>
        <v>0.93</v>
      </c>
      <c r="O177" s="107">
        <f t="shared" si="52"/>
        <v>0.99</v>
      </c>
      <c r="P177" s="107">
        <f t="shared" si="52"/>
        <v>1.72</v>
      </c>
      <c r="Q177" s="107">
        <f t="shared" si="52"/>
        <v>1.72</v>
      </c>
      <c r="R177" s="107">
        <f t="shared" si="52"/>
        <v>2.1079999999999997</v>
      </c>
      <c r="S177" s="107">
        <f t="shared" si="52"/>
        <v>2.27</v>
      </c>
      <c r="T177" s="107">
        <f t="shared" si="52"/>
        <v>0.55500000000000005</v>
      </c>
      <c r="U177" s="107">
        <f t="shared" si="52"/>
        <v>0</v>
      </c>
      <c r="V177" s="107">
        <f t="shared" si="52"/>
        <v>0.74199999999999999</v>
      </c>
      <c r="W177" s="107">
        <f t="shared" si="52"/>
        <v>0</v>
      </c>
      <c r="X177" s="107">
        <f t="shared" si="52"/>
        <v>0.99</v>
      </c>
      <c r="Y177" s="107">
        <f t="shared" si="52"/>
        <v>0</v>
      </c>
      <c r="Z177" s="107">
        <f t="shared" si="52"/>
        <v>1</v>
      </c>
      <c r="AA177" s="107">
        <f t="shared" si="52"/>
        <v>0</v>
      </c>
      <c r="AB177" s="107">
        <f t="shared" si="52"/>
        <v>0</v>
      </c>
      <c r="AC177" s="107">
        <f t="shared" si="52"/>
        <v>0</v>
      </c>
      <c r="AD177" s="107">
        <f t="shared" si="52"/>
        <v>0.80400000000000005</v>
      </c>
      <c r="AE177" s="107">
        <f t="shared" si="52"/>
        <v>0</v>
      </c>
      <c r="AF177" s="101"/>
      <c r="AG177" s="102">
        <f t="shared" si="51"/>
        <v>8.8817841970012523E-16</v>
      </c>
    </row>
    <row r="178" spans="1:33" x14ac:dyDescent="0.3">
      <c r="A178" s="106" t="s">
        <v>170</v>
      </c>
      <c r="B178" s="107">
        <f>B184</f>
        <v>0</v>
      </c>
      <c r="C178" s="107">
        <f t="shared" si="53"/>
        <v>0</v>
      </c>
      <c r="D178" s="107">
        <f t="shared" si="53"/>
        <v>0</v>
      </c>
      <c r="E178" s="107">
        <f t="shared" si="53"/>
        <v>0</v>
      </c>
      <c r="F178" s="107">
        <f>IFERROR(E178/B178*100,0)</f>
        <v>0</v>
      </c>
      <c r="G178" s="107">
        <f>IFERROR(E178/C178*100,0)</f>
        <v>0</v>
      </c>
      <c r="H178" s="107">
        <f t="shared" si="52"/>
        <v>0</v>
      </c>
      <c r="I178" s="107">
        <f t="shared" si="52"/>
        <v>0</v>
      </c>
      <c r="J178" s="107">
        <f t="shared" si="52"/>
        <v>0</v>
      </c>
      <c r="K178" s="107">
        <f t="shared" si="52"/>
        <v>0</v>
      </c>
      <c r="L178" s="107">
        <f t="shared" si="52"/>
        <v>0</v>
      </c>
      <c r="M178" s="107">
        <f t="shared" si="52"/>
        <v>0</v>
      </c>
      <c r="N178" s="107">
        <f t="shared" si="52"/>
        <v>0</v>
      </c>
      <c r="O178" s="107">
        <f t="shared" si="52"/>
        <v>0</v>
      </c>
      <c r="P178" s="107">
        <f t="shared" si="52"/>
        <v>0</v>
      </c>
      <c r="Q178" s="107">
        <f t="shared" si="52"/>
        <v>0</v>
      </c>
      <c r="R178" s="107">
        <f t="shared" si="52"/>
        <v>0</v>
      </c>
      <c r="S178" s="107">
        <f t="shared" si="52"/>
        <v>0</v>
      </c>
      <c r="T178" s="107">
        <f t="shared" si="52"/>
        <v>0</v>
      </c>
      <c r="U178" s="107">
        <f t="shared" si="52"/>
        <v>0</v>
      </c>
      <c r="V178" s="107">
        <f t="shared" si="52"/>
        <v>0</v>
      </c>
      <c r="W178" s="107">
        <f t="shared" si="52"/>
        <v>0</v>
      </c>
      <c r="X178" s="107">
        <f t="shared" si="52"/>
        <v>0</v>
      </c>
      <c r="Y178" s="107">
        <f t="shared" si="52"/>
        <v>0</v>
      </c>
      <c r="Z178" s="107">
        <f t="shared" si="52"/>
        <v>0</v>
      </c>
      <c r="AA178" s="107">
        <f t="shared" si="52"/>
        <v>0</v>
      </c>
      <c r="AB178" s="107">
        <f t="shared" si="52"/>
        <v>0</v>
      </c>
      <c r="AC178" s="107">
        <f t="shared" si="52"/>
        <v>0</v>
      </c>
      <c r="AD178" s="107">
        <f t="shared" si="52"/>
        <v>0</v>
      </c>
      <c r="AE178" s="107">
        <f t="shared" si="52"/>
        <v>0</v>
      </c>
      <c r="AF178" s="101"/>
      <c r="AG178" s="102">
        <f t="shared" si="51"/>
        <v>0</v>
      </c>
    </row>
    <row r="179" spans="1:33" ht="145.5" customHeight="1" x14ac:dyDescent="0.3">
      <c r="A179" s="787" t="s">
        <v>657</v>
      </c>
      <c r="B179" s="109"/>
      <c r="C179" s="110"/>
      <c r="D179" s="110"/>
      <c r="E179" s="110"/>
      <c r="F179" s="110"/>
      <c r="G179" s="110"/>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c r="AD179" s="111"/>
      <c r="AE179" s="111"/>
      <c r="AF179" s="976" t="s">
        <v>658</v>
      </c>
      <c r="AG179" s="102">
        <f t="shared" si="51"/>
        <v>0</v>
      </c>
    </row>
    <row r="180" spans="1:33" x14ac:dyDescent="0.3">
      <c r="A180" s="112" t="s">
        <v>31</v>
      </c>
      <c r="B180" s="624">
        <f>B182+B183+B181+B184</f>
        <v>1178.59834</v>
      </c>
      <c r="C180" s="113">
        <f>C182+C183+C181+C184</f>
        <v>769.16462999999999</v>
      </c>
      <c r="D180" s="114">
        <f>D182+D183+D181+D184</f>
        <v>768.62463000000002</v>
      </c>
      <c r="E180" s="113">
        <f>E182+E183+E181+E184</f>
        <v>716.61799999999994</v>
      </c>
      <c r="F180" s="113">
        <f>IFERROR(E180/B180*100,0)</f>
        <v>60.802563153109482</v>
      </c>
      <c r="G180" s="113">
        <f>IFERROR(E180/C180*100,0)</f>
        <v>93.168350707962205</v>
      </c>
      <c r="H180" s="113">
        <f t="shared" ref="H180:AE180" si="54">H182+H183+H181+H184</f>
        <v>0</v>
      </c>
      <c r="I180" s="113">
        <f t="shared" si="54"/>
        <v>0</v>
      </c>
      <c r="J180" s="113">
        <f t="shared" si="54"/>
        <v>123.75</v>
      </c>
      <c r="K180" s="113">
        <f t="shared" si="54"/>
        <v>123.80000000000001</v>
      </c>
      <c r="L180" s="113">
        <f t="shared" si="54"/>
        <v>170.89</v>
      </c>
      <c r="M180" s="113">
        <f t="shared" si="54"/>
        <v>170.05799999999999</v>
      </c>
      <c r="N180" s="113">
        <f t="shared" si="54"/>
        <v>92.240000000000009</v>
      </c>
      <c r="O180" s="113">
        <f t="shared" si="54"/>
        <v>24.48</v>
      </c>
      <c r="P180" s="113">
        <f t="shared" si="54"/>
        <v>176.8364</v>
      </c>
      <c r="Q180" s="113">
        <f t="shared" si="54"/>
        <v>176.82999999999998</v>
      </c>
      <c r="R180" s="113">
        <f t="shared" si="54"/>
        <v>205.44823000000002</v>
      </c>
      <c r="S180" s="113">
        <f t="shared" si="54"/>
        <v>221.45000000000002</v>
      </c>
      <c r="T180" s="113">
        <f t="shared" si="54"/>
        <v>0.55500000000000005</v>
      </c>
      <c r="U180" s="113">
        <f t="shared" si="54"/>
        <v>0</v>
      </c>
      <c r="V180" s="113">
        <f t="shared" si="54"/>
        <v>33.122</v>
      </c>
      <c r="W180" s="113">
        <f t="shared" si="54"/>
        <v>0</v>
      </c>
      <c r="X180" s="113">
        <f t="shared" si="54"/>
        <v>75.910229999999999</v>
      </c>
      <c r="Y180" s="113">
        <f t="shared" si="54"/>
        <v>0</v>
      </c>
      <c r="Z180" s="113">
        <f t="shared" si="54"/>
        <v>113.52023</v>
      </c>
      <c r="AA180" s="113">
        <f t="shared" si="54"/>
        <v>0</v>
      </c>
      <c r="AB180" s="113">
        <f t="shared" si="54"/>
        <v>97.43225000000001</v>
      </c>
      <c r="AC180" s="113">
        <f t="shared" si="54"/>
        <v>0</v>
      </c>
      <c r="AD180" s="113">
        <f t="shared" si="54"/>
        <v>88.894000000000005</v>
      </c>
      <c r="AE180" s="113">
        <f t="shared" si="54"/>
        <v>0</v>
      </c>
      <c r="AF180" s="29"/>
      <c r="AG180" s="102">
        <f t="shared" si="51"/>
        <v>0</v>
      </c>
    </row>
    <row r="181" spans="1:33" x14ac:dyDescent="0.3">
      <c r="A181" s="115" t="s">
        <v>169</v>
      </c>
      <c r="B181" s="793">
        <f>J181+L181+N181+P181+R181+T181+V181+X181+Z181+AB181+AD181+H181</f>
        <v>455.10403000000002</v>
      </c>
      <c r="C181" s="794">
        <f>H181+J181+L181+N181+P181+R181</f>
        <v>296.99200999999999</v>
      </c>
      <c r="D181" s="795">
        <f>C181</f>
        <v>296.99200999999999</v>
      </c>
      <c r="E181" s="794">
        <f>SUM(I181,K181,M181,O181,Q181,S181,U181,W181,Y181,AA181,AC181,AE181)</f>
        <v>276.69</v>
      </c>
      <c r="F181" s="793">
        <f>IFERROR(E181/B181*100,0)</f>
        <v>60.797088525012619</v>
      </c>
      <c r="G181" s="793">
        <f>IFERROR(E181/C181*100,0)</f>
        <v>93.164122496090044</v>
      </c>
      <c r="H181" s="520">
        <v>0</v>
      </c>
      <c r="I181" s="520"/>
      <c r="J181" s="520">
        <v>47.78</v>
      </c>
      <c r="K181" s="520">
        <v>47.9</v>
      </c>
      <c r="L181" s="520">
        <v>65.98</v>
      </c>
      <c r="M181" s="520">
        <v>65.86</v>
      </c>
      <c r="N181" s="520">
        <v>35.630000000000003</v>
      </c>
      <c r="O181" s="520">
        <v>9.15</v>
      </c>
      <c r="P181" s="520">
        <v>68.342010000000002</v>
      </c>
      <c r="Q181" s="520">
        <v>68.34</v>
      </c>
      <c r="R181" s="520">
        <f>38+18.75+22.51</f>
        <v>79.260000000000005</v>
      </c>
      <c r="S181" s="520">
        <v>85.44</v>
      </c>
      <c r="T181" s="520"/>
      <c r="U181" s="111"/>
      <c r="V181" s="111">
        <f>28.52-18.75+22.51</f>
        <v>32.28</v>
      </c>
      <c r="W181" s="111"/>
      <c r="X181" s="111">
        <f>38-22.51</f>
        <v>15.489999999999998</v>
      </c>
      <c r="Y181" s="111"/>
      <c r="Z181" s="111">
        <v>38.03</v>
      </c>
      <c r="AA181" s="111"/>
      <c r="AB181" s="111">
        <v>38.002020000000002</v>
      </c>
      <c r="AC181" s="111"/>
      <c r="AD181" s="111">
        <v>34.31</v>
      </c>
      <c r="AE181" s="111"/>
      <c r="AF181" s="29"/>
      <c r="AG181" s="102">
        <f t="shared" si="51"/>
        <v>0</v>
      </c>
    </row>
    <row r="182" spans="1:33" x14ac:dyDescent="0.3">
      <c r="A182" s="115" t="s">
        <v>32</v>
      </c>
      <c r="B182" s="793">
        <f>J182+L182+N182+P182+R182+T182+V182+X182+Z182+AB182+AD182+H182</f>
        <v>711.69531000000006</v>
      </c>
      <c r="C182" s="794">
        <f>H182+J182+L182+N182+P182+R182</f>
        <v>464.46461999999997</v>
      </c>
      <c r="D182" s="795">
        <f>C182</f>
        <v>464.46461999999997</v>
      </c>
      <c r="E182" s="794">
        <f>SUM(I182,K182,M182,O182,Q182,S182,U182,W182,Y182,AA182,AC182,AE182)</f>
        <v>432.76</v>
      </c>
      <c r="F182" s="793">
        <f>IFERROR(E182/B182*100,0)</f>
        <v>60.806920309760081</v>
      </c>
      <c r="G182" s="793">
        <f>IFERROR(E182/C182*100,0)</f>
        <v>93.173942936708514</v>
      </c>
      <c r="H182" s="520">
        <v>0</v>
      </c>
      <c r="I182" s="520"/>
      <c r="J182" s="520">
        <v>74.73</v>
      </c>
      <c r="K182" s="520">
        <v>74.7</v>
      </c>
      <c r="L182" s="520">
        <v>103.2</v>
      </c>
      <c r="M182" s="520">
        <v>103.21</v>
      </c>
      <c r="N182" s="520">
        <v>55.68</v>
      </c>
      <c r="O182" s="520">
        <v>14.34</v>
      </c>
      <c r="P182" s="520">
        <v>106.77439</v>
      </c>
      <c r="Q182" s="520">
        <v>106.77</v>
      </c>
      <c r="R182" s="520">
        <f>64.65+59.43023</f>
        <v>124.08023</v>
      </c>
      <c r="S182" s="520">
        <v>133.74</v>
      </c>
      <c r="T182" s="520"/>
      <c r="U182" s="111"/>
      <c r="V182" s="111">
        <v>0.1</v>
      </c>
      <c r="W182" s="111"/>
      <c r="X182" s="111">
        <v>59.430230000000002</v>
      </c>
      <c r="Y182" s="111"/>
      <c r="Z182" s="111">
        <f>59.43023+15.06</f>
        <v>74.490229999999997</v>
      </c>
      <c r="AA182" s="111"/>
      <c r="AB182" s="111">
        <v>59.430230000000002</v>
      </c>
      <c r="AC182" s="111"/>
      <c r="AD182" s="714">
        <v>53.78</v>
      </c>
      <c r="AE182" s="111"/>
      <c r="AF182" s="29"/>
      <c r="AG182" s="102">
        <f t="shared" si="51"/>
        <v>0</v>
      </c>
    </row>
    <row r="183" spans="1:33" x14ac:dyDescent="0.3">
      <c r="A183" s="115" t="s">
        <v>33</v>
      </c>
      <c r="B183" s="793">
        <f>J183+L183+N183+P183+R183+T183+V183+X183+Z183+AB183+AD183+H183</f>
        <v>11.798999999999999</v>
      </c>
      <c r="C183" s="794">
        <f>H183+J183+L183+N183+P183+R183</f>
        <v>7.7080000000000002</v>
      </c>
      <c r="D183" s="795">
        <f>E183</f>
        <v>7.1679999999999993</v>
      </c>
      <c r="E183" s="794">
        <f>SUM(I183,K183,M183,O183,Q183,S183,U183,W183,Y183,AA183,AC183,AE183)</f>
        <v>7.1679999999999993</v>
      </c>
      <c r="F183" s="793">
        <f>IFERROR(E183/B183*100,0)</f>
        <v>60.750911094160521</v>
      </c>
      <c r="G183" s="793">
        <f>IFERROR(E183/C183*100,0)</f>
        <v>92.9942916450441</v>
      </c>
      <c r="H183" s="520"/>
      <c r="I183" s="520"/>
      <c r="J183" s="520">
        <v>1.24</v>
      </c>
      <c r="K183" s="520">
        <v>1.2</v>
      </c>
      <c r="L183" s="520">
        <v>1.71</v>
      </c>
      <c r="M183" s="520">
        <v>0.98799999999999999</v>
      </c>
      <c r="N183" s="520">
        <v>0.93</v>
      </c>
      <c r="O183" s="520">
        <v>0.99</v>
      </c>
      <c r="P183" s="520">
        <v>1.72</v>
      </c>
      <c r="Q183" s="520">
        <v>1.72</v>
      </c>
      <c r="R183" s="520">
        <f>1.11+0.988+0.01</f>
        <v>2.1079999999999997</v>
      </c>
      <c r="S183" s="520">
        <v>2.27</v>
      </c>
      <c r="T183" s="520">
        <v>0.55500000000000005</v>
      </c>
      <c r="U183" s="111"/>
      <c r="V183" s="111">
        <v>0.74199999999999999</v>
      </c>
      <c r="W183" s="111"/>
      <c r="X183" s="111">
        <f>1-0.01</f>
        <v>0.99</v>
      </c>
      <c r="Y183" s="111"/>
      <c r="Z183" s="111">
        <v>1</v>
      </c>
      <c r="AA183" s="111"/>
      <c r="AB183" s="111">
        <v>0</v>
      </c>
      <c r="AC183" s="111"/>
      <c r="AD183" s="111">
        <f>0.914-0.11</f>
        <v>0.80400000000000005</v>
      </c>
      <c r="AE183" s="111"/>
      <c r="AF183" s="29"/>
      <c r="AG183" s="102">
        <f t="shared" si="51"/>
        <v>8.8817841970012523E-16</v>
      </c>
    </row>
    <row r="184" spans="1:33" x14ac:dyDescent="0.3">
      <c r="A184" s="115" t="s">
        <v>170</v>
      </c>
      <c r="B184" s="116"/>
      <c r="C184" s="117"/>
      <c r="D184" s="118"/>
      <c r="E184" s="117"/>
      <c r="F184" s="116"/>
      <c r="G184" s="116"/>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c r="AD184" s="111"/>
      <c r="AE184" s="111"/>
      <c r="AF184" s="29"/>
      <c r="AG184" s="102">
        <f t="shared" si="51"/>
        <v>0</v>
      </c>
    </row>
    <row r="185" spans="1:33" x14ac:dyDescent="0.3">
      <c r="A185" s="1032" t="s">
        <v>54</v>
      </c>
      <c r="B185" s="1033"/>
      <c r="C185" s="1033"/>
      <c r="D185" s="1033"/>
      <c r="E185" s="1033"/>
      <c r="F185" s="1033"/>
      <c r="G185" s="1033"/>
      <c r="H185" s="1033"/>
      <c r="I185" s="1033"/>
      <c r="J185" s="1033"/>
      <c r="K185" s="1033"/>
      <c r="L185" s="1033"/>
      <c r="M185" s="1033"/>
      <c r="N185" s="1033"/>
      <c r="O185" s="1033"/>
      <c r="P185" s="1033"/>
      <c r="Q185" s="1033"/>
      <c r="R185" s="1033"/>
      <c r="S185" s="1033"/>
      <c r="T185" s="1033"/>
      <c r="U185" s="1033"/>
      <c r="V185" s="1033"/>
      <c r="W185" s="1033"/>
      <c r="X185" s="1033"/>
      <c r="Y185" s="1033"/>
      <c r="Z185" s="1033"/>
      <c r="AA185" s="1033"/>
      <c r="AB185" s="1033"/>
      <c r="AC185" s="1033"/>
      <c r="AD185" s="1033"/>
      <c r="AE185" s="1033"/>
      <c r="AF185" s="1034"/>
      <c r="AG185" s="102">
        <f t="shared" si="37"/>
        <v>0</v>
      </c>
    </row>
    <row r="186" spans="1:33" ht="75" x14ac:dyDescent="0.3">
      <c r="A186" s="138" t="s">
        <v>294</v>
      </c>
      <c r="B186" s="139"/>
      <c r="C186" s="140"/>
      <c r="D186" s="140"/>
      <c r="E186" s="140"/>
      <c r="F186" s="140"/>
      <c r="G186" s="140"/>
      <c r="H186" s="139"/>
      <c r="I186" s="139"/>
      <c r="J186" s="139"/>
      <c r="K186" s="139"/>
      <c r="L186" s="139"/>
      <c r="M186" s="139"/>
      <c r="N186" s="139"/>
      <c r="O186" s="139"/>
      <c r="P186" s="139"/>
      <c r="Q186" s="139"/>
      <c r="R186" s="139"/>
      <c r="S186" s="139"/>
      <c r="T186" s="139"/>
      <c r="U186" s="139"/>
      <c r="V186" s="139"/>
      <c r="W186" s="139"/>
      <c r="X186" s="139"/>
      <c r="Y186" s="139"/>
      <c r="Z186" s="139"/>
      <c r="AA186" s="139"/>
      <c r="AB186" s="139"/>
      <c r="AC186" s="139"/>
      <c r="AD186" s="139"/>
      <c r="AE186" s="139"/>
      <c r="AF186" s="101"/>
      <c r="AG186" s="102">
        <f t="shared" si="37"/>
        <v>0</v>
      </c>
    </row>
    <row r="187" spans="1:33" x14ac:dyDescent="0.3">
      <c r="A187" s="103" t="s">
        <v>31</v>
      </c>
      <c r="B187" s="104">
        <f>B188+B189+B190+B191</f>
        <v>1903.7</v>
      </c>
      <c r="C187" s="104">
        <f>C188+C189+C190+C191</f>
        <v>1290.7</v>
      </c>
      <c r="D187" s="104">
        <f>D188+D189+D190+D191</f>
        <v>1290.6999999999998</v>
      </c>
      <c r="E187" s="104">
        <f>E188+E189+E190+E191</f>
        <v>1290.6999999999998</v>
      </c>
      <c r="F187" s="107">
        <f>IFERROR(E187/B187*100,0)</f>
        <v>67.799548248148341</v>
      </c>
      <c r="G187" s="107">
        <f>IFERROR(E187/C187*100,0)</f>
        <v>99.999999999999972</v>
      </c>
      <c r="H187" s="104">
        <f>H188+H189+H190+H191</f>
        <v>100</v>
      </c>
      <c r="I187" s="104">
        <f t="shared" ref="I187:AE187" si="55">I188+I189+I190+I191</f>
        <v>100</v>
      </c>
      <c r="J187" s="104">
        <f t="shared" si="55"/>
        <v>383.5</v>
      </c>
      <c r="K187" s="104">
        <f t="shared" si="55"/>
        <v>0</v>
      </c>
      <c r="L187" s="104">
        <f t="shared" si="55"/>
        <v>487.2</v>
      </c>
      <c r="M187" s="104">
        <f t="shared" si="55"/>
        <v>0</v>
      </c>
      <c r="N187" s="104">
        <f t="shared" si="55"/>
        <v>108.2</v>
      </c>
      <c r="O187" s="104">
        <f t="shared" si="55"/>
        <v>978.9</v>
      </c>
      <c r="P187" s="104">
        <f t="shared" si="55"/>
        <v>100.2</v>
      </c>
      <c r="Q187" s="104">
        <f t="shared" si="55"/>
        <v>100.2</v>
      </c>
      <c r="R187" s="104">
        <f t="shared" si="55"/>
        <v>111.6</v>
      </c>
      <c r="S187" s="104">
        <f t="shared" si="55"/>
        <v>111.6</v>
      </c>
      <c r="T187" s="104">
        <f t="shared" si="55"/>
        <v>0</v>
      </c>
      <c r="U187" s="104">
        <f t="shared" si="55"/>
        <v>0</v>
      </c>
      <c r="V187" s="104">
        <f t="shared" si="55"/>
        <v>13.6</v>
      </c>
      <c r="W187" s="104">
        <f t="shared" si="55"/>
        <v>0</v>
      </c>
      <c r="X187" s="104">
        <f t="shared" si="55"/>
        <v>19.399999999999999</v>
      </c>
      <c r="Y187" s="104">
        <f t="shared" si="55"/>
        <v>0</v>
      </c>
      <c r="Z187" s="104">
        <f t="shared" si="55"/>
        <v>0</v>
      </c>
      <c r="AA187" s="104">
        <f t="shared" si="55"/>
        <v>0</v>
      </c>
      <c r="AB187" s="104">
        <f t="shared" si="55"/>
        <v>0</v>
      </c>
      <c r="AC187" s="104">
        <f t="shared" si="55"/>
        <v>0</v>
      </c>
      <c r="AD187" s="104">
        <f t="shared" si="55"/>
        <v>580</v>
      </c>
      <c r="AE187" s="104">
        <f t="shared" si="55"/>
        <v>0</v>
      </c>
      <c r="AF187" s="101"/>
      <c r="AG187" s="102">
        <f t="shared" si="37"/>
        <v>0</v>
      </c>
    </row>
    <row r="188" spans="1:33" x14ac:dyDescent="0.3">
      <c r="A188" s="106" t="s">
        <v>169</v>
      </c>
      <c r="B188" s="107">
        <f>B194+B200</f>
        <v>0</v>
      </c>
      <c r="C188" s="107">
        <f>C194+C200</f>
        <v>0</v>
      </c>
      <c r="D188" s="107">
        <f>D194+D200</f>
        <v>0</v>
      </c>
      <c r="E188" s="107">
        <f>E194+E200</f>
        <v>0</v>
      </c>
      <c r="F188" s="107"/>
      <c r="G188" s="107"/>
      <c r="H188" s="107">
        <f t="shared" ref="H188:AE191" si="56">H194+H200</f>
        <v>0</v>
      </c>
      <c r="I188" s="107">
        <f t="shared" si="56"/>
        <v>0</v>
      </c>
      <c r="J188" s="107">
        <f t="shared" si="56"/>
        <v>0</v>
      </c>
      <c r="K188" s="107">
        <f t="shared" si="56"/>
        <v>0</v>
      </c>
      <c r="L188" s="107">
        <f t="shared" si="56"/>
        <v>0</v>
      </c>
      <c r="M188" s="107">
        <f t="shared" si="56"/>
        <v>0</v>
      </c>
      <c r="N188" s="107">
        <f t="shared" si="56"/>
        <v>0</v>
      </c>
      <c r="O188" s="107">
        <f t="shared" si="56"/>
        <v>0</v>
      </c>
      <c r="P188" s="107">
        <f t="shared" si="56"/>
        <v>0</v>
      </c>
      <c r="Q188" s="107">
        <f t="shared" si="56"/>
        <v>0</v>
      </c>
      <c r="R188" s="107">
        <f t="shared" si="56"/>
        <v>0</v>
      </c>
      <c r="S188" s="107">
        <f t="shared" si="56"/>
        <v>0</v>
      </c>
      <c r="T188" s="107">
        <f t="shared" si="56"/>
        <v>0</v>
      </c>
      <c r="U188" s="107">
        <f t="shared" si="56"/>
        <v>0</v>
      </c>
      <c r="V188" s="107">
        <f t="shared" si="56"/>
        <v>0</v>
      </c>
      <c r="W188" s="107">
        <f t="shared" si="56"/>
        <v>0</v>
      </c>
      <c r="X188" s="107">
        <f t="shared" si="56"/>
        <v>0</v>
      </c>
      <c r="Y188" s="107">
        <f t="shared" si="56"/>
        <v>0</v>
      </c>
      <c r="Z188" s="107">
        <f t="shared" si="56"/>
        <v>0</v>
      </c>
      <c r="AA188" s="107">
        <f t="shared" si="56"/>
        <v>0</v>
      </c>
      <c r="AB188" s="107">
        <f t="shared" si="56"/>
        <v>0</v>
      </c>
      <c r="AC188" s="107">
        <f t="shared" si="56"/>
        <v>0</v>
      </c>
      <c r="AD188" s="107">
        <f t="shared" si="56"/>
        <v>0</v>
      </c>
      <c r="AE188" s="107">
        <f t="shared" si="56"/>
        <v>0</v>
      </c>
      <c r="AF188" s="101"/>
      <c r="AG188" s="102">
        <f t="shared" si="37"/>
        <v>0</v>
      </c>
    </row>
    <row r="189" spans="1:33" x14ac:dyDescent="0.3">
      <c r="A189" s="106" t="s">
        <v>32</v>
      </c>
      <c r="B189" s="107">
        <f t="shared" ref="B189:E191" si="57">B195+B201</f>
        <v>0</v>
      </c>
      <c r="C189" s="107">
        <f t="shared" si="57"/>
        <v>0</v>
      </c>
      <c r="D189" s="107">
        <f t="shared" si="57"/>
        <v>0</v>
      </c>
      <c r="E189" s="107">
        <f t="shared" si="57"/>
        <v>0</v>
      </c>
      <c r="F189" s="107"/>
      <c r="G189" s="107"/>
      <c r="H189" s="107">
        <f t="shared" si="56"/>
        <v>0</v>
      </c>
      <c r="I189" s="107">
        <f t="shared" si="56"/>
        <v>0</v>
      </c>
      <c r="J189" s="107">
        <f t="shared" si="56"/>
        <v>0</v>
      </c>
      <c r="K189" s="107">
        <f t="shared" si="56"/>
        <v>0</v>
      </c>
      <c r="L189" s="107">
        <f t="shared" si="56"/>
        <v>0</v>
      </c>
      <c r="M189" s="107">
        <f t="shared" si="56"/>
        <v>0</v>
      </c>
      <c r="N189" s="107">
        <f t="shared" si="56"/>
        <v>0</v>
      </c>
      <c r="O189" s="107">
        <f t="shared" si="56"/>
        <v>0</v>
      </c>
      <c r="P189" s="107">
        <f t="shared" si="56"/>
        <v>0</v>
      </c>
      <c r="Q189" s="107">
        <f t="shared" si="56"/>
        <v>0</v>
      </c>
      <c r="R189" s="107">
        <f t="shared" si="56"/>
        <v>0</v>
      </c>
      <c r="S189" s="107">
        <f t="shared" si="56"/>
        <v>0</v>
      </c>
      <c r="T189" s="107">
        <f t="shared" si="56"/>
        <v>0</v>
      </c>
      <c r="U189" s="107">
        <f t="shared" si="56"/>
        <v>0</v>
      </c>
      <c r="V189" s="107">
        <f t="shared" si="56"/>
        <v>0</v>
      </c>
      <c r="W189" s="107">
        <f t="shared" si="56"/>
        <v>0</v>
      </c>
      <c r="X189" s="107">
        <f t="shared" si="56"/>
        <v>0</v>
      </c>
      <c r="Y189" s="107">
        <f t="shared" si="56"/>
        <v>0</v>
      </c>
      <c r="Z189" s="107">
        <f t="shared" si="56"/>
        <v>0</v>
      </c>
      <c r="AA189" s="107">
        <f t="shared" si="56"/>
        <v>0</v>
      </c>
      <c r="AB189" s="107">
        <f t="shared" si="56"/>
        <v>0</v>
      </c>
      <c r="AC189" s="107">
        <f t="shared" si="56"/>
        <v>0</v>
      </c>
      <c r="AD189" s="107">
        <f t="shared" si="56"/>
        <v>0</v>
      </c>
      <c r="AE189" s="107">
        <f t="shared" si="56"/>
        <v>0</v>
      </c>
      <c r="AF189" s="101"/>
      <c r="AG189" s="102">
        <f t="shared" si="37"/>
        <v>0</v>
      </c>
    </row>
    <row r="190" spans="1:33" x14ac:dyDescent="0.3">
      <c r="A190" s="106" t="s">
        <v>33</v>
      </c>
      <c r="B190" s="107">
        <f t="shared" si="57"/>
        <v>1903.7</v>
      </c>
      <c r="C190" s="107">
        <f>C196+C202</f>
        <v>1290.7</v>
      </c>
      <c r="D190" s="107">
        <f t="shared" si="57"/>
        <v>1290.6999999999998</v>
      </c>
      <c r="E190" s="107">
        <f t="shared" si="57"/>
        <v>1290.6999999999998</v>
      </c>
      <c r="F190" s="107">
        <f>IFERROR(E190/B190*100,0)</f>
        <v>67.799548248148341</v>
      </c>
      <c r="G190" s="107">
        <f>IFERROR(E190/C190*100,0)</f>
        <v>99.999999999999972</v>
      </c>
      <c r="H190" s="107">
        <f t="shared" si="56"/>
        <v>100</v>
      </c>
      <c r="I190" s="107">
        <f t="shared" si="56"/>
        <v>100</v>
      </c>
      <c r="J190" s="107">
        <f t="shared" si="56"/>
        <v>383.5</v>
      </c>
      <c r="K190" s="107">
        <f t="shared" si="56"/>
        <v>0</v>
      </c>
      <c r="L190" s="107">
        <f t="shared" si="56"/>
        <v>487.2</v>
      </c>
      <c r="M190" s="107">
        <f t="shared" si="56"/>
        <v>0</v>
      </c>
      <c r="N190" s="107">
        <f t="shared" si="56"/>
        <v>108.2</v>
      </c>
      <c r="O190" s="107">
        <f t="shared" si="56"/>
        <v>978.9</v>
      </c>
      <c r="P190" s="107">
        <f t="shared" si="56"/>
        <v>100.2</v>
      </c>
      <c r="Q190" s="107">
        <f t="shared" si="56"/>
        <v>100.2</v>
      </c>
      <c r="R190" s="107">
        <f t="shared" si="56"/>
        <v>111.6</v>
      </c>
      <c r="S190" s="107">
        <f t="shared" si="56"/>
        <v>111.6</v>
      </c>
      <c r="T190" s="107">
        <f t="shared" si="56"/>
        <v>0</v>
      </c>
      <c r="U190" s="107">
        <f t="shared" si="56"/>
        <v>0</v>
      </c>
      <c r="V190" s="107">
        <f t="shared" si="56"/>
        <v>13.6</v>
      </c>
      <c r="W190" s="107">
        <f t="shared" si="56"/>
        <v>0</v>
      </c>
      <c r="X190" s="107">
        <f t="shared" si="56"/>
        <v>19.399999999999999</v>
      </c>
      <c r="Y190" s="107">
        <f t="shared" si="56"/>
        <v>0</v>
      </c>
      <c r="Z190" s="107">
        <f t="shared" si="56"/>
        <v>0</v>
      </c>
      <c r="AA190" s="107">
        <f t="shared" si="56"/>
        <v>0</v>
      </c>
      <c r="AB190" s="107">
        <f t="shared" si="56"/>
        <v>0</v>
      </c>
      <c r="AC190" s="107">
        <f t="shared" si="56"/>
        <v>0</v>
      </c>
      <c r="AD190" s="107">
        <f t="shared" si="56"/>
        <v>580</v>
      </c>
      <c r="AE190" s="107">
        <f t="shared" si="56"/>
        <v>0</v>
      </c>
      <c r="AF190" s="101"/>
      <c r="AG190" s="102">
        <f t="shared" si="37"/>
        <v>0</v>
      </c>
    </row>
    <row r="191" spans="1:33" x14ac:dyDescent="0.3">
      <c r="A191" s="106" t="s">
        <v>170</v>
      </c>
      <c r="B191" s="107">
        <f t="shared" si="57"/>
        <v>0</v>
      </c>
      <c r="C191" s="107">
        <f t="shared" si="57"/>
        <v>0</v>
      </c>
      <c r="D191" s="107">
        <f t="shared" si="57"/>
        <v>0</v>
      </c>
      <c r="E191" s="107">
        <f t="shared" si="57"/>
        <v>0</v>
      </c>
      <c r="F191" s="107"/>
      <c r="G191" s="107"/>
      <c r="H191" s="107">
        <f t="shared" si="56"/>
        <v>0</v>
      </c>
      <c r="I191" s="107">
        <f t="shared" si="56"/>
        <v>0</v>
      </c>
      <c r="J191" s="107">
        <f t="shared" si="56"/>
        <v>0</v>
      </c>
      <c r="K191" s="107">
        <f t="shared" si="56"/>
        <v>0</v>
      </c>
      <c r="L191" s="107">
        <f t="shared" si="56"/>
        <v>0</v>
      </c>
      <c r="M191" s="107">
        <f t="shared" si="56"/>
        <v>0</v>
      </c>
      <c r="N191" s="107">
        <f t="shared" si="56"/>
        <v>0</v>
      </c>
      <c r="O191" s="107">
        <f t="shared" si="56"/>
        <v>0</v>
      </c>
      <c r="P191" s="107">
        <f t="shared" si="56"/>
        <v>0</v>
      </c>
      <c r="Q191" s="107">
        <f t="shared" si="56"/>
        <v>0</v>
      </c>
      <c r="R191" s="107">
        <f t="shared" si="56"/>
        <v>0</v>
      </c>
      <c r="S191" s="107">
        <f t="shared" si="56"/>
        <v>0</v>
      </c>
      <c r="T191" s="107">
        <f t="shared" si="56"/>
        <v>0</v>
      </c>
      <c r="U191" s="107">
        <f t="shared" si="56"/>
        <v>0</v>
      </c>
      <c r="V191" s="107">
        <f t="shared" si="56"/>
        <v>0</v>
      </c>
      <c r="W191" s="107">
        <f t="shared" si="56"/>
        <v>0</v>
      </c>
      <c r="X191" s="107">
        <f t="shared" si="56"/>
        <v>0</v>
      </c>
      <c r="Y191" s="107">
        <f t="shared" si="56"/>
        <v>0</v>
      </c>
      <c r="Z191" s="107">
        <f t="shared" si="56"/>
        <v>0</v>
      </c>
      <c r="AA191" s="107">
        <f t="shared" si="56"/>
        <v>0</v>
      </c>
      <c r="AB191" s="107">
        <f t="shared" si="56"/>
        <v>0</v>
      </c>
      <c r="AC191" s="107">
        <f t="shared" si="56"/>
        <v>0</v>
      </c>
      <c r="AD191" s="107">
        <f t="shared" si="56"/>
        <v>0</v>
      </c>
      <c r="AE191" s="107">
        <f t="shared" si="56"/>
        <v>0</v>
      </c>
      <c r="AF191" s="101"/>
      <c r="AG191" s="102">
        <f t="shared" si="37"/>
        <v>0</v>
      </c>
    </row>
    <row r="192" spans="1:33" ht="80.25" customHeight="1" x14ac:dyDescent="0.3">
      <c r="A192" s="787" t="s">
        <v>538</v>
      </c>
      <c r="B192" s="627"/>
      <c r="C192" s="110"/>
      <c r="D192" s="110"/>
      <c r="E192" s="110"/>
      <c r="F192" s="110"/>
      <c r="G192" s="110"/>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c r="AD192" s="111"/>
      <c r="AE192" s="111"/>
      <c r="AF192" s="29"/>
      <c r="AG192" s="102">
        <f t="shared" si="37"/>
        <v>0</v>
      </c>
    </row>
    <row r="193" spans="1:33" x14ac:dyDescent="0.3">
      <c r="A193" s="623" t="s">
        <v>31</v>
      </c>
      <c r="B193" s="624">
        <f>B195+B196+B194+B197</f>
        <v>1803.7</v>
      </c>
      <c r="C193" s="113">
        <f>C195+C196+C194+C197</f>
        <v>1190.7</v>
      </c>
      <c r="D193" s="114">
        <f>D195+D196+D194+D197</f>
        <v>1190.6999999999998</v>
      </c>
      <c r="E193" s="113">
        <f>E195+E196+E194+E197</f>
        <v>1190.6999999999998</v>
      </c>
      <c r="F193" s="113">
        <f>IFERROR(E193/B193*100,0)</f>
        <v>66.014303930808879</v>
      </c>
      <c r="G193" s="113">
        <f>IFERROR(E193/C193*100,0)</f>
        <v>99.999999999999972</v>
      </c>
      <c r="H193" s="113">
        <f t="shared" ref="H193:AE193" si="58">H195+H196+H194+H197</f>
        <v>0</v>
      </c>
      <c r="I193" s="113">
        <f t="shared" si="58"/>
        <v>0</v>
      </c>
      <c r="J193" s="113">
        <f t="shared" si="58"/>
        <v>383.5</v>
      </c>
      <c r="K193" s="113">
        <f t="shared" si="58"/>
        <v>0</v>
      </c>
      <c r="L193" s="113">
        <f t="shared" si="58"/>
        <v>487.2</v>
      </c>
      <c r="M193" s="113">
        <f t="shared" si="58"/>
        <v>0</v>
      </c>
      <c r="N193" s="113">
        <f t="shared" si="58"/>
        <v>108.2</v>
      </c>
      <c r="O193" s="113">
        <f t="shared" si="58"/>
        <v>978.9</v>
      </c>
      <c r="P193" s="113">
        <f t="shared" si="58"/>
        <v>100.2</v>
      </c>
      <c r="Q193" s="113">
        <f t="shared" si="58"/>
        <v>100.2</v>
      </c>
      <c r="R193" s="113">
        <f t="shared" si="58"/>
        <v>111.6</v>
      </c>
      <c r="S193" s="113">
        <f t="shared" si="58"/>
        <v>111.6</v>
      </c>
      <c r="T193" s="113">
        <f t="shared" si="58"/>
        <v>0</v>
      </c>
      <c r="U193" s="113">
        <f t="shared" si="58"/>
        <v>0</v>
      </c>
      <c r="V193" s="113">
        <f t="shared" si="58"/>
        <v>13.6</v>
      </c>
      <c r="W193" s="113">
        <f t="shared" si="58"/>
        <v>0</v>
      </c>
      <c r="X193" s="113">
        <f t="shared" si="58"/>
        <v>19.399999999999999</v>
      </c>
      <c r="Y193" s="113">
        <f t="shared" si="58"/>
        <v>0</v>
      </c>
      <c r="Z193" s="113">
        <f t="shared" si="58"/>
        <v>0</v>
      </c>
      <c r="AA193" s="113">
        <f t="shared" si="58"/>
        <v>0</v>
      </c>
      <c r="AB193" s="113">
        <f t="shared" si="58"/>
        <v>0</v>
      </c>
      <c r="AC193" s="113">
        <f t="shared" si="58"/>
        <v>0</v>
      </c>
      <c r="AD193" s="113">
        <f t="shared" si="58"/>
        <v>580</v>
      </c>
      <c r="AE193" s="113">
        <f t="shared" si="58"/>
        <v>0</v>
      </c>
      <c r="AF193" s="29"/>
      <c r="AG193" s="102">
        <f t="shared" si="37"/>
        <v>0</v>
      </c>
    </row>
    <row r="194" spans="1:33" x14ac:dyDescent="0.3">
      <c r="A194" s="626" t="s">
        <v>169</v>
      </c>
      <c r="B194" s="627">
        <f>J194+L194+N194+P194+R194+T194+V194+X194+Z194+AB194+AD194+H194</f>
        <v>0</v>
      </c>
      <c r="C194" s="117">
        <f>SUM(H194)</f>
        <v>0</v>
      </c>
      <c r="D194" s="118">
        <f>E194</f>
        <v>0</v>
      </c>
      <c r="E194" s="117">
        <f>SUM(I194,K194,M194,O194,Q194,S194,U194,W194,Y194,AA194,AC194,AE194)</f>
        <v>0</v>
      </c>
      <c r="F194" s="116">
        <f>IFERROR(E194/B194*100,0)</f>
        <v>0</v>
      </c>
      <c r="G194" s="116">
        <f>IFERROR(E194/C194*100,0)</f>
        <v>0</v>
      </c>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c r="AD194" s="111"/>
      <c r="AE194" s="111"/>
      <c r="AF194" s="29"/>
      <c r="AG194" s="102">
        <f t="shared" si="37"/>
        <v>0</v>
      </c>
    </row>
    <row r="195" spans="1:33" x14ac:dyDescent="0.3">
      <c r="A195" s="626" t="s">
        <v>32</v>
      </c>
      <c r="B195" s="627">
        <f>J195+L195+N195+P195+R195+T195+V195+X195+Z195+AB195+AD195+H195</f>
        <v>0</v>
      </c>
      <c r="C195" s="117">
        <f>SUM(H195)</f>
        <v>0</v>
      </c>
      <c r="D195" s="118">
        <f>E195</f>
        <v>0</v>
      </c>
      <c r="E195" s="117">
        <f>SUM(I195,K195,M195,O195,Q195,S195,U195,W195,Y195,AA195,AC195,AE195)</f>
        <v>0</v>
      </c>
      <c r="F195" s="116">
        <f>IFERROR(E195/B195*100,0)</f>
        <v>0</v>
      </c>
      <c r="G195" s="116">
        <f>IFERROR(E195/C195*100,0)</f>
        <v>0</v>
      </c>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c r="AD195" s="111"/>
      <c r="AE195" s="111"/>
      <c r="AF195" s="29"/>
      <c r="AG195" s="102">
        <f t="shared" si="37"/>
        <v>0</v>
      </c>
    </row>
    <row r="196" spans="1:33" x14ac:dyDescent="0.3">
      <c r="A196" s="626" t="s">
        <v>33</v>
      </c>
      <c r="B196" s="627">
        <f>J196+L196+N196+P196+R196+T196+V196+X196+Z196+AB196+AD196+H196</f>
        <v>1803.7</v>
      </c>
      <c r="C196" s="117">
        <f>H196+J196+L196+N196+P196+R196</f>
        <v>1190.7</v>
      </c>
      <c r="D196" s="118">
        <f>E196</f>
        <v>1190.6999999999998</v>
      </c>
      <c r="E196" s="117">
        <f>SUM(I196,K196,M196,O196,Q196,S196,U196,W196,Y196,AA196,AC196,AE196)</f>
        <v>1190.6999999999998</v>
      </c>
      <c r="F196" s="116">
        <f>IFERROR(E196/B196*100,0)</f>
        <v>66.014303930808879</v>
      </c>
      <c r="G196" s="116">
        <f>IFERROR(E196/C196*100,0)</f>
        <v>99.999999999999972</v>
      </c>
      <c r="H196" s="111"/>
      <c r="I196" s="111"/>
      <c r="J196" s="111">
        <v>383.5</v>
      </c>
      <c r="K196" s="111"/>
      <c r="L196" s="111">
        <v>487.2</v>
      </c>
      <c r="M196" s="111"/>
      <c r="N196" s="111">
        <v>108.2</v>
      </c>
      <c r="O196" s="111">
        <v>978.9</v>
      </c>
      <c r="P196" s="111">
        <v>100.2</v>
      </c>
      <c r="Q196" s="111">
        <v>100.2</v>
      </c>
      <c r="R196" s="111">
        <v>111.6</v>
      </c>
      <c r="S196" s="111">
        <v>111.6</v>
      </c>
      <c r="T196" s="111"/>
      <c r="U196" s="111"/>
      <c r="V196" s="111">
        <v>13.6</v>
      </c>
      <c r="W196" s="111"/>
      <c r="X196" s="111">
        <v>19.399999999999999</v>
      </c>
      <c r="Y196" s="111"/>
      <c r="Z196" s="111"/>
      <c r="AA196" s="111"/>
      <c r="AB196" s="111"/>
      <c r="AC196" s="111"/>
      <c r="AD196" s="111">
        <v>580</v>
      </c>
      <c r="AE196" s="111"/>
      <c r="AF196" s="29"/>
      <c r="AG196" s="102">
        <f t="shared" si="37"/>
        <v>0</v>
      </c>
    </row>
    <row r="197" spans="1:33" x14ac:dyDescent="0.3">
      <c r="A197" s="626" t="s">
        <v>170</v>
      </c>
      <c r="B197" s="627"/>
      <c r="C197" s="117"/>
      <c r="D197" s="118"/>
      <c r="E197" s="117"/>
      <c r="F197" s="116"/>
      <c r="G197" s="116"/>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c r="AD197" s="111"/>
      <c r="AE197" s="111"/>
      <c r="AF197" s="29"/>
      <c r="AG197" s="102">
        <f t="shared" si="37"/>
        <v>0</v>
      </c>
    </row>
    <row r="198" spans="1:33" ht="80.25" customHeight="1" x14ac:dyDescent="0.3">
      <c r="A198" s="787" t="s">
        <v>537</v>
      </c>
      <c r="B198" s="627"/>
      <c r="C198" s="110"/>
      <c r="D198" s="110"/>
      <c r="E198" s="110"/>
      <c r="F198" s="110"/>
      <c r="G198" s="110"/>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c r="AD198" s="111"/>
      <c r="AE198" s="111"/>
      <c r="AF198" s="29"/>
      <c r="AG198" s="102">
        <f t="shared" si="37"/>
        <v>0</v>
      </c>
    </row>
    <row r="199" spans="1:33" x14ac:dyDescent="0.3">
      <c r="A199" s="623" t="s">
        <v>31</v>
      </c>
      <c r="B199" s="624">
        <f>B201+B202+B200+B203</f>
        <v>100</v>
      </c>
      <c r="C199" s="113">
        <f>C201+C202+C200+C203</f>
        <v>100</v>
      </c>
      <c r="D199" s="114">
        <f>D201+D202+D200+D203</f>
        <v>100</v>
      </c>
      <c r="E199" s="113">
        <f>E201+E202+E200+E203</f>
        <v>100</v>
      </c>
      <c r="F199" s="113">
        <f>IFERROR(E199/B199*100,0)</f>
        <v>100</v>
      </c>
      <c r="G199" s="113">
        <f>IFERROR(E199/C199*100,0)</f>
        <v>100</v>
      </c>
      <c r="H199" s="113">
        <f t="shared" ref="H199:AE199" si="59">H201+H202+H200+H203</f>
        <v>100</v>
      </c>
      <c r="I199" s="113">
        <f t="shared" si="59"/>
        <v>100</v>
      </c>
      <c r="J199" s="113">
        <f t="shared" si="59"/>
        <v>0</v>
      </c>
      <c r="K199" s="113">
        <f t="shared" si="59"/>
        <v>0</v>
      </c>
      <c r="L199" s="113">
        <f t="shared" si="59"/>
        <v>0</v>
      </c>
      <c r="M199" s="113">
        <f t="shared" si="59"/>
        <v>0</v>
      </c>
      <c r="N199" s="113">
        <f t="shared" si="59"/>
        <v>0</v>
      </c>
      <c r="O199" s="113">
        <f t="shared" si="59"/>
        <v>0</v>
      </c>
      <c r="P199" s="113">
        <f t="shared" si="59"/>
        <v>0</v>
      </c>
      <c r="Q199" s="113">
        <f t="shared" si="59"/>
        <v>0</v>
      </c>
      <c r="R199" s="113">
        <f t="shared" si="59"/>
        <v>0</v>
      </c>
      <c r="S199" s="113">
        <f t="shared" si="59"/>
        <v>0</v>
      </c>
      <c r="T199" s="113">
        <f t="shared" si="59"/>
        <v>0</v>
      </c>
      <c r="U199" s="113">
        <f t="shared" si="59"/>
        <v>0</v>
      </c>
      <c r="V199" s="113">
        <f t="shared" si="59"/>
        <v>0</v>
      </c>
      <c r="W199" s="113">
        <f t="shared" si="59"/>
        <v>0</v>
      </c>
      <c r="X199" s="113">
        <f t="shared" si="59"/>
        <v>0</v>
      </c>
      <c r="Y199" s="113">
        <f t="shared" si="59"/>
        <v>0</v>
      </c>
      <c r="Z199" s="113">
        <f t="shared" si="59"/>
        <v>0</v>
      </c>
      <c r="AA199" s="113">
        <f t="shared" si="59"/>
        <v>0</v>
      </c>
      <c r="AB199" s="113">
        <f t="shared" si="59"/>
        <v>0</v>
      </c>
      <c r="AC199" s="113">
        <f t="shared" si="59"/>
        <v>0</v>
      </c>
      <c r="AD199" s="113">
        <f t="shared" si="59"/>
        <v>0</v>
      </c>
      <c r="AE199" s="113">
        <f t="shared" si="59"/>
        <v>0</v>
      </c>
      <c r="AF199" s="29"/>
      <c r="AG199" s="102">
        <f t="shared" si="37"/>
        <v>0</v>
      </c>
    </row>
    <row r="200" spans="1:33" x14ac:dyDescent="0.3">
      <c r="A200" s="626" t="s">
        <v>169</v>
      </c>
      <c r="B200" s="627">
        <f>J200+L200+N200+P200+R200+T200+V200+X200+Z200+AB200+AD200+H200</f>
        <v>0</v>
      </c>
      <c r="C200" s="117">
        <f>SUM(H200)</f>
        <v>0</v>
      </c>
      <c r="D200" s="118">
        <f>E200</f>
        <v>0</v>
      </c>
      <c r="E200" s="117">
        <f>SUM(I200,K200,M200,O200,Q200,S200,U200,W200,Y200,AA200,AC200,AE200)</f>
        <v>0</v>
      </c>
      <c r="F200" s="116">
        <f>IFERROR(E200/B200*100,0)</f>
        <v>0</v>
      </c>
      <c r="G200" s="116">
        <f>IFERROR(E200/C200*100,0)</f>
        <v>0</v>
      </c>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c r="AD200" s="111"/>
      <c r="AE200" s="111"/>
      <c r="AF200" s="29"/>
      <c r="AG200" s="102">
        <f t="shared" si="37"/>
        <v>0</v>
      </c>
    </row>
    <row r="201" spans="1:33" x14ac:dyDescent="0.3">
      <c r="A201" s="626" t="s">
        <v>32</v>
      </c>
      <c r="B201" s="627">
        <f>J201+L201+N201+P201+R201+T201+V201+X201+Z201+AB201+AD201+H201</f>
        <v>0</v>
      </c>
      <c r="C201" s="117">
        <f>SUM(H201)</f>
        <v>0</v>
      </c>
      <c r="D201" s="118">
        <f>E201</f>
        <v>0</v>
      </c>
      <c r="E201" s="117">
        <f>SUM(I201,K201,M201,O201,Q201,S201,U201,W201,Y201,AA201,AC201,AE201)</f>
        <v>0</v>
      </c>
      <c r="F201" s="116">
        <f>IFERROR(E201/B201*100,0)</f>
        <v>0</v>
      </c>
      <c r="G201" s="116">
        <f>IFERROR(E201/C201*100,0)</f>
        <v>0</v>
      </c>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c r="AD201" s="111"/>
      <c r="AE201" s="111"/>
      <c r="AF201" s="29"/>
      <c r="AG201" s="102">
        <f t="shared" si="37"/>
        <v>0</v>
      </c>
    </row>
    <row r="202" spans="1:33" x14ac:dyDescent="0.3">
      <c r="A202" s="626" t="s">
        <v>33</v>
      </c>
      <c r="B202" s="627">
        <f>J202+L202+N202+P202+R202+T202+V202+X202+Z202+AB202+AD202+H202</f>
        <v>100</v>
      </c>
      <c r="C202" s="117">
        <f>SUM(H202)</f>
        <v>100</v>
      </c>
      <c r="D202" s="118">
        <f>E202</f>
        <v>100</v>
      </c>
      <c r="E202" s="117">
        <f>SUM(I202,K202,M202,O202,Q202,S202,U202,W202,Y202,AA202,AC202,AE202)</f>
        <v>100</v>
      </c>
      <c r="F202" s="116">
        <f>IFERROR(E202/B202*100,0)</f>
        <v>100</v>
      </c>
      <c r="G202" s="116">
        <f>IFERROR(E202/C202*100,0)</f>
        <v>100</v>
      </c>
      <c r="H202" s="111">
        <v>100</v>
      </c>
      <c r="I202" s="111">
        <v>100</v>
      </c>
      <c r="J202" s="111"/>
      <c r="K202" s="111"/>
      <c r="L202" s="111"/>
      <c r="M202" s="111"/>
      <c r="N202" s="111"/>
      <c r="O202" s="111"/>
      <c r="P202" s="111"/>
      <c r="Q202" s="111"/>
      <c r="R202" s="111"/>
      <c r="S202" s="111"/>
      <c r="T202" s="111"/>
      <c r="U202" s="111"/>
      <c r="V202" s="111"/>
      <c r="W202" s="111"/>
      <c r="X202" s="111"/>
      <c r="Y202" s="111"/>
      <c r="Z202" s="111"/>
      <c r="AA202" s="111"/>
      <c r="AB202" s="111"/>
      <c r="AC202" s="111"/>
      <c r="AD202" s="111"/>
      <c r="AE202" s="111"/>
      <c r="AF202" s="29"/>
      <c r="AG202" s="102">
        <f t="shared" si="37"/>
        <v>0</v>
      </c>
    </row>
    <row r="203" spans="1:33" x14ac:dyDescent="0.3">
      <c r="A203" s="115" t="s">
        <v>170</v>
      </c>
      <c r="B203" s="116"/>
      <c r="C203" s="117"/>
      <c r="D203" s="118"/>
      <c r="E203" s="117"/>
      <c r="F203" s="116"/>
      <c r="G203" s="116"/>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c r="AD203" s="111"/>
      <c r="AE203" s="111"/>
      <c r="AF203" s="29"/>
      <c r="AG203" s="102">
        <f t="shared" si="37"/>
        <v>0</v>
      </c>
    </row>
    <row r="204" spans="1:33" ht="75" x14ac:dyDescent="0.3">
      <c r="A204" s="138" t="s">
        <v>295</v>
      </c>
      <c r="B204" s="139"/>
      <c r="C204" s="140"/>
      <c r="D204" s="140"/>
      <c r="E204" s="140"/>
      <c r="F204" s="140"/>
      <c r="G204" s="140"/>
      <c r="H204" s="139"/>
      <c r="I204" s="139"/>
      <c r="J204" s="139"/>
      <c r="K204" s="139"/>
      <c r="L204" s="139"/>
      <c r="M204" s="139"/>
      <c r="N204" s="139"/>
      <c r="O204" s="139"/>
      <c r="P204" s="139"/>
      <c r="Q204" s="139"/>
      <c r="R204" s="139"/>
      <c r="S204" s="139"/>
      <c r="T204" s="139"/>
      <c r="U204" s="139"/>
      <c r="V204" s="139"/>
      <c r="W204" s="139"/>
      <c r="X204" s="139"/>
      <c r="Y204" s="139"/>
      <c r="Z204" s="139"/>
      <c r="AA204" s="139"/>
      <c r="AB204" s="139"/>
      <c r="AC204" s="139"/>
      <c r="AD204" s="139"/>
      <c r="AE204" s="139"/>
      <c r="AF204" s="101"/>
      <c r="AG204" s="102">
        <f t="shared" si="37"/>
        <v>0</v>
      </c>
    </row>
    <row r="205" spans="1:33" x14ac:dyDescent="0.3">
      <c r="A205" s="103" t="s">
        <v>31</v>
      </c>
      <c r="B205" s="104">
        <f>B206+B207+B208+B209</f>
        <v>5797.5</v>
      </c>
      <c r="C205" s="104">
        <f>C206+C207+C208+C209</f>
        <v>5604.2</v>
      </c>
      <c r="D205" s="104">
        <f>D206+D207+D208+D209</f>
        <v>5604.2</v>
      </c>
      <c r="E205" s="104">
        <f>E206+E207+E208+E209</f>
        <v>5604.2</v>
      </c>
      <c r="F205" s="107">
        <f>IFERROR(E205/B205*100,0)</f>
        <v>96.665804225959462</v>
      </c>
      <c r="G205" s="107">
        <f>IFERROR(E205/C205*100,0)</f>
        <v>100</v>
      </c>
      <c r="H205" s="104">
        <f>H206+H207+H208+H209</f>
        <v>2992.1</v>
      </c>
      <c r="I205" s="104">
        <f t="shared" ref="I205:AE205" si="60">I206+I207+I208+I209</f>
        <v>2992.1</v>
      </c>
      <c r="J205" s="104">
        <f t="shared" si="60"/>
        <v>743.9</v>
      </c>
      <c r="K205" s="104">
        <f t="shared" si="60"/>
        <v>0</v>
      </c>
      <c r="L205" s="104">
        <f t="shared" si="60"/>
        <v>212.7</v>
      </c>
      <c r="M205" s="104">
        <f t="shared" si="60"/>
        <v>0</v>
      </c>
      <c r="N205" s="104">
        <f t="shared" si="60"/>
        <v>397.8</v>
      </c>
      <c r="O205" s="104">
        <f t="shared" si="60"/>
        <v>1354.3999999999999</v>
      </c>
      <c r="P205" s="104">
        <f t="shared" si="60"/>
        <v>600</v>
      </c>
      <c r="Q205" s="104">
        <f t="shared" si="60"/>
        <v>600</v>
      </c>
      <c r="R205" s="104">
        <f t="shared" si="60"/>
        <v>657.7</v>
      </c>
      <c r="S205" s="104">
        <f t="shared" si="60"/>
        <v>657.7</v>
      </c>
      <c r="T205" s="104">
        <f t="shared" si="60"/>
        <v>0</v>
      </c>
      <c r="U205" s="104">
        <f t="shared" si="60"/>
        <v>0</v>
      </c>
      <c r="V205" s="104">
        <f t="shared" si="60"/>
        <v>18</v>
      </c>
      <c r="W205" s="104">
        <f t="shared" si="60"/>
        <v>0</v>
      </c>
      <c r="X205" s="104">
        <f t="shared" si="60"/>
        <v>0</v>
      </c>
      <c r="Y205" s="104">
        <f t="shared" si="60"/>
        <v>0</v>
      </c>
      <c r="Z205" s="104">
        <f t="shared" si="60"/>
        <v>25.3</v>
      </c>
      <c r="AA205" s="104">
        <f t="shared" si="60"/>
        <v>0</v>
      </c>
      <c r="AB205" s="104">
        <f t="shared" si="60"/>
        <v>0</v>
      </c>
      <c r="AC205" s="104">
        <f t="shared" si="60"/>
        <v>0</v>
      </c>
      <c r="AD205" s="104">
        <f t="shared" si="60"/>
        <v>150</v>
      </c>
      <c r="AE205" s="104">
        <f t="shared" si="60"/>
        <v>0</v>
      </c>
      <c r="AF205" s="101"/>
      <c r="AG205" s="102">
        <f t="shared" si="37"/>
        <v>0</v>
      </c>
    </row>
    <row r="206" spans="1:33" x14ac:dyDescent="0.3">
      <c r="A206" s="106" t="s">
        <v>169</v>
      </c>
      <c r="B206" s="107">
        <f>B212+B218+B224+B230</f>
        <v>0</v>
      </c>
      <c r="C206" s="107">
        <f>C212+C218+C224+C230</f>
        <v>0</v>
      </c>
      <c r="D206" s="107">
        <f>D212+D218+D224+D230</f>
        <v>0</v>
      </c>
      <c r="E206" s="107">
        <f>E212+E218+E224+E230</f>
        <v>0</v>
      </c>
      <c r="F206" s="107"/>
      <c r="G206" s="107"/>
      <c r="H206" s="107">
        <f t="shared" ref="H206:AE209" si="61">H212+H218+H224+H230</f>
        <v>0</v>
      </c>
      <c r="I206" s="107">
        <f t="shared" si="61"/>
        <v>0</v>
      </c>
      <c r="J206" s="107">
        <f t="shared" si="61"/>
        <v>0</v>
      </c>
      <c r="K206" s="107">
        <f t="shared" si="61"/>
        <v>0</v>
      </c>
      <c r="L206" s="107">
        <f t="shared" si="61"/>
        <v>0</v>
      </c>
      <c r="M206" s="107">
        <f t="shared" si="61"/>
        <v>0</v>
      </c>
      <c r="N206" s="107">
        <f t="shared" si="61"/>
        <v>0</v>
      </c>
      <c r="O206" s="107">
        <f t="shared" si="61"/>
        <v>0</v>
      </c>
      <c r="P206" s="107">
        <f t="shared" si="61"/>
        <v>0</v>
      </c>
      <c r="Q206" s="107">
        <f t="shared" si="61"/>
        <v>0</v>
      </c>
      <c r="R206" s="107">
        <f t="shared" si="61"/>
        <v>0</v>
      </c>
      <c r="S206" s="107">
        <f t="shared" si="61"/>
        <v>0</v>
      </c>
      <c r="T206" s="107">
        <f t="shared" si="61"/>
        <v>0</v>
      </c>
      <c r="U206" s="107">
        <f t="shared" si="61"/>
        <v>0</v>
      </c>
      <c r="V206" s="107">
        <f t="shared" si="61"/>
        <v>0</v>
      </c>
      <c r="W206" s="107">
        <f t="shared" si="61"/>
        <v>0</v>
      </c>
      <c r="X206" s="107">
        <f t="shared" si="61"/>
        <v>0</v>
      </c>
      <c r="Y206" s="107">
        <f t="shared" si="61"/>
        <v>0</v>
      </c>
      <c r="Z206" s="107">
        <f t="shared" si="61"/>
        <v>0</v>
      </c>
      <c r="AA206" s="107">
        <f t="shared" si="61"/>
        <v>0</v>
      </c>
      <c r="AB206" s="107">
        <f t="shared" si="61"/>
        <v>0</v>
      </c>
      <c r="AC206" s="107">
        <f t="shared" si="61"/>
        <v>0</v>
      </c>
      <c r="AD206" s="107">
        <f t="shared" si="61"/>
        <v>0</v>
      </c>
      <c r="AE206" s="107">
        <f t="shared" si="61"/>
        <v>0</v>
      </c>
      <c r="AF206" s="101"/>
      <c r="AG206" s="102">
        <f t="shared" si="37"/>
        <v>0</v>
      </c>
    </row>
    <row r="207" spans="1:33" x14ac:dyDescent="0.3">
      <c r="A207" s="106" t="s">
        <v>32</v>
      </c>
      <c r="B207" s="107">
        <f t="shared" ref="B207:E209" si="62">B213+B219+B225+B231</f>
        <v>0</v>
      </c>
      <c r="C207" s="107">
        <f t="shared" si="62"/>
        <v>0</v>
      </c>
      <c r="D207" s="107">
        <f t="shared" si="62"/>
        <v>0</v>
      </c>
      <c r="E207" s="107">
        <f t="shared" si="62"/>
        <v>0</v>
      </c>
      <c r="F207" s="107"/>
      <c r="G207" s="107"/>
      <c r="H207" s="107">
        <f t="shared" si="61"/>
        <v>0</v>
      </c>
      <c r="I207" s="107">
        <f t="shared" si="61"/>
        <v>0</v>
      </c>
      <c r="J207" s="107">
        <f t="shared" si="61"/>
        <v>0</v>
      </c>
      <c r="K207" s="107">
        <f t="shared" si="61"/>
        <v>0</v>
      </c>
      <c r="L207" s="107">
        <f t="shared" si="61"/>
        <v>0</v>
      </c>
      <c r="M207" s="107">
        <f t="shared" si="61"/>
        <v>0</v>
      </c>
      <c r="N207" s="107">
        <f t="shared" si="61"/>
        <v>0</v>
      </c>
      <c r="O207" s="107">
        <f t="shared" si="61"/>
        <v>0</v>
      </c>
      <c r="P207" s="107">
        <f t="shared" si="61"/>
        <v>0</v>
      </c>
      <c r="Q207" s="107">
        <f t="shared" si="61"/>
        <v>0</v>
      </c>
      <c r="R207" s="107">
        <f t="shared" si="61"/>
        <v>0</v>
      </c>
      <c r="S207" s="107">
        <f t="shared" si="61"/>
        <v>0</v>
      </c>
      <c r="T207" s="107">
        <f t="shared" si="61"/>
        <v>0</v>
      </c>
      <c r="U207" s="107">
        <f t="shared" si="61"/>
        <v>0</v>
      </c>
      <c r="V207" s="107">
        <f t="shared" si="61"/>
        <v>0</v>
      </c>
      <c r="W207" s="107">
        <f t="shared" si="61"/>
        <v>0</v>
      </c>
      <c r="X207" s="107">
        <f t="shared" si="61"/>
        <v>0</v>
      </c>
      <c r="Y207" s="107">
        <f t="shared" si="61"/>
        <v>0</v>
      </c>
      <c r="Z207" s="107">
        <f t="shared" si="61"/>
        <v>0</v>
      </c>
      <c r="AA207" s="107">
        <f t="shared" si="61"/>
        <v>0</v>
      </c>
      <c r="AB207" s="107">
        <f t="shared" si="61"/>
        <v>0</v>
      </c>
      <c r="AC207" s="107">
        <f t="shared" si="61"/>
        <v>0</v>
      </c>
      <c r="AD207" s="107">
        <f t="shared" si="61"/>
        <v>0</v>
      </c>
      <c r="AE207" s="107">
        <f t="shared" si="61"/>
        <v>0</v>
      </c>
      <c r="AF207" s="101"/>
      <c r="AG207" s="102">
        <f t="shared" si="37"/>
        <v>0</v>
      </c>
    </row>
    <row r="208" spans="1:33" x14ac:dyDescent="0.3">
      <c r="A208" s="106" t="s">
        <v>33</v>
      </c>
      <c r="B208" s="107">
        <f>B214+B220+B226+B232</f>
        <v>5797.5</v>
      </c>
      <c r="C208" s="107">
        <f>C214+C220+C226+C232</f>
        <v>5604.2</v>
      </c>
      <c r="D208" s="107">
        <f t="shared" si="62"/>
        <v>5604.2</v>
      </c>
      <c r="E208" s="107">
        <f t="shared" si="62"/>
        <v>5604.2</v>
      </c>
      <c r="F208" s="107">
        <f>IFERROR(E208/B208*100,0)</f>
        <v>96.665804225959462</v>
      </c>
      <c r="G208" s="107">
        <f>IFERROR(E208/C208*100,0)</f>
        <v>100</v>
      </c>
      <c r="H208" s="107">
        <f t="shared" si="61"/>
        <v>2992.1</v>
      </c>
      <c r="I208" s="107">
        <f t="shared" si="61"/>
        <v>2992.1</v>
      </c>
      <c r="J208" s="107">
        <f t="shared" si="61"/>
        <v>743.9</v>
      </c>
      <c r="K208" s="107">
        <f t="shared" si="61"/>
        <v>0</v>
      </c>
      <c r="L208" s="107">
        <f t="shared" si="61"/>
        <v>212.7</v>
      </c>
      <c r="M208" s="107">
        <f t="shared" si="61"/>
        <v>0</v>
      </c>
      <c r="N208" s="107">
        <f t="shared" si="61"/>
        <v>397.8</v>
      </c>
      <c r="O208" s="107">
        <f t="shared" si="61"/>
        <v>1354.3999999999999</v>
      </c>
      <c r="P208" s="107">
        <f t="shared" si="61"/>
        <v>600</v>
      </c>
      <c r="Q208" s="107">
        <f t="shared" si="61"/>
        <v>600</v>
      </c>
      <c r="R208" s="107">
        <f t="shared" si="61"/>
        <v>657.7</v>
      </c>
      <c r="S208" s="107">
        <f t="shared" si="61"/>
        <v>657.7</v>
      </c>
      <c r="T208" s="107">
        <f t="shared" si="61"/>
        <v>0</v>
      </c>
      <c r="U208" s="107">
        <f t="shared" si="61"/>
        <v>0</v>
      </c>
      <c r="V208" s="107">
        <f t="shared" si="61"/>
        <v>18</v>
      </c>
      <c r="W208" s="107">
        <f t="shared" si="61"/>
        <v>0</v>
      </c>
      <c r="X208" s="107">
        <f t="shared" si="61"/>
        <v>0</v>
      </c>
      <c r="Y208" s="107">
        <f t="shared" si="61"/>
        <v>0</v>
      </c>
      <c r="Z208" s="107">
        <f t="shared" si="61"/>
        <v>25.3</v>
      </c>
      <c r="AA208" s="107">
        <f t="shared" si="61"/>
        <v>0</v>
      </c>
      <c r="AB208" s="107">
        <f t="shared" si="61"/>
        <v>0</v>
      </c>
      <c r="AC208" s="107">
        <f t="shared" si="61"/>
        <v>0</v>
      </c>
      <c r="AD208" s="107">
        <f t="shared" si="61"/>
        <v>150</v>
      </c>
      <c r="AE208" s="107">
        <f t="shared" si="61"/>
        <v>0</v>
      </c>
      <c r="AF208" s="101"/>
      <c r="AG208" s="102">
        <f t="shared" si="37"/>
        <v>0</v>
      </c>
    </row>
    <row r="209" spans="1:33" x14ac:dyDescent="0.3">
      <c r="A209" s="106" t="s">
        <v>170</v>
      </c>
      <c r="B209" s="107">
        <f t="shared" si="62"/>
        <v>0</v>
      </c>
      <c r="C209" s="107">
        <f t="shared" si="62"/>
        <v>0</v>
      </c>
      <c r="D209" s="107">
        <f t="shared" si="62"/>
        <v>0</v>
      </c>
      <c r="E209" s="107">
        <f t="shared" si="62"/>
        <v>0</v>
      </c>
      <c r="F209" s="107"/>
      <c r="G209" s="107"/>
      <c r="H209" s="107">
        <f t="shared" si="61"/>
        <v>0</v>
      </c>
      <c r="I209" s="107">
        <f t="shared" si="61"/>
        <v>0</v>
      </c>
      <c r="J209" s="107">
        <f t="shared" si="61"/>
        <v>0</v>
      </c>
      <c r="K209" s="107">
        <f t="shared" si="61"/>
        <v>0</v>
      </c>
      <c r="L209" s="107">
        <f t="shared" si="61"/>
        <v>0</v>
      </c>
      <c r="M209" s="107">
        <f t="shared" si="61"/>
        <v>0</v>
      </c>
      <c r="N209" s="107">
        <f t="shared" si="61"/>
        <v>0</v>
      </c>
      <c r="O209" s="107">
        <f t="shared" si="61"/>
        <v>0</v>
      </c>
      <c r="P209" s="107">
        <f t="shared" si="61"/>
        <v>0</v>
      </c>
      <c r="Q209" s="107">
        <f t="shared" si="61"/>
        <v>0</v>
      </c>
      <c r="R209" s="107">
        <f t="shared" si="61"/>
        <v>0</v>
      </c>
      <c r="S209" s="107">
        <f t="shared" si="61"/>
        <v>0</v>
      </c>
      <c r="T209" s="107">
        <f t="shared" si="61"/>
        <v>0</v>
      </c>
      <c r="U209" s="107">
        <f t="shared" si="61"/>
        <v>0</v>
      </c>
      <c r="V209" s="107">
        <f t="shared" si="61"/>
        <v>0</v>
      </c>
      <c r="W209" s="107">
        <f t="shared" si="61"/>
        <v>0</v>
      </c>
      <c r="X209" s="107">
        <f t="shared" si="61"/>
        <v>0</v>
      </c>
      <c r="Y209" s="107">
        <f t="shared" si="61"/>
        <v>0</v>
      </c>
      <c r="Z209" s="107">
        <f t="shared" si="61"/>
        <v>0</v>
      </c>
      <c r="AA209" s="107">
        <f t="shared" si="61"/>
        <v>0</v>
      </c>
      <c r="AB209" s="107">
        <f t="shared" si="61"/>
        <v>0</v>
      </c>
      <c r="AC209" s="107">
        <f t="shared" si="61"/>
        <v>0</v>
      </c>
      <c r="AD209" s="107">
        <f t="shared" si="61"/>
        <v>0</v>
      </c>
      <c r="AE209" s="107">
        <f t="shared" si="61"/>
        <v>0</v>
      </c>
      <c r="AF209" s="101"/>
      <c r="AG209" s="102">
        <f t="shared" si="37"/>
        <v>0</v>
      </c>
    </row>
    <row r="210" spans="1:33" ht="62.25" customHeight="1" x14ac:dyDescent="0.3">
      <c r="A210" s="787" t="s">
        <v>628</v>
      </c>
      <c r="B210" s="627"/>
      <c r="C210" s="110"/>
      <c r="D210" s="110"/>
      <c r="E210" s="110"/>
      <c r="F210" s="110"/>
      <c r="G210" s="110"/>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c r="AD210" s="111"/>
      <c r="AE210" s="111"/>
      <c r="AF210" s="29"/>
      <c r="AG210" s="102">
        <f t="shared" si="37"/>
        <v>0</v>
      </c>
    </row>
    <row r="211" spans="1:33" x14ac:dyDescent="0.3">
      <c r="A211" s="623" t="s">
        <v>31</v>
      </c>
      <c r="B211" s="624">
        <f>B213+B214+B212+B215</f>
        <v>2439.3000000000002</v>
      </c>
      <c r="C211" s="113">
        <f>C213+C214+C212+C215</f>
        <v>2396</v>
      </c>
      <c r="D211" s="114">
        <f>D213+D214+D212+D215</f>
        <v>2396</v>
      </c>
      <c r="E211" s="113">
        <f>E213+E214+E212+E215</f>
        <v>2396</v>
      </c>
      <c r="F211" s="113">
        <f>IFERROR(E211/B211*100,0)</f>
        <v>98.224900586233744</v>
      </c>
      <c r="G211" s="113">
        <f>IFERROR(E211/C211*100,0)</f>
        <v>100</v>
      </c>
      <c r="H211" s="113">
        <f t="shared" ref="H211:AE211" si="63">H213+H214+H212+H215</f>
        <v>0</v>
      </c>
      <c r="I211" s="113">
        <f t="shared" si="63"/>
        <v>0</v>
      </c>
      <c r="J211" s="113">
        <f t="shared" si="63"/>
        <v>740.5</v>
      </c>
      <c r="K211" s="113">
        <f t="shared" si="63"/>
        <v>0</v>
      </c>
      <c r="L211" s="113">
        <f t="shared" si="63"/>
        <v>0</v>
      </c>
      <c r="M211" s="113">
        <f t="shared" si="63"/>
        <v>0</v>
      </c>
      <c r="N211" s="113">
        <f t="shared" si="63"/>
        <v>397.8</v>
      </c>
      <c r="O211" s="113">
        <f t="shared" si="63"/>
        <v>1138.3</v>
      </c>
      <c r="P211" s="113">
        <f t="shared" si="63"/>
        <v>600</v>
      </c>
      <c r="Q211" s="113">
        <f t="shared" si="63"/>
        <v>600</v>
      </c>
      <c r="R211" s="113">
        <f t="shared" si="63"/>
        <v>657.7</v>
      </c>
      <c r="S211" s="113">
        <f t="shared" si="63"/>
        <v>657.7</v>
      </c>
      <c r="T211" s="113">
        <f t="shared" si="63"/>
        <v>0</v>
      </c>
      <c r="U211" s="113">
        <f t="shared" si="63"/>
        <v>0</v>
      </c>
      <c r="V211" s="113">
        <f t="shared" si="63"/>
        <v>18</v>
      </c>
      <c r="W211" s="113">
        <f t="shared" si="63"/>
        <v>0</v>
      </c>
      <c r="X211" s="113">
        <f t="shared" si="63"/>
        <v>0</v>
      </c>
      <c r="Y211" s="113">
        <f t="shared" si="63"/>
        <v>0</v>
      </c>
      <c r="Z211" s="113">
        <f t="shared" si="63"/>
        <v>25.3</v>
      </c>
      <c r="AA211" s="113">
        <f t="shared" si="63"/>
        <v>0</v>
      </c>
      <c r="AB211" s="113">
        <f t="shared" si="63"/>
        <v>0</v>
      </c>
      <c r="AC211" s="113">
        <f t="shared" si="63"/>
        <v>0</v>
      </c>
      <c r="AD211" s="113">
        <f t="shared" si="63"/>
        <v>0</v>
      </c>
      <c r="AE211" s="113">
        <f t="shared" si="63"/>
        <v>0</v>
      </c>
      <c r="AF211" s="29"/>
      <c r="AG211" s="102">
        <f t="shared" si="37"/>
        <v>1.8118839761882555E-13</v>
      </c>
    </row>
    <row r="212" spans="1:33" x14ac:dyDescent="0.3">
      <c r="A212" s="626" t="s">
        <v>169</v>
      </c>
      <c r="B212" s="627">
        <f>J212+L212+N212+P212+R212+T212+V212+X212+Z212+AB212+AD212+H212</f>
        <v>0</v>
      </c>
      <c r="C212" s="117">
        <f>SUM(H212)</f>
        <v>0</v>
      </c>
      <c r="D212" s="118">
        <f>E212</f>
        <v>0</v>
      </c>
      <c r="E212" s="117">
        <f>SUM(I212,K212,M212,O212,Q212,S212,U212,W212,Y212,AA212,AC212,AE212)</f>
        <v>0</v>
      </c>
      <c r="F212" s="116">
        <f>IFERROR(E212/B212*100,0)</f>
        <v>0</v>
      </c>
      <c r="G212" s="116">
        <f>IFERROR(E212/C212*100,0)</f>
        <v>0</v>
      </c>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c r="AD212" s="111"/>
      <c r="AE212" s="111"/>
      <c r="AF212" s="29"/>
      <c r="AG212" s="102">
        <f t="shared" si="37"/>
        <v>0</v>
      </c>
    </row>
    <row r="213" spans="1:33" x14ac:dyDescent="0.3">
      <c r="A213" s="626" t="s">
        <v>32</v>
      </c>
      <c r="B213" s="627">
        <f>J213+L213+N213+P213+R213+T213+V213+X213+Z213+AB213+AD213+H213</f>
        <v>0</v>
      </c>
      <c r="C213" s="117">
        <f>SUM(H213)</f>
        <v>0</v>
      </c>
      <c r="D213" s="118">
        <f>E213</f>
        <v>0</v>
      </c>
      <c r="E213" s="117">
        <f>SUM(I213,K213,M213,O213,Q213,S213,U213,W213,Y213,AA213,AC213,AE213)</f>
        <v>0</v>
      </c>
      <c r="F213" s="116">
        <f>IFERROR(E213/B213*100,0)</f>
        <v>0</v>
      </c>
      <c r="G213" s="116">
        <f>IFERROR(E213/C213*100,0)</f>
        <v>0</v>
      </c>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c r="AD213" s="111"/>
      <c r="AE213" s="111"/>
      <c r="AF213" s="29"/>
      <c r="AG213" s="102">
        <f t="shared" si="37"/>
        <v>0</v>
      </c>
    </row>
    <row r="214" spans="1:33" x14ac:dyDescent="0.3">
      <c r="A214" s="626" t="s">
        <v>33</v>
      </c>
      <c r="B214" s="627">
        <f>J214+L214+N214+P214+R214+T214+V214+X214+Z214+AB214+AD214+H214</f>
        <v>2439.3000000000002</v>
      </c>
      <c r="C214" s="117">
        <f>H214+J214+L214+N214+P214+R214</f>
        <v>2396</v>
      </c>
      <c r="D214" s="118">
        <f>E214</f>
        <v>2396</v>
      </c>
      <c r="E214" s="117">
        <f>SUM(I214,K214,M214,O214,Q214,S214,U214,W214,Y214,AA214,AC214,AE214)</f>
        <v>2396</v>
      </c>
      <c r="F214" s="116">
        <f>IFERROR(E214/B214*100,0)</f>
        <v>98.224900586233744</v>
      </c>
      <c r="G214" s="116">
        <f>IFERROR(E214/C214*100,0)</f>
        <v>100</v>
      </c>
      <c r="H214" s="111"/>
      <c r="I214" s="111"/>
      <c r="J214" s="111">
        <v>740.5</v>
      </c>
      <c r="K214" s="111"/>
      <c r="L214" s="111"/>
      <c r="M214" s="111"/>
      <c r="N214" s="111">
        <v>397.8</v>
      </c>
      <c r="O214" s="111">
        <v>1138.3</v>
      </c>
      <c r="P214" s="111">
        <v>600</v>
      </c>
      <c r="Q214" s="111">
        <v>600</v>
      </c>
      <c r="R214" s="111">
        <v>657.7</v>
      </c>
      <c r="S214" s="111">
        <v>657.7</v>
      </c>
      <c r="T214" s="111"/>
      <c r="U214" s="111"/>
      <c r="V214" s="111">
        <v>18</v>
      </c>
      <c r="W214" s="111"/>
      <c r="X214" s="111"/>
      <c r="Y214" s="111"/>
      <c r="Z214" s="111">
        <v>25.3</v>
      </c>
      <c r="AA214" s="111"/>
      <c r="AB214" s="111"/>
      <c r="AC214" s="111"/>
      <c r="AD214" s="111"/>
      <c r="AE214" s="111"/>
      <c r="AF214" s="29"/>
      <c r="AG214" s="102">
        <f t="shared" si="37"/>
        <v>1.8118839761882555E-13</v>
      </c>
    </row>
    <row r="215" spans="1:33" x14ac:dyDescent="0.3">
      <c r="A215" s="626" t="s">
        <v>170</v>
      </c>
      <c r="B215" s="627"/>
      <c r="C215" s="117"/>
      <c r="D215" s="118"/>
      <c r="E215" s="117"/>
      <c r="F215" s="116"/>
      <c r="G215" s="116"/>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c r="AD215" s="111"/>
      <c r="AE215" s="111"/>
      <c r="AF215" s="29"/>
      <c r="AG215" s="102">
        <f t="shared" si="37"/>
        <v>0</v>
      </c>
    </row>
    <row r="216" spans="1:33" ht="80.25" customHeight="1" x14ac:dyDescent="0.3">
      <c r="A216" s="787" t="s">
        <v>629</v>
      </c>
      <c r="B216" s="627"/>
      <c r="C216" s="110"/>
      <c r="D216" s="110"/>
      <c r="E216" s="110"/>
      <c r="F216" s="110"/>
      <c r="G216" s="110"/>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c r="AD216" s="111"/>
      <c r="AE216" s="111"/>
      <c r="AF216" s="29"/>
      <c r="AG216" s="102">
        <f t="shared" si="37"/>
        <v>0</v>
      </c>
    </row>
    <row r="217" spans="1:33" x14ac:dyDescent="0.3">
      <c r="A217" s="623" t="s">
        <v>31</v>
      </c>
      <c r="B217" s="624">
        <f>B219+B220+B218+B221</f>
        <v>216.1</v>
      </c>
      <c r="C217" s="113">
        <f>C219+C220+C218+C221</f>
        <v>216.1</v>
      </c>
      <c r="D217" s="114">
        <f>D219+D220+D218+D221</f>
        <v>216.1</v>
      </c>
      <c r="E217" s="113">
        <f>E219+E220+E218+E221</f>
        <v>216.1</v>
      </c>
      <c r="F217" s="113">
        <f>IFERROR(E217/B217*100,0)</f>
        <v>100</v>
      </c>
      <c r="G217" s="113">
        <f>IFERROR(E217/C217*100,0)</f>
        <v>100</v>
      </c>
      <c r="H217" s="113">
        <f t="shared" ref="H217:AE217" si="64">H219+H220+H218+H221</f>
        <v>0</v>
      </c>
      <c r="I217" s="113">
        <f t="shared" si="64"/>
        <v>0</v>
      </c>
      <c r="J217" s="113">
        <f t="shared" si="64"/>
        <v>3.4</v>
      </c>
      <c r="K217" s="113">
        <f t="shared" si="64"/>
        <v>0</v>
      </c>
      <c r="L217" s="113">
        <f t="shared" si="64"/>
        <v>212.7</v>
      </c>
      <c r="M217" s="113">
        <f t="shared" si="64"/>
        <v>0</v>
      </c>
      <c r="N217" s="113">
        <f t="shared" si="64"/>
        <v>0</v>
      </c>
      <c r="O217" s="113">
        <f t="shared" si="64"/>
        <v>216.1</v>
      </c>
      <c r="P217" s="113">
        <f t="shared" si="64"/>
        <v>0</v>
      </c>
      <c r="Q217" s="113">
        <f t="shared" si="64"/>
        <v>0</v>
      </c>
      <c r="R217" s="113">
        <f t="shared" si="64"/>
        <v>0</v>
      </c>
      <c r="S217" s="113">
        <f t="shared" si="64"/>
        <v>0</v>
      </c>
      <c r="T217" s="113">
        <f t="shared" si="64"/>
        <v>0</v>
      </c>
      <c r="U217" s="113">
        <f t="shared" si="64"/>
        <v>0</v>
      </c>
      <c r="V217" s="113">
        <f t="shared" si="64"/>
        <v>0</v>
      </c>
      <c r="W217" s="113">
        <f t="shared" si="64"/>
        <v>0</v>
      </c>
      <c r="X217" s="113">
        <f t="shared" si="64"/>
        <v>0</v>
      </c>
      <c r="Y217" s="113">
        <f t="shared" si="64"/>
        <v>0</v>
      </c>
      <c r="Z217" s="113">
        <f t="shared" si="64"/>
        <v>0</v>
      </c>
      <c r="AA217" s="113">
        <f t="shared" si="64"/>
        <v>0</v>
      </c>
      <c r="AB217" s="113">
        <f t="shared" si="64"/>
        <v>0</v>
      </c>
      <c r="AC217" s="113">
        <f t="shared" si="64"/>
        <v>0</v>
      </c>
      <c r="AD217" s="113">
        <f t="shared" si="64"/>
        <v>0</v>
      </c>
      <c r="AE217" s="113">
        <f t="shared" si="64"/>
        <v>0</v>
      </c>
      <c r="AF217" s="29"/>
      <c r="AG217" s="102">
        <f t="shared" si="37"/>
        <v>0</v>
      </c>
    </row>
    <row r="218" spans="1:33" x14ac:dyDescent="0.3">
      <c r="A218" s="626" t="s">
        <v>169</v>
      </c>
      <c r="B218" s="627">
        <f>J218+L218+N218+P218+R218+T218+V218+X218+Z218+AB218+AD218+H218</f>
        <v>0</v>
      </c>
      <c r="C218" s="117">
        <f>SUM(H218)</f>
        <v>0</v>
      </c>
      <c r="D218" s="118">
        <f>E218</f>
        <v>0</v>
      </c>
      <c r="E218" s="117">
        <f>SUM(I218,K218,M218,O218,Q218,S218,U218,W218,Y218,AA218,AC218,AE218)</f>
        <v>0</v>
      </c>
      <c r="F218" s="116">
        <f>IFERROR(E218/B218*100,0)</f>
        <v>0</v>
      </c>
      <c r="G218" s="116">
        <f>IFERROR(E218/C218*100,0)</f>
        <v>0</v>
      </c>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c r="AD218" s="111"/>
      <c r="AE218" s="111"/>
      <c r="AF218" s="29"/>
      <c r="AG218" s="102">
        <f t="shared" si="37"/>
        <v>0</v>
      </c>
    </row>
    <row r="219" spans="1:33" x14ac:dyDescent="0.3">
      <c r="A219" s="626" t="s">
        <v>32</v>
      </c>
      <c r="B219" s="627">
        <f>J219+L219+N219+P219+R219+T219+V219+X219+Z219+AB219+AD219+H219</f>
        <v>0</v>
      </c>
      <c r="C219" s="117">
        <f>SUM(H219)</f>
        <v>0</v>
      </c>
      <c r="D219" s="118">
        <f>E219</f>
        <v>0</v>
      </c>
      <c r="E219" s="117">
        <f>SUM(I219,K219,M219,O219,Q219,S219,U219,W219,Y219,AA219,AC219,AE219)</f>
        <v>0</v>
      </c>
      <c r="F219" s="116">
        <f>IFERROR(E219/B219*100,0)</f>
        <v>0</v>
      </c>
      <c r="G219" s="116">
        <f>IFERROR(E219/C219*100,0)</f>
        <v>0</v>
      </c>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c r="AD219" s="111"/>
      <c r="AE219" s="111"/>
      <c r="AF219" s="29"/>
      <c r="AG219" s="102">
        <f t="shared" si="37"/>
        <v>0</v>
      </c>
    </row>
    <row r="220" spans="1:33" x14ac:dyDescent="0.3">
      <c r="A220" s="626" t="s">
        <v>33</v>
      </c>
      <c r="B220" s="627">
        <f>J220+L220+N220+P220+R220+T220+V220+X220+Z220+AB220+AD220+H220</f>
        <v>216.1</v>
      </c>
      <c r="C220" s="117">
        <f>H220+J220+L220+N220+P220+R220</f>
        <v>216.1</v>
      </c>
      <c r="D220" s="118">
        <f>E220</f>
        <v>216.1</v>
      </c>
      <c r="E220" s="117">
        <f>SUM(I220,K220,M220,O220,Q220,S220,U220,W220,Y220,AA220,AC220,AE220)</f>
        <v>216.1</v>
      </c>
      <c r="F220" s="116">
        <f>IFERROR(E220/B220*100,0)</f>
        <v>100</v>
      </c>
      <c r="G220" s="116">
        <f>IFERROR(E220/C220*100,0)</f>
        <v>100</v>
      </c>
      <c r="H220" s="111"/>
      <c r="I220" s="111"/>
      <c r="J220" s="111">
        <v>3.4</v>
      </c>
      <c r="K220" s="111"/>
      <c r="L220" s="111">
        <v>212.7</v>
      </c>
      <c r="M220" s="111"/>
      <c r="N220" s="111"/>
      <c r="O220" s="111">
        <v>216.1</v>
      </c>
      <c r="P220" s="111"/>
      <c r="Q220" s="111"/>
      <c r="R220" s="111"/>
      <c r="S220" s="111"/>
      <c r="T220" s="111"/>
      <c r="U220" s="111"/>
      <c r="V220" s="111"/>
      <c r="W220" s="111"/>
      <c r="X220" s="111"/>
      <c r="Y220" s="111"/>
      <c r="Z220" s="111"/>
      <c r="AA220" s="111"/>
      <c r="AB220" s="111"/>
      <c r="AC220" s="111"/>
      <c r="AD220" s="111"/>
      <c r="AE220" s="111"/>
      <c r="AF220" s="29"/>
      <c r="AG220" s="102">
        <f t="shared" si="37"/>
        <v>0</v>
      </c>
    </row>
    <row r="221" spans="1:33" x14ac:dyDescent="0.3">
      <c r="A221" s="626" t="s">
        <v>170</v>
      </c>
      <c r="B221" s="627"/>
      <c r="C221" s="117"/>
      <c r="D221" s="118"/>
      <c r="E221" s="117"/>
      <c r="F221" s="116"/>
      <c r="G221" s="116"/>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c r="AD221" s="111"/>
      <c r="AE221" s="111"/>
      <c r="AF221" s="29"/>
      <c r="AG221" s="102">
        <f t="shared" si="37"/>
        <v>0</v>
      </c>
    </row>
    <row r="222" spans="1:33" ht="42.75" customHeight="1" x14ac:dyDescent="0.3">
      <c r="A222" s="787" t="s">
        <v>296</v>
      </c>
      <c r="B222" s="627"/>
      <c r="C222" s="110"/>
      <c r="D222" s="110"/>
      <c r="E222" s="110"/>
      <c r="F222" s="110"/>
      <c r="G222" s="110"/>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c r="AD222" s="111"/>
      <c r="AE222" s="111"/>
      <c r="AF222" s="29"/>
      <c r="AG222" s="102">
        <f t="shared" si="37"/>
        <v>0</v>
      </c>
    </row>
    <row r="223" spans="1:33" x14ac:dyDescent="0.3">
      <c r="A223" s="623" t="s">
        <v>31</v>
      </c>
      <c r="B223" s="624">
        <f>B225+B226+B224+B227</f>
        <v>150</v>
      </c>
      <c r="C223" s="113">
        <f>C225+C226+C224+C227</f>
        <v>0</v>
      </c>
      <c r="D223" s="114">
        <f>D225+D226+D224+D227</f>
        <v>0</v>
      </c>
      <c r="E223" s="113">
        <f>E225+E226+E224+E227</f>
        <v>0</v>
      </c>
      <c r="F223" s="113">
        <f>IFERROR(E223/B223*100,0)</f>
        <v>0</v>
      </c>
      <c r="G223" s="113">
        <f>IFERROR(E223/C223*100,0)</f>
        <v>0</v>
      </c>
      <c r="H223" s="113">
        <f t="shared" ref="H223:AE223" si="65">H225+H226+H224+H227</f>
        <v>0</v>
      </c>
      <c r="I223" s="113">
        <f t="shared" si="65"/>
        <v>0</v>
      </c>
      <c r="J223" s="113">
        <f t="shared" si="65"/>
        <v>0</v>
      </c>
      <c r="K223" s="113">
        <f t="shared" si="65"/>
        <v>0</v>
      </c>
      <c r="L223" s="113">
        <f t="shared" si="65"/>
        <v>0</v>
      </c>
      <c r="M223" s="113">
        <f t="shared" si="65"/>
        <v>0</v>
      </c>
      <c r="N223" s="113">
        <f t="shared" si="65"/>
        <v>0</v>
      </c>
      <c r="O223" s="113">
        <f t="shared" si="65"/>
        <v>0</v>
      </c>
      <c r="P223" s="113">
        <f t="shared" si="65"/>
        <v>0</v>
      </c>
      <c r="Q223" s="113">
        <f t="shared" si="65"/>
        <v>0</v>
      </c>
      <c r="R223" s="113">
        <f t="shared" si="65"/>
        <v>0</v>
      </c>
      <c r="S223" s="113">
        <f t="shared" si="65"/>
        <v>0</v>
      </c>
      <c r="T223" s="113">
        <f t="shared" si="65"/>
        <v>0</v>
      </c>
      <c r="U223" s="113">
        <f t="shared" si="65"/>
        <v>0</v>
      </c>
      <c r="V223" s="113">
        <f t="shared" si="65"/>
        <v>0</v>
      </c>
      <c r="W223" s="113">
        <f t="shared" si="65"/>
        <v>0</v>
      </c>
      <c r="X223" s="113">
        <f t="shared" si="65"/>
        <v>0</v>
      </c>
      <c r="Y223" s="113">
        <f t="shared" si="65"/>
        <v>0</v>
      </c>
      <c r="Z223" s="113">
        <f t="shared" si="65"/>
        <v>0</v>
      </c>
      <c r="AA223" s="113">
        <f t="shared" si="65"/>
        <v>0</v>
      </c>
      <c r="AB223" s="113">
        <f t="shared" si="65"/>
        <v>0</v>
      </c>
      <c r="AC223" s="113">
        <f t="shared" si="65"/>
        <v>0</v>
      </c>
      <c r="AD223" s="113">
        <f t="shared" si="65"/>
        <v>150</v>
      </c>
      <c r="AE223" s="113">
        <f t="shared" si="65"/>
        <v>0</v>
      </c>
      <c r="AF223" s="29"/>
      <c r="AG223" s="102">
        <f t="shared" si="37"/>
        <v>0</v>
      </c>
    </row>
    <row r="224" spans="1:33" x14ac:dyDescent="0.3">
      <c r="A224" s="626" t="s">
        <v>169</v>
      </c>
      <c r="B224" s="627">
        <f>J224+L224+N224+P224+R224+T224+V224+X224+Z224+AB224+AD224+H224</f>
        <v>0</v>
      </c>
      <c r="C224" s="117">
        <f>SUM(H224)</f>
        <v>0</v>
      </c>
      <c r="D224" s="118">
        <f>E224</f>
        <v>0</v>
      </c>
      <c r="E224" s="117">
        <f>SUM(I224,K224,M224,O224,Q224,S224,U224,W224,Y224,AA224,AC224,AE224)</f>
        <v>0</v>
      </c>
      <c r="F224" s="116">
        <f>IFERROR(E224/B224*100,0)</f>
        <v>0</v>
      </c>
      <c r="G224" s="116">
        <f>IFERROR(E224/C224*100,0)</f>
        <v>0</v>
      </c>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c r="AD224" s="111"/>
      <c r="AE224" s="111"/>
      <c r="AF224" s="29"/>
      <c r="AG224" s="102">
        <f t="shared" si="37"/>
        <v>0</v>
      </c>
    </row>
    <row r="225" spans="1:33" x14ac:dyDescent="0.3">
      <c r="A225" s="115" t="s">
        <v>32</v>
      </c>
      <c r="B225" s="116">
        <f>J225+L225+N225+P225+R225+T225+V225+X225+Z225+AB225+AD225+H225</f>
        <v>0</v>
      </c>
      <c r="C225" s="117">
        <f>SUM(H225)</f>
        <v>0</v>
      </c>
      <c r="D225" s="118">
        <f>E225</f>
        <v>0</v>
      </c>
      <c r="E225" s="117">
        <f>SUM(I225,K225,M225,O225,Q225,S225,U225,W225,Y225,AA225,AC225,AE225)</f>
        <v>0</v>
      </c>
      <c r="F225" s="116">
        <f>IFERROR(E225/B225*100,0)</f>
        <v>0</v>
      </c>
      <c r="G225" s="116">
        <f>IFERROR(E225/C225*100,0)</f>
        <v>0</v>
      </c>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c r="AD225" s="111"/>
      <c r="AE225" s="111"/>
      <c r="AF225" s="29"/>
      <c r="AG225" s="102">
        <f t="shared" si="37"/>
        <v>0</v>
      </c>
    </row>
    <row r="226" spans="1:33" x14ac:dyDescent="0.3">
      <c r="A226" s="626" t="s">
        <v>33</v>
      </c>
      <c r="B226" s="627">
        <f>J226+L226+N226+P226+R226+T226+V226+X226+Z226+AB226+AD226+H226</f>
        <v>150</v>
      </c>
      <c r="C226" s="786">
        <f>SUM(H226)</f>
        <v>0</v>
      </c>
      <c r="D226" s="789">
        <f>E226</f>
        <v>0</v>
      </c>
      <c r="E226" s="786">
        <f>SUM(I226,K226,M226,O226,Q226,S226,U226,W226,Y226,AA226,AC226,AE226)</f>
        <v>0</v>
      </c>
      <c r="F226" s="627">
        <f>IFERROR(E226/B226*100,0)</f>
        <v>0</v>
      </c>
      <c r="G226" s="627">
        <f>IFERROR(E226/C226*100,0)</f>
        <v>0</v>
      </c>
      <c r="H226" s="520"/>
      <c r="I226" s="520"/>
      <c r="J226" s="111"/>
      <c r="K226" s="111"/>
      <c r="L226" s="111"/>
      <c r="M226" s="111"/>
      <c r="N226" s="111"/>
      <c r="O226" s="111"/>
      <c r="P226" s="111"/>
      <c r="Q226" s="111"/>
      <c r="R226" s="111"/>
      <c r="S226" s="111"/>
      <c r="T226" s="111"/>
      <c r="U226" s="111"/>
      <c r="V226" s="111"/>
      <c r="W226" s="111"/>
      <c r="X226" s="111"/>
      <c r="Y226" s="111"/>
      <c r="Z226" s="111"/>
      <c r="AA226" s="111"/>
      <c r="AB226" s="111"/>
      <c r="AC226" s="111"/>
      <c r="AD226" s="111">
        <v>150</v>
      </c>
      <c r="AE226" s="111"/>
      <c r="AF226" s="29"/>
      <c r="AG226" s="102">
        <f t="shared" si="37"/>
        <v>0</v>
      </c>
    </row>
    <row r="227" spans="1:33" x14ac:dyDescent="0.3">
      <c r="A227" s="626" t="s">
        <v>170</v>
      </c>
      <c r="B227" s="627"/>
      <c r="C227" s="786"/>
      <c r="D227" s="789"/>
      <c r="E227" s="786"/>
      <c r="F227" s="627"/>
      <c r="G227" s="627"/>
      <c r="H227" s="520"/>
      <c r="I227" s="520"/>
      <c r="J227" s="111"/>
      <c r="K227" s="111"/>
      <c r="L227" s="111"/>
      <c r="M227" s="111"/>
      <c r="N227" s="111"/>
      <c r="O227" s="111"/>
      <c r="P227" s="111"/>
      <c r="Q227" s="111"/>
      <c r="R227" s="111"/>
      <c r="S227" s="111"/>
      <c r="T227" s="111"/>
      <c r="U227" s="111"/>
      <c r="V227" s="111"/>
      <c r="W227" s="111"/>
      <c r="X227" s="111"/>
      <c r="Y227" s="111"/>
      <c r="Z227" s="111"/>
      <c r="AA227" s="111"/>
      <c r="AB227" s="111"/>
      <c r="AC227" s="111"/>
      <c r="AD227" s="111"/>
      <c r="AE227" s="111"/>
      <c r="AF227" s="29"/>
      <c r="AG227" s="102">
        <f t="shared" si="37"/>
        <v>0</v>
      </c>
    </row>
    <row r="228" spans="1:33" ht="114.75" customHeight="1" x14ac:dyDescent="0.3">
      <c r="A228" s="787" t="s">
        <v>630</v>
      </c>
      <c r="B228" s="627"/>
      <c r="C228" s="635"/>
      <c r="D228" s="635"/>
      <c r="E228" s="635"/>
      <c r="F228" s="635"/>
      <c r="G228" s="635"/>
      <c r="H228" s="520"/>
      <c r="I228" s="520"/>
      <c r="J228" s="111"/>
      <c r="K228" s="111"/>
      <c r="L228" s="111"/>
      <c r="M228" s="111"/>
      <c r="N228" s="111"/>
      <c r="O228" s="111"/>
      <c r="P228" s="111"/>
      <c r="Q228" s="111"/>
      <c r="R228" s="111"/>
      <c r="S228" s="111"/>
      <c r="T228" s="111"/>
      <c r="U228" s="111"/>
      <c r="V228" s="111"/>
      <c r="W228" s="111"/>
      <c r="X228" s="111"/>
      <c r="Y228" s="111"/>
      <c r="Z228" s="111"/>
      <c r="AA228" s="111"/>
      <c r="AB228" s="111"/>
      <c r="AC228" s="111"/>
      <c r="AD228" s="111"/>
      <c r="AE228" s="111"/>
      <c r="AF228" s="29"/>
      <c r="AG228" s="102">
        <f t="shared" si="37"/>
        <v>0</v>
      </c>
    </row>
    <row r="229" spans="1:33" x14ac:dyDescent="0.3">
      <c r="A229" s="623" t="s">
        <v>31</v>
      </c>
      <c r="B229" s="624">
        <f>B231+B232+B230+B233</f>
        <v>2992.1</v>
      </c>
      <c r="C229" s="624">
        <f>C231+C232+C230+C233</f>
        <v>2992.1</v>
      </c>
      <c r="D229" s="788">
        <f>D231+D232+D230+D233</f>
        <v>2992.1</v>
      </c>
      <c r="E229" s="624">
        <f>E231+E232+E230+E233</f>
        <v>2992.1</v>
      </c>
      <c r="F229" s="624">
        <f>IFERROR(E229/B229*100,0)</f>
        <v>100</v>
      </c>
      <c r="G229" s="624">
        <f>IFERROR(E229/C229*100,0)</f>
        <v>100</v>
      </c>
      <c r="H229" s="624">
        <f t="shared" ref="H229:AE229" si="66">H231+H232+H230+H233</f>
        <v>2992.1</v>
      </c>
      <c r="I229" s="624">
        <f t="shared" si="66"/>
        <v>2992.1</v>
      </c>
      <c r="J229" s="113">
        <f t="shared" si="66"/>
        <v>0</v>
      </c>
      <c r="K229" s="113">
        <f t="shared" si="66"/>
        <v>0</v>
      </c>
      <c r="L229" s="113">
        <f t="shared" si="66"/>
        <v>0</v>
      </c>
      <c r="M229" s="113">
        <f t="shared" si="66"/>
        <v>0</v>
      </c>
      <c r="N229" s="113">
        <f t="shared" si="66"/>
        <v>0</v>
      </c>
      <c r="O229" s="113">
        <f t="shared" si="66"/>
        <v>0</v>
      </c>
      <c r="P229" s="113">
        <f t="shared" si="66"/>
        <v>0</v>
      </c>
      <c r="Q229" s="113">
        <f t="shared" si="66"/>
        <v>0</v>
      </c>
      <c r="R229" s="113">
        <f t="shared" si="66"/>
        <v>0</v>
      </c>
      <c r="S229" s="113">
        <f t="shared" si="66"/>
        <v>0</v>
      </c>
      <c r="T229" s="113">
        <f t="shared" si="66"/>
        <v>0</v>
      </c>
      <c r="U229" s="113">
        <f t="shared" si="66"/>
        <v>0</v>
      </c>
      <c r="V229" s="113">
        <f t="shared" si="66"/>
        <v>0</v>
      </c>
      <c r="W229" s="113">
        <f t="shared" si="66"/>
        <v>0</v>
      </c>
      <c r="X229" s="113">
        <f t="shared" si="66"/>
        <v>0</v>
      </c>
      <c r="Y229" s="113">
        <f t="shared" si="66"/>
        <v>0</v>
      </c>
      <c r="Z229" s="113">
        <f t="shared" si="66"/>
        <v>0</v>
      </c>
      <c r="AA229" s="113">
        <f t="shared" si="66"/>
        <v>0</v>
      </c>
      <c r="AB229" s="113">
        <f t="shared" si="66"/>
        <v>0</v>
      </c>
      <c r="AC229" s="113">
        <f t="shared" si="66"/>
        <v>0</v>
      </c>
      <c r="AD229" s="113">
        <f t="shared" si="66"/>
        <v>0</v>
      </c>
      <c r="AE229" s="113">
        <f t="shared" si="66"/>
        <v>0</v>
      </c>
      <c r="AF229" s="29"/>
      <c r="AG229" s="102">
        <f t="shared" si="37"/>
        <v>0</v>
      </c>
    </row>
    <row r="230" spans="1:33" x14ac:dyDescent="0.3">
      <c r="A230" s="626" t="s">
        <v>169</v>
      </c>
      <c r="B230" s="627">
        <f>J230+L230+N230+P230+R230+T230+V230+X230+Z230+AB230+AD230+H230</f>
        <v>0</v>
      </c>
      <c r="C230" s="786">
        <f>SUM(H230)</f>
        <v>0</v>
      </c>
      <c r="D230" s="789">
        <f>E230</f>
        <v>0</v>
      </c>
      <c r="E230" s="786">
        <f>SUM(I230,K230,M230,O230,Q230,S230,U230,W230,Y230,AA230,AC230,AE230)</f>
        <v>0</v>
      </c>
      <c r="F230" s="627">
        <f>IFERROR(E230/B230*100,0)</f>
        <v>0</v>
      </c>
      <c r="G230" s="627">
        <f>IFERROR(E230/C230*100,0)</f>
        <v>0</v>
      </c>
      <c r="H230" s="520"/>
      <c r="I230" s="520"/>
      <c r="J230" s="111"/>
      <c r="K230" s="111"/>
      <c r="L230" s="111"/>
      <c r="M230" s="111"/>
      <c r="N230" s="111"/>
      <c r="O230" s="111"/>
      <c r="P230" s="111"/>
      <c r="Q230" s="111"/>
      <c r="R230" s="111"/>
      <c r="S230" s="111"/>
      <c r="T230" s="111"/>
      <c r="U230" s="111"/>
      <c r="V230" s="111"/>
      <c r="W230" s="111"/>
      <c r="X230" s="111"/>
      <c r="Y230" s="111"/>
      <c r="Z230" s="111"/>
      <c r="AA230" s="111"/>
      <c r="AB230" s="111"/>
      <c r="AC230" s="111"/>
      <c r="AD230" s="111"/>
      <c r="AE230" s="111"/>
      <c r="AF230" s="29"/>
      <c r="AG230" s="102">
        <f t="shared" si="37"/>
        <v>0</v>
      </c>
    </row>
    <row r="231" spans="1:33" x14ac:dyDescent="0.3">
      <c r="A231" s="626" t="s">
        <v>32</v>
      </c>
      <c r="B231" s="627">
        <f>J231+L231+N231+P231+R231+T231+V231+X231+Z231+AB231+AD231+H231</f>
        <v>0</v>
      </c>
      <c r="C231" s="786">
        <f>SUM(H231)</f>
        <v>0</v>
      </c>
      <c r="D231" s="789">
        <f>E231</f>
        <v>0</v>
      </c>
      <c r="E231" s="786">
        <f>SUM(I231,K231,M231,O231,Q231,S231,U231,W231,Y231,AA231,AC231,AE231)</f>
        <v>0</v>
      </c>
      <c r="F231" s="627">
        <f>IFERROR(E231/B231*100,0)</f>
        <v>0</v>
      </c>
      <c r="G231" s="627">
        <f>IFERROR(E231/C231*100,0)</f>
        <v>0</v>
      </c>
      <c r="H231" s="520"/>
      <c r="I231" s="520"/>
      <c r="J231" s="111"/>
      <c r="K231" s="111"/>
      <c r="L231" s="111"/>
      <c r="M231" s="111"/>
      <c r="N231" s="111"/>
      <c r="O231" s="111"/>
      <c r="P231" s="111"/>
      <c r="Q231" s="111"/>
      <c r="R231" s="111"/>
      <c r="S231" s="111"/>
      <c r="T231" s="111"/>
      <c r="U231" s="111"/>
      <c r="V231" s="111"/>
      <c r="W231" s="111"/>
      <c r="X231" s="111"/>
      <c r="Y231" s="111"/>
      <c r="Z231" s="111"/>
      <c r="AA231" s="111"/>
      <c r="AB231" s="111"/>
      <c r="AC231" s="111"/>
      <c r="AD231" s="111"/>
      <c r="AE231" s="111"/>
      <c r="AF231" s="29"/>
      <c r="AG231" s="102">
        <f t="shared" si="37"/>
        <v>0</v>
      </c>
    </row>
    <row r="232" spans="1:33" x14ac:dyDescent="0.3">
      <c r="A232" s="626" t="s">
        <v>33</v>
      </c>
      <c r="B232" s="627">
        <f>J232+L232+N232+P232+R232+T232+V232+X232+Z232+AB232+AD232+H232</f>
        <v>2992.1</v>
      </c>
      <c r="C232" s="786">
        <f>SUM(H232)</f>
        <v>2992.1</v>
      </c>
      <c r="D232" s="789">
        <f>E232</f>
        <v>2992.1</v>
      </c>
      <c r="E232" s="786">
        <f>SUM(I232,K232,M232,O232,Q232,S232,U232,W232,Y232,AA232,AC232,AE232)</f>
        <v>2992.1</v>
      </c>
      <c r="F232" s="627">
        <f>IFERROR(E232/B232*100,0)</f>
        <v>100</v>
      </c>
      <c r="G232" s="627">
        <f>IFERROR(E232/C232*100,0)</f>
        <v>100</v>
      </c>
      <c r="H232" s="520">
        <v>2992.1</v>
      </c>
      <c r="I232" s="520">
        <v>2992.1</v>
      </c>
      <c r="J232" s="111"/>
      <c r="K232" s="111"/>
      <c r="L232" s="111"/>
      <c r="M232" s="111"/>
      <c r="N232" s="111"/>
      <c r="O232" s="111"/>
      <c r="P232" s="111"/>
      <c r="Q232" s="111"/>
      <c r="R232" s="111"/>
      <c r="S232" s="111"/>
      <c r="T232" s="111"/>
      <c r="U232" s="111"/>
      <c r="V232" s="111"/>
      <c r="W232" s="111"/>
      <c r="X232" s="111"/>
      <c r="Y232" s="111"/>
      <c r="Z232" s="111"/>
      <c r="AA232" s="111"/>
      <c r="AB232" s="111"/>
      <c r="AC232" s="111"/>
      <c r="AD232" s="111"/>
      <c r="AE232" s="111"/>
      <c r="AF232" s="29"/>
      <c r="AG232" s="102">
        <f t="shared" si="37"/>
        <v>0</v>
      </c>
    </row>
    <row r="233" spans="1:33" x14ac:dyDescent="0.3">
      <c r="A233" s="115" t="s">
        <v>170</v>
      </c>
      <c r="B233" s="116"/>
      <c r="C233" s="117"/>
      <c r="D233" s="118"/>
      <c r="E233" s="117"/>
      <c r="F233" s="116"/>
      <c r="G233" s="116"/>
      <c r="H233" s="111"/>
      <c r="I233" s="111"/>
      <c r="J233" s="111"/>
      <c r="K233" s="111"/>
      <c r="L233" s="111"/>
      <c r="M233" s="111"/>
      <c r="N233" s="111"/>
      <c r="O233" s="111"/>
      <c r="P233" s="111"/>
      <c r="Q233" s="111"/>
      <c r="R233" s="111"/>
      <c r="S233" s="111"/>
      <c r="T233" s="111"/>
      <c r="U233" s="111"/>
      <c r="V233" s="111"/>
      <c r="W233" s="111"/>
      <c r="X233" s="111"/>
      <c r="Y233" s="111"/>
      <c r="Z233" s="111"/>
      <c r="AA233" s="111"/>
      <c r="AB233" s="111"/>
      <c r="AC233" s="111"/>
      <c r="AD233" s="111"/>
      <c r="AE233" s="111"/>
      <c r="AF233" s="29"/>
      <c r="AG233" s="102">
        <f t="shared" si="37"/>
        <v>0</v>
      </c>
    </row>
    <row r="234" spans="1:33" ht="56.25" x14ac:dyDescent="0.3">
      <c r="A234" s="138" t="s">
        <v>297</v>
      </c>
      <c r="B234" s="139"/>
      <c r="C234" s="140"/>
      <c r="D234" s="140"/>
      <c r="E234" s="140"/>
      <c r="F234" s="140"/>
      <c r="G234" s="140"/>
      <c r="H234" s="139"/>
      <c r="I234" s="139"/>
      <c r="J234" s="139"/>
      <c r="K234" s="139"/>
      <c r="L234" s="139"/>
      <c r="M234" s="139"/>
      <c r="N234" s="139"/>
      <c r="O234" s="139"/>
      <c r="P234" s="139"/>
      <c r="Q234" s="139"/>
      <c r="R234" s="139"/>
      <c r="S234" s="139"/>
      <c r="T234" s="139"/>
      <c r="U234" s="139"/>
      <c r="V234" s="139"/>
      <c r="W234" s="139"/>
      <c r="X234" s="139"/>
      <c r="Y234" s="139"/>
      <c r="Z234" s="139"/>
      <c r="AA234" s="139"/>
      <c r="AB234" s="139"/>
      <c r="AC234" s="139"/>
      <c r="AD234" s="139"/>
      <c r="AE234" s="139"/>
      <c r="AF234" s="101"/>
      <c r="AG234" s="102">
        <f t="shared" si="37"/>
        <v>0</v>
      </c>
    </row>
    <row r="235" spans="1:33" x14ac:dyDescent="0.3">
      <c r="A235" s="103" t="s">
        <v>31</v>
      </c>
      <c r="B235" s="104">
        <f>B236+B237+B238+B239</f>
        <v>64613.032820000008</v>
      </c>
      <c r="C235" s="104">
        <f>C236+C237+C238+C239</f>
        <v>36836.203659999999</v>
      </c>
      <c r="D235" s="104">
        <f>D236+D237+D238+D239</f>
        <v>36249.96</v>
      </c>
      <c r="E235" s="104">
        <f>E236+E237+E238+E239</f>
        <v>36249.96</v>
      </c>
      <c r="F235" s="107">
        <f>IFERROR(E235/B235*100,0)</f>
        <v>56.103170549176518</v>
      </c>
      <c r="G235" s="107">
        <f>IFERROR(E235/C235*100,0)</f>
        <v>98.408512273927414</v>
      </c>
      <c r="H235" s="104">
        <f>H236+H237+H238+H239</f>
        <v>2008.0666200000001</v>
      </c>
      <c r="I235" s="104">
        <f t="shared" ref="I235:AE235" si="67">I236+I237+I238+I239</f>
        <v>1472.63</v>
      </c>
      <c r="J235" s="104">
        <f t="shared" si="67"/>
        <v>4844.0766199999998</v>
      </c>
      <c r="K235" s="104">
        <f t="shared" si="67"/>
        <v>4844.08</v>
      </c>
      <c r="L235" s="104">
        <f t="shared" si="67"/>
        <v>8715.1966200000006</v>
      </c>
      <c r="M235" s="104">
        <f t="shared" si="67"/>
        <v>8717.51</v>
      </c>
      <c r="N235" s="104">
        <f t="shared" si="67"/>
        <v>11384.37</v>
      </c>
      <c r="O235" s="104">
        <f t="shared" si="67"/>
        <v>11046.580000000002</v>
      </c>
      <c r="P235" s="104">
        <f t="shared" si="67"/>
        <v>4503.6915099999997</v>
      </c>
      <c r="Q235" s="104">
        <f t="shared" si="67"/>
        <v>4503.6899999999996</v>
      </c>
      <c r="R235" s="104">
        <f t="shared" si="67"/>
        <v>5380.8022900000005</v>
      </c>
      <c r="S235" s="104">
        <f t="shared" si="67"/>
        <v>5665.47</v>
      </c>
      <c r="T235" s="104">
        <f t="shared" si="67"/>
        <v>5320.5766200000007</v>
      </c>
      <c r="U235" s="104">
        <f t="shared" si="67"/>
        <v>0</v>
      </c>
      <c r="V235" s="104">
        <f t="shared" si="67"/>
        <v>3431.7408299999997</v>
      </c>
      <c r="W235" s="104">
        <f t="shared" si="67"/>
        <v>0</v>
      </c>
      <c r="X235" s="104">
        <f t="shared" si="67"/>
        <v>3462.58662</v>
      </c>
      <c r="Y235" s="104">
        <f t="shared" si="67"/>
        <v>0</v>
      </c>
      <c r="Z235" s="104">
        <f t="shared" si="67"/>
        <v>9774.1488499999996</v>
      </c>
      <c r="AA235" s="104">
        <f t="shared" si="67"/>
        <v>0</v>
      </c>
      <c r="AB235" s="104">
        <f t="shared" si="67"/>
        <v>4483.1396199999999</v>
      </c>
      <c r="AC235" s="104">
        <f t="shared" si="67"/>
        <v>0</v>
      </c>
      <c r="AD235" s="104">
        <f t="shared" si="67"/>
        <v>1304.63662</v>
      </c>
      <c r="AE235" s="104">
        <f t="shared" si="67"/>
        <v>0</v>
      </c>
      <c r="AF235" s="101"/>
      <c r="AG235" s="102">
        <f t="shared" si="37"/>
        <v>1.0231815394945443E-11</v>
      </c>
    </row>
    <row r="236" spans="1:33" x14ac:dyDescent="0.3">
      <c r="A236" s="106" t="s">
        <v>169</v>
      </c>
      <c r="B236" s="107">
        <f>B242+B248</f>
        <v>0</v>
      </c>
      <c r="C236" s="107">
        <f>C242+C248</f>
        <v>0</v>
      </c>
      <c r="D236" s="107">
        <f>D242+D248</f>
        <v>0</v>
      </c>
      <c r="E236" s="107">
        <f>E242+E248</f>
        <v>0</v>
      </c>
      <c r="F236" s="107"/>
      <c r="G236" s="107"/>
      <c r="H236" s="107">
        <f t="shared" ref="H236:AE239" si="68">H242+H248</f>
        <v>0</v>
      </c>
      <c r="I236" s="107">
        <f t="shared" si="68"/>
        <v>0</v>
      </c>
      <c r="J236" s="107">
        <f t="shared" si="68"/>
        <v>0</v>
      </c>
      <c r="K236" s="107">
        <f t="shared" si="68"/>
        <v>0</v>
      </c>
      <c r="L236" s="107">
        <f t="shared" si="68"/>
        <v>0</v>
      </c>
      <c r="M236" s="107">
        <f t="shared" si="68"/>
        <v>0</v>
      </c>
      <c r="N236" s="107">
        <f t="shared" si="68"/>
        <v>0</v>
      </c>
      <c r="O236" s="107">
        <f t="shared" si="68"/>
        <v>0</v>
      </c>
      <c r="P236" s="107">
        <f t="shared" si="68"/>
        <v>0</v>
      </c>
      <c r="Q236" s="107">
        <f t="shared" si="68"/>
        <v>0</v>
      </c>
      <c r="R236" s="107">
        <f t="shared" si="68"/>
        <v>0</v>
      </c>
      <c r="S236" s="107">
        <f t="shared" si="68"/>
        <v>0</v>
      </c>
      <c r="T236" s="107">
        <f t="shared" si="68"/>
        <v>0</v>
      </c>
      <c r="U236" s="107">
        <f t="shared" si="68"/>
        <v>0</v>
      </c>
      <c r="V236" s="107">
        <f t="shared" si="68"/>
        <v>0</v>
      </c>
      <c r="W236" s="107">
        <f t="shared" si="68"/>
        <v>0</v>
      </c>
      <c r="X236" s="107">
        <f t="shared" si="68"/>
        <v>0</v>
      </c>
      <c r="Y236" s="107">
        <f t="shared" si="68"/>
        <v>0</v>
      </c>
      <c r="Z236" s="107">
        <f t="shared" si="68"/>
        <v>0</v>
      </c>
      <c r="AA236" s="107">
        <f t="shared" si="68"/>
        <v>0</v>
      </c>
      <c r="AB236" s="107">
        <f t="shared" si="68"/>
        <v>0</v>
      </c>
      <c r="AC236" s="107">
        <f t="shared" si="68"/>
        <v>0</v>
      </c>
      <c r="AD236" s="107">
        <f t="shared" si="68"/>
        <v>0</v>
      </c>
      <c r="AE236" s="107">
        <f t="shared" si="68"/>
        <v>0</v>
      </c>
      <c r="AF236" s="101"/>
      <c r="AG236" s="102">
        <f t="shared" si="37"/>
        <v>0</v>
      </c>
    </row>
    <row r="237" spans="1:33" x14ac:dyDescent="0.3">
      <c r="A237" s="106" t="s">
        <v>32</v>
      </c>
      <c r="B237" s="107">
        <f t="shared" ref="B237:E239" si="69">B243+B249</f>
        <v>0</v>
      </c>
      <c r="C237" s="107">
        <f t="shared" si="69"/>
        <v>0</v>
      </c>
      <c r="D237" s="107">
        <f t="shared" si="69"/>
        <v>0</v>
      </c>
      <c r="E237" s="107">
        <f t="shared" si="69"/>
        <v>0</v>
      </c>
      <c r="F237" s="107"/>
      <c r="G237" s="107"/>
      <c r="H237" s="107">
        <f t="shared" si="68"/>
        <v>0</v>
      </c>
      <c r="I237" s="107">
        <f t="shared" si="68"/>
        <v>0</v>
      </c>
      <c r="J237" s="107">
        <f t="shared" si="68"/>
        <v>0</v>
      </c>
      <c r="K237" s="107">
        <f t="shared" si="68"/>
        <v>0</v>
      </c>
      <c r="L237" s="107">
        <f t="shared" si="68"/>
        <v>0</v>
      </c>
      <c r="M237" s="107">
        <f t="shared" si="68"/>
        <v>0</v>
      </c>
      <c r="N237" s="107">
        <f t="shared" si="68"/>
        <v>0</v>
      </c>
      <c r="O237" s="107">
        <f t="shared" si="68"/>
        <v>0</v>
      </c>
      <c r="P237" s="107">
        <f t="shared" si="68"/>
        <v>0</v>
      </c>
      <c r="Q237" s="107">
        <f t="shared" si="68"/>
        <v>0</v>
      </c>
      <c r="R237" s="107">
        <f t="shared" si="68"/>
        <v>0</v>
      </c>
      <c r="S237" s="107">
        <f t="shared" si="68"/>
        <v>0</v>
      </c>
      <c r="T237" s="107">
        <f t="shared" si="68"/>
        <v>0</v>
      </c>
      <c r="U237" s="107">
        <f t="shared" si="68"/>
        <v>0</v>
      </c>
      <c r="V237" s="107">
        <f t="shared" si="68"/>
        <v>0</v>
      </c>
      <c r="W237" s="107">
        <f t="shared" si="68"/>
        <v>0</v>
      </c>
      <c r="X237" s="107">
        <f t="shared" si="68"/>
        <v>0</v>
      </c>
      <c r="Y237" s="107">
        <f t="shared" si="68"/>
        <v>0</v>
      </c>
      <c r="Z237" s="107">
        <f t="shared" si="68"/>
        <v>0</v>
      </c>
      <c r="AA237" s="107">
        <f t="shared" si="68"/>
        <v>0</v>
      </c>
      <c r="AB237" s="107">
        <f t="shared" si="68"/>
        <v>0</v>
      </c>
      <c r="AC237" s="107">
        <f t="shared" si="68"/>
        <v>0</v>
      </c>
      <c r="AD237" s="107">
        <f t="shared" si="68"/>
        <v>0</v>
      </c>
      <c r="AE237" s="107">
        <f t="shared" si="68"/>
        <v>0</v>
      </c>
      <c r="AF237" s="101"/>
      <c r="AG237" s="102">
        <f t="shared" si="37"/>
        <v>0</v>
      </c>
    </row>
    <row r="238" spans="1:33" x14ac:dyDescent="0.3">
      <c r="A238" s="106" t="s">
        <v>33</v>
      </c>
      <c r="B238" s="107">
        <f t="shared" si="69"/>
        <v>64613.032820000008</v>
      </c>
      <c r="C238" s="107">
        <f>C244+C250</f>
        <v>36836.203659999999</v>
      </c>
      <c r="D238" s="107">
        <f t="shared" si="69"/>
        <v>36249.96</v>
      </c>
      <c r="E238" s="107">
        <f t="shared" si="69"/>
        <v>36249.96</v>
      </c>
      <c r="F238" s="107">
        <f>IFERROR(E238/B238*100,0)</f>
        <v>56.103170549176518</v>
      </c>
      <c r="G238" s="107">
        <f>IFERROR(E238/C238*100,0)</f>
        <v>98.408512273927414</v>
      </c>
      <c r="H238" s="107">
        <f t="shared" si="68"/>
        <v>2008.0666200000001</v>
      </c>
      <c r="I238" s="107">
        <f t="shared" si="68"/>
        <v>1472.63</v>
      </c>
      <c r="J238" s="107">
        <f t="shared" si="68"/>
        <v>4844.0766199999998</v>
      </c>
      <c r="K238" s="107">
        <f t="shared" si="68"/>
        <v>4844.08</v>
      </c>
      <c r="L238" s="107">
        <f t="shared" si="68"/>
        <v>8715.1966200000006</v>
      </c>
      <c r="M238" s="107">
        <f t="shared" si="68"/>
        <v>8717.51</v>
      </c>
      <c r="N238" s="107">
        <f t="shared" si="68"/>
        <v>11384.37</v>
      </c>
      <c r="O238" s="107">
        <f t="shared" si="68"/>
        <v>11046.580000000002</v>
      </c>
      <c r="P238" s="107">
        <f t="shared" si="68"/>
        <v>4503.6915099999997</v>
      </c>
      <c r="Q238" s="107">
        <f t="shared" si="68"/>
        <v>4503.6899999999996</v>
      </c>
      <c r="R238" s="107">
        <f t="shared" si="68"/>
        <v>5380.8022900000005</v>
      </c>
      <c r="S238" s="107">
        <f t="shared" si="68"/>
        <v>5665.47</v>
      </c>
      <c r="T238" s="107">
        <f t="shared" si="68"/>
        <v>5320.5766200000007</v>
      </c>
      <c r="U238" s="107">
        <f t="shared" si="68"/>
        <v>0</v>
      </c>
      <c r="V238" s="107">
        <f t="shared" si="68"/>
        <v>3431.7408299999997</v>
      </c>
      <c r="W238" s="107">
        <f t="shared" si="68"/>
        <v>0</v>
      </c>
      <c r="X238" s="107">
        <f t="shared" si="68"/>
        <v>3462.58662</v>
      </c>
      <c r="Y238" s="107">
        <f t="shared" si="68"/>
        <v>0</v>
      </c>
      <c r="Z238" s="107">
        <f t="shared" si="68"/>
        <v>9774.1488499999996</v>
      </c>
      <c r="AA238" s="107">
        <f t="shared" si="68"/>
        <v>0</v>
      </c>
      <c r="AB238" s="107">
        <f t="shared" si="68"/>
        <v>4483.1396199999999</v>
      </c>
      <c r="AC238" s="107">
        <f t="shared" si="68"/>
        <v>0</v>
      </c>
      <c r="AD238" s="107">
        <f t="shared" si="68"/>
        <v>1304.63662</v>
      </c>
      <c r="AE238" s="107">
        <f t="shared" si="68"/>
        <v>0</v>
      </c>
      <c r="AF238" s="101"/>
      <c r="AG238" s="102">
        <f t="shared" si="37"/>
        <v>1.0231815394945443E-11</v>
      </c>
    </row>
    <row r="239" spans="1:33" x14ac:dyDescent="0.3">
      <c r="A239" s="106" t="s">
        <v>170</v>
      </c>
      <c r="B239" s="107">
        <f t="shared" si="69"/>
        <v>0</v>
      </c>
      <c r="C239" s="107">
        <f t="shared" si="69"/>
        <v>0</v>
      </c>
      <c r="D239" s="107">
        <f t="shared" si="69"/>
        <v>0</v>
      </c>
      <c r="E239" s="107">
        <f t="shared" si="69"/>
        <v>0</v>
      </c>
      <c r="F239" s="107"/>
      <c r="G239" s="107"/>
      <c r="H239" s="107">
        <f t="shared" si="68"/>
        <v>0</v>
      </c>
      <c r="I239" s="107">
        <f t="shared" si="68"/>
        <v>0</v>
      </c>
      <c r="J239" s="107">
        <f t="shared" si="68"/>
        <v>0</v>
      </c>
      <c r="K239" s="107">
        <f t="shared" si="68"/>
        <v>0</v>
      </c>
      <c r="L239" s="107">
        <f t="shared" si="68"/>
        <v>0</v>
      </c>
      <c r="M239" s="107">
        <f t="shared" si="68"/>
        <v>0</v>
      </c>
      <c r="N239" s="107">
        <f t="shared" si="68"/>
        <v>0</v>
      </c>
      <c r="O239" s="107">
        <f t="shared" si="68"/>
        <v>0</v>
      </c>
      <c r="P239" s="107">
        <f t="shared" si="68"/>
        <v>0</v>
      </c>
      <c r="Q239" s="107">
        <f t="shared" si="68"/>
        <v>0</v>
      </c>
      <c r="R239" s="107">
        <f t="shared" si="68"/>
        <v>0</v>
      </c>
      <c r="S239" s="107">
        <f t="shared" si="68"/>
        <v>0</v>
      </c>
      <c r="T239" s="107">
        <f t="shared" si="68"/>
        <v>0</v>
      </c>
      <c r="U239" s="107">
        <f t="shared" si="68"/>
        <v>0</v>
      </c>
      <c r="V239" s="107">
        <f t="shared" si="68"/>
        <v>0</v>
      </c>
      <c r="W239" s="107">
        <f t="shared" si="68"/>
        <v>0</v>
      </c>
      <c r="X239" s="107">
        <f t="shared" si="68"/>
        <v>0</v>
      </c>
      <c r="Y239" s="107">
        <f t="shared" si="68"/>
        <v>0</v>
      </c>
      <c r="Z239" s="107">
        <f t="shared" si="68"/>
        <v>0</v>
      </c>
      <c r="AA239" s="107">
        <f t="shared" si="68"/>
        <v>0</v>
      </c>
      <c r="AB239" s="107">
        <f t="shared" si="68"/>
        <v>0</v>
      </c>
      <c r="AC239" s="107">
        <f t="shared" si="68"/>
        <v>0</v>
      </c>
      <c r="AD239" s="107">
        <f t="shared" si="68"/>
        <v>0</v>
      </c>
      <c r="AE239" s="107">
        <f t="shared" si="68"/>
        <v>0</v>
      </c>
      <c r="AF239" s="101"/>
      <c r="AG239" s="102">
        <f t="shared" si="37"/>
        <v>0</v>
      </c>
    </row>
    <row r="240" spans="1:33" ht="61.5" customHeight="1" x14ac:dyDescent="0.3">
      <c r="A240" s="787" t="s">
        <v>539</v>
      </c>
      <c r="B240" s="109"/>
      <c r="C240" s="110"/>
      <c r="D240" s="110"/>
      <c r="E240" s="110"/>
      <c r="F240" s="110"/>
      <c r="G240" s="110"/>
      <c r="H240" s="111"/>
      <c r="I240" s="111"/>
      <c r="J240" s="111"/>
      <c r="K240" s="111"/>
      <c r="L240" s="111"/>
      <c r="M240" s="111"/>
      <c r="N240" s="111"/>
      <c r="O240" s="111"/>
      <c r="P240" s="111"/>
      <c r="Q240" s="111"/>
      <c r="R240" s="111"/>
      <c r="S240" s="111"/>
      <c r="T240" s="111"/>
      <c r="U240" s="111"/>
      <c r="V240" s="111"/>
      <c r="W240" s="111"/>
      <c r="X240" s="111"/>
      <c r="Y240" s="111"/>
      <c r="Z240" s="111"/>
      <c r="AA240" s="111"/>
      <c r="AB240" s="111"/>
      <c r="AC240" s="111"/>
      <c r="AD240" s="111"/>
      <c r="AE240" s="111"/>
      <c r="AF240" s="29"/>
      <c r="AG240" s="102">
        <f t="shared" si="37"/>
        <v>0</v>
      </c>
    </row>
    <row r="241" spans="1:33" x14ac:dyDescent="0.3">
      <c r="A241" s="112" t="s">
        <v>31</v>
      </c>
      <c r="B241" s="113">
        <f>B243+B244+B242+B245</f>
        <v>52103.100000000006</v>
      </c>
      <c r="C241" s="113">
        <f>C243+C244+C242+C245</f>
        <v>30760.639999999999</v>
      </c>
      <c r="D241" s="114">
        <f>D243+D244+D242+D245</f>
        <v>30760.639999999999</v>
      </c>
      <c r="E241" s="113">
        <f>E243+E244+E242+E245</f>
        <v>30760.639999999999</v>
      </c>
      <c r="F241" s="113">
        <f>IFERROR(E241/B241*100,0)</f>
        <v>59.038022689628825</v>
      </c>
      <c r="G241" s="113">
        <f>IFERROR(E241/C241*100,0)</f>
        <v>100</v>
      </c>
      <c r="H241" s="113">
        <f t="shared" ref="H241:AE241" si="70">H243+H244+H242+H245</f>
        <v>1347.73</v>
      </c>
      <c r="I241" s="113">
        <f t="shared" si="70"/>
        <v>1347.73</v>
      </c>
      <c r="J241" s="113">
        <f t="shared" si="70"/>
        <v>3827.1</v>
      </c>
      <c r="K241" s="113">
        <f t="shared" si="70"/>
        <v>3827.1</v>
      </c>
      <c r="L241" s="113">
        <f t="shared" si="70"/>
        <v>7698.22</v>
      </c>
      <c r="M241" s="113">
        <f t="shared" si="70"/>
        <v>7698.22</v>
      </c>
      <c r="N241" s="113">
        <f t="shared" si="70"/>
        <v>10213.620000000001</v>
      </c>
      <c r="O241" s="113">
        <f t="shared" si="70"/>
        <v>10213.620000000001</v>
      </c>
      <c r="P241" s="113">
        <f t="shared" si="70"/>
        <v>3322.2</v>
      </c>
      <c r="Q241" s="113">
        <f t="shared" si="70"/>
        <v>3322.2</v>
      </c>
      <c r="R241" s="113">
        <f t="shared" si="70"/>
        <v>4351.7700000000004</v>
      </c>
      <c r="S241" s="113">
        <f t="shared" si="70"/>
        <v>4351.7700000000004</v>
      </c>
      <c r="T241" s="113">
        <f t="shared" si="70"/>
        <v>4303.6000000000004</v>
      </c>
      <c r="U241" s="113">
        <f t="shared" si="70"/>
        <v>0</v>
      </c>
      <c r="V241" s="113">
        <f t="shared" si="70"/>
        <v>2401.1999999999998</v>
      </c>
      <c r="W241" s="113">
        <f t="shared" si="70"/>
        <v>0</v>
      </c>
      <c r="X241" s="113">
        <f t="shared" si="70"/>
        <v>2447.9</v>
      </c>
      <c r="Y241" s="113">
        <f t="shared" si="70"/>
        <v>0</v>
      </c>
      <c r="Z241" s="113">
        <f t="shared" si="70"/>
        <v>8746.7799999999988</v>
      </c>
      <c r="AA241" s="113">
        <f t="shared" si="70"/>
        <v>0</v>
      </c>
      <c r="AB241" s="113">
        <f t="shared" si="70"/>
        <v>3442.98</v>
      </c>
      <c r="AC241" s="113">
        <f t="shared" si="70"/>
        <v>0</v>
      </c>
      <c r="AD241" s="113">
        <f t="shared" si="70"/>
        <v>0</v>
      </c>
      <c r="AE241" s="113">
        <f t="shared" si="70"/>
        <v>0</v>
      </c>
      <c r="AF241" s="29"/>
      <c r="AG241" s="102">
        <f t="shared" si="37"/>
        <v>1.3642420526593924E-12</v>
      </c>
    </row>
    <row r="242" spans="1:33" x14ac:dyDescent="0.3">
      <c r="A242" s="115" t="s">
        <v>169</v>
      </c>
      <c r="B242" s="116">
        <f>J242+L242+N242+P242+R242+T242+V242+X242+Z242+AB242+AD242+H242</f>
        <v>0</v>
      </c>
      <c r="C242" s="117">
        <f>SUM(H242)</f>
        <v>0</v>
      </c>
      <c r="D242" s="118">
        <f>E242</f>
        <v>0</v>
      </c>
      <c r="E242" s="117">
        <f>SUM(I242,K242,M242,O242,Q242,S242,U242,W242,Y242,AA242,AC242,AE242)</f>
        <v>0</v>
      </c>
      <c r="F242" s="116">
        <f>IFERROR(E242/B242*100,0)</f>
        <v>0</v>
      </c>
      <c r="G242" s="116">
        <f>IFERROR(E242/C242*100,0)</f>
        <v>0</v>
      </c>
      <c r="H242" s="111"/>
      <c r="I242" s="111"/>
      <c r="J242" s="111"/>
      <c r="K242" s="111"/>
      <c r="L242" s="111"/>
      <c r="M242" s="111"/>
      <c r="N242" s="111"/>
      <c r="O242" s="111"/>
      <c r="P242" s="111"/>
      <c r="Q242" s="111"/>
      <c r="R242" s="111"/>
      <c r="S242" s="111"/>
      <c r="T242" s="111"/>
      <c r="U242" s="111"/>
      <c r="V242" s="111"/>
      <c r="W242" s="111"/>
      <c r="X242" s="111"/>
      <c r="Y242" s="111"/>
      <c r="Z242" s="111"/>
      <c r="AA242" s="111"/>
      <c r="AB242" s="111"/>
      <c r="AC242" s="111"/>
      <c r="AD242" s="111"/>
      <c r="AE242" s="111"/>
      <c r="AF242" s="29"/>
      <c r="AG242" s="102">
        <f t="shared" si="37"/>
        <v>0</v>
      </c>
    </row>
    <row r="243" spans="1:33" ht="42" customHeight="1" x14ac:dyDescent="0.3">
      <c r="A243" s="115" t="s">
        <v>32</v>
      </c>
      <c r="B243" s="116">
        <f>J243+L243+N243+P243+R243+T243+V243+X243+Z243+AB243+AD243+H243</f>
        <v>0</v>
      </c>
      <c r="C243" s="117">
        <f>SUM(H243)</f>
        <v>0</v>
      </c>
      <c r="D243" s="118">
        <f>E243</f>
        <v>0</v>
      </c>
      <c r="E243" s="117">
        <f>SUM(I243,K243,M243,O243,Q243,S243,U243,W243,Y243,AA243,AC243,AE243)</f>
        <v>0</v>
      </c>
      <c r="F243" s="116">
        <f>IFERROR(E243/B243*100,0)</f>
        <v>0</v>
      </c>
      <c r="G243" s="116">
        <f>IFERROR(E243/C243*100,0)</f>
        <v>0</v>
      </c>
      <c r="H243" s="111"/>
      <c r="I243" s="111"/>
      <c r="J243" s="111"/>
      <c r="K243" s="111"/>
      <c r="L243" s="111"/>
      <c r="M243" s="111"/>
      <c r="N243" s="111"/>
      <c r="O243" s="111"/>
      <c r="P243" s="111"/>
      <c r="Q243" s="111"/>
      <c r="R243" s="111"/>
      <c r="S243" s="111"/>
      <c r="T243" s="111"/>
      <c r="U243" s="111"/>
      <c r="V243" s="111"/>
      <c r="W243" s="111"/>
      <c r="X243" s="111"/>
      <c r="Y243" s="111"/>
      <c r="Z243" s="111"/>
      <c r="AA243" s="111"/>
      <c r="AB243" s="111"/>
      <c r="AC243" s="111"/>
      <c r="AD243" s="111"/>
      <c r="AE243" s="111"/>
      <c r="AF243" s="29"/>
      <c r="AG243" s="102">
        <f t="shared" si="37"/>
        <v>0</v>
      </c>
    </row>
    <row r="244" spans="1:33" x14ac:dyDescent="0.3">
      <c r="A244" s="115" t="s">
        <v>33</v>
      </c>
      <c r="B244" s="116">
        <f>J244+L244+N244+P244+R244+T244+V244+X244+Z244+AB244+AD244+H244</f>
        <v>52103.100000000006</v>
      </c>
      <c r="C244" s="117">
        <f>H244+J244+L244+N244+P244+R244</f>
        <v>30760.639999999999</v>
      </c>
      <c r="D244" s="118">
        <f>E244</f>
        <v>30760.639999999999</v>
      </c>
      <c r="E244" s="117">
        <f>SUM(I244,K244,M244,O244,Q244,S244,U244,W244,Y244,AA244,AC244,AE244)</f>
        <v>30760.639999999999</v>
      </c>
      <c r="F244" s="116">
        <f>IFERROR(E244/B244*100,0)</f>
        <v>59.038022689628825</v>
      </c>
      <c r="G244" s="116">
        <f>IFERROR(E244/C244*100,0)</f>
        <v>100</v>
      </c>
      <c r="H244" s="520">
        <v>1347.73</v>
      </c>
      <c r="I244" s="520">
        <v>1347.73</v>
      </c>
      <c r="J244" s="520">
        <v>3827.1</v>
      </c>
      <c r="K244" s="111">
        <v>3827.1</v>
      </c>
      <c r="L244" s="111">
        <v>7698.22</v>
      </c>
      <c r="M244" s="111">
        <v>7698.22</v>
      </c>
      <c r="N244" s="111">
        <v>10213.620000000001</v>
      </c>
      <c r="O244" s="111">
        <v>10213.620000000001</v>
      </c>
      <c r="P244" s="111">
        <v>3322.2</v>
      </c>
      <c r="Q244" s="111">
        <v>3322.2</v>
      </c>
      <c r="R244" s="111">
        <f>965.27+3386.5</f>
        <v>4351.7700000000004</v>
      </c>
      <c r="S244" s="111">
        <v>4351.7700000000004</v>
      </c>
      <c r="T244" s="111">
        <v>4303.6000000000004</v>
      </c>
      <c r="U244" s="111"/>
      <c r="V244" s="111">
        <v>2401.1999999999998</v>
      </c>
      <c r="W244" s="111"/>
      <c r="X244" s="111">
        <v>2447.9</v>
      </c>
      <c r="Y244" s="111"/>
      <c r="Z244" s="111">
        <f>3713.5+5033.28</f>
        <v>8746.7799999999988</v>
      </c>
      <c r="AA244" s="111"/>
      <c r="AB244" s="111">
        <f>3619.9-176.92</f>
        <v>3442.98</v>
      </c>
      <c r="AC244" s="111"/>
      <c r="AD244" s="111"/>
      <c r="AE244" s="111"/>
      <c r="AF244" s="29"/>
      <c r="AG244" s="102">
        <f t="shared" si="37"/>
        <v>1.3642420526593924E-12</v>
      </c>
    </row>
    <row r="245" spans="1:33" x14ac:dyDescent="0.3">
      <c r="A245" s="115" t="s">
        <v>170</v>
      </c>
      <c r="B245" s="116"/>
      <c r="C245" s="117"/>
      <c r="D245" s="118"/>
      <c r="E245" s="117"/>
      <c r="F245" s="116"/>
      <c r="G245" s="116"/>
      <c r="H245" s="520"/>
      <c r="I245" s="520"/>
      <c r="J245" s="520"/>
      <c r="K245" s="111"/>
      <c r="L245" s="111"/>
      <c r="M245" s="111"/>
      <c r="N245" s="111"/>
      <c r="O245" s="111"/>
      <c r="P245" s="111"/>
      <c r="Q245" s="111"/>
      <c r="R245" s="111"/>
      <c r="S245" s="111"/>
      <c r="T245" s="111"/>
      <c r="U245" s="111"/>
      <c r="V245" s="111"/>
      <c r="W245" s="111"/>
      <c r="X245" s="111"/>
      <c r="Y245" s="111"/>
      <c r="Z245" s="111"/>
      <c r="AA245" s="111"/>
      <c r="AB245" s="111"/>
      <c r="AC245" s="111"/>
      <c r="AD245" s="111"/>
      <c r="AE245" s="111"/>
      <c r="AF245" s="29"/>
      <c r="AG245" s="102">
        <f t="shared" si="37"/>
        <v>0</v>
      </c>
    </row>
    <row r="246" spans="1:33" ht="64.5" customHeight="1" x14ac:dyDescent="0.3">
      <c r="A246" s="787" t="s">
        <v>631</v>
      </c>
      <c r="B246" s="109"/>
      <c r="C246" s="110"/>
      <c r="D246" s="110"/>
      <c r="E246" s="110"/>
      <c r="F246" s="110"/>
      <c r="G246" s="110"/>
      <c r="H246" s="520"/>
      <c r="I246" s="520"/>
      <c r="J246" s="520"/>
      <c r="K246" s="111"/>
      <c r="L246" s="111"/>
      <c r="M246" s="111"/>
      <c r="N246" s="111"/>
      <c r="O246" s="111"/>
      <c r="P246" s="111"/>
      <c r="Q246" s="111"/>
      <c r="R246" s="111"/>
      <c r="S246" s="111"/>
      <c r="T246" s="111"/>
      <c r="U246" s="111"/>
      <c r="V246" s="111"/>
      <c r="W246" s="111"/>
      <c r="X246" s="111"/>
      <c r="Y246" s="111"/>
      <c r="Z246" s="111"/>
      <c r="AA246" s="111"/>
      <c r="AB246" s="111"/>
      <c r="AC246" s="111"/>
      <c r="AD246" s="111"/>
      <c r="AE246" s="111"/>
      <c r="AF246" s="29"/>
      <c r="AG246" s="102">
        <f t="shared" si="37"/>
        <v>0</v>
      </c>
    </row>
    <row r="247" spans="1:33" x14ac:dyDescent="0.3">
      <c r="A247" s="112" t="s">
        <v>31</v>
      </c>
      <c r="B247" s="113">
        <f>B249+B250+B248+B251</f>
        <v>12509.93282</v>
      </c>
      <c r="C247" s="113">
        <f>C249+C250+C248+C251</f>
        <v>6075.5636599999998</v>
      </c>
      <c r="D247" s="114">
        <f>D249+D250+D248+D251</f>
        <v>5489.32</v>
      </c>
      <c r="E247" s="113">
        <f>E249+E250+E248+E251</f>
        <v>5489.32</v>
      </c>
      <c r="F247" s="113">
        <f>IFERROR(E247/B247*100,0)</f>
        <v>43.879692073358392</v>
      </c>
      <c r="G247" s="113">
        <f>IFERROR(E247/C247*100,0)</f>
        <v>90.350793888315536</v>
      </c>
      <c r="H247" s="792">
        <f t="shared" ref="H247:AE247" si="71">H249+H250+H248+H251</f>
        <v>660.33662000000004</v>
      </c>
      <c r="I247" s="792">
        <f t="shared" si="71"/>
        <v>124.9</v>
      </c>
      <c r="J247" s="792">
        <f t="shared" si="71"/>
        <v>1016.97662</v>
      </c>
      <c r="K247" s="113">
        <f t="shared" si="71"/>
        <v>1016.98</v>
      </c>
      <c r="L247" s="113">
        <f t="shared" si="71"/>
        <v>1016.97662</v>
      </c>
      <c r="M247" s="113">
        <f t="shared" si="71"/>
        <v>1019.29</v>
      </c>
      <c r="N247" s="113">
        <f t="shared" si="71"/>
        <v>1170.75</v>
      </c>
      <c r="O247" s="113">
        <f t="shared" si="71"/>
        <v>832.96</v>
      </c>
      <c r="P247" s="113">
        <f t="shared" si="71"/>
        <v>1181.4915100000001</v>
      </c>
      <c r="Q247" s="113">
        <f t="shared" si="71"/>
        <v>1181.49</v>
      </c>
      <c r="R247" s="113">
        <f t="shared" si="71"/>
        <v>1029.0322899999999</v>
      </c>
      <c r="S247" s="113">
        <f t="shared" si="71"/>
        <v>1313.7</v>
      </c>
      <c r="T247" s="113">
        <f t="shared" si="71"/>
        <v>1016.97662</v>
      </c>
      <c r="U247" s="113">
        <f t="shared" si="71"/>
        <v>0</v>
      </c>
      <c r="V247" s="113">
        <f t="shared" si="71"/>
        <v>1030.5408299999999</v>
      </c>
      <c r="W247" s="113">
        <f t="shared" si="71"/>
        <v>0</v>
      </c>
      <c r="X247" s="113">
        <f t="shared" si="71"/>
        <v>1014.6866200000001</v>
      </c>
      <c r="Y247" s="113">
        <f t="shared" si="71"/>
        <v>0</v>
      </c>
      <c r="Z247" s="113">
        <f t="shared" si="71"/>
        <v>1027.3688500000001</v>
      </c>
      <c r="AA247" s="113">
        <f t="shared" si="71"/>
        <v>0</v>
      </c>
      <c r="AB247" s="113">
        <f t="shared" si="71"/>
        <v>1040.1596200000001</v>
      </c>
      <c r="AC247" s="113">
        <f t="shared" si="71"/>
        <v>0</v>
      </c>
      <c r="AD247" s="113">
        <f t="shared" si="71"/>
        <v>1304.63662</v>
      </c>
      <c r="AE247" s="113">
        <f t="shared" si="71"/>
        <v>0</v>
      </c>
      <c r="AF247" s="29"/>
      <c r="AG247" s="102">
        <f t="shared" si="37"/>
        <v>0</v>
      </c>
    </row>
    <row r="248" spans="1:33" x14ac:dyDescent="0.3">
      <c r="A248" s="115" t="s">
        <v>169</v>
      </c>
      <c r="B248" s="116">
        <f>J248+L248+N248+P248+R248+T248+V248+X248+Z248+AB248+AD248+H248</f>
        <v>0</v>
      </c>
      <c r="C248" s="117">
        <f>SUM(H248)</f>
        <v>0</v>
      </c>
      <c r="D248" s="118">
        <f>E248</f>
        <v>0</v>
      </c>
      <c r="E248" s="117">
        <f>SUM(I248,K248,M248,O248,Q248,S248,U248,W248,Y248,AA248,AC248,AE248)</f>
        <v>0</v>
      </c>
      <c r="F248" s="116">
        <f>IFERROR(E248/B248*100,0)</f>
        <v>0</v>
      </c>
      <c r="G248" s="116">
        <f>IFERROR(E248/C248*100,0)</f>
        <v>0</v>
      </c>
      <c r="H248" s="520"/>
      <c r="I248" s="520"/>
      <c r="J248" s="520"/>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29"/>
      <c r="AG248" s="102">
        <f t="shared" si="37"/>
        <v>0</v>
      </c>
    </row>
    <row r="249" spans="1:33" x14ac:dyDescent="0.3">
      <c r="A249" s="115" t="s">
        <v>32</v>
      </c>
      <c r="B249" s="116">
        <f>J249+L249+N249+P249+R249+T249+V249+X249+Z249+AB249+AD249+H249</f>
        <v>0</v>
      </c>
      <c r="C249" s="117">
        <f>SUM(H249)</f>
        <v>0</v>
      </c>
      <c r="D249" s="118">
        <f>E249</f>
        <v>0</v>
      </c>
      <c r="E249" s="117">
        <f>SUM(I249,K249,M249,O249,Q249,S249,U249,W249,Y249,AA249,AC249,AE249)</f>
        <v>0</v>
      </c>
      <c r="F249" s="116">
        <f>IFERROR(E249/B249*100,0)</f>
        <v>0</v>
      </c>
      <c r="G249" s="116">
        <f>IFERROR(E249/C249*100,0)</f>
        <v>0</v>
      </c>
      <c r="H249" s="520"/>
      <c r="I249" s="520"/>
      <c r="J249" s="520"/>
      <c r="K249" s="111"/>
      <c r="L249" s="111"/>
      <c r="M249" s="111"/>
      <c r="N249" s="111"/>
      <c r="O249" s="111"/>
      <c r="P249" s="111"/>
      <c r="Q249" s="111"/>
      <c r="R249" s="111"/>
      <c r="S249" s="111"/>
      <c r="T249" s="111"/>
      <c r="U249" s="111"/>
      <c r="V249" s="111"/>
      <c r="W249" s="111"/>
      <c r="X249" s="111"/>
      <c r="Y249" s="111"/>
      <c r="Z249" s="111"/>
      <c r="AA249" s="111"/>
      <c r="AB249" s="111"/>
      <c r="AC249" s="111"/>
      <c r="AD249" s="111"/>
      <c r="AE249" s="111"/>
      <c r="AF249" s="29"/>
      <c r="AG249" s="102">
        <f t="shared" si="37"/>
        <v>0</v>
      </c>
    </row>
    <row r="250" spans="1:33" x14ac:dyDescent="0.3">
      <c r="A250" s="115" t="s">
        <v>33</v>
      </c>
      <c r="B250" s="627">
        <f>J250+L250+N250+P250+R250+T250+V250+X250+Z250+AB250+AD250+H250</f>
        <v>12509.93282</v>
      </c>
      <c r="C250" s="117">
        <f>H250+J250+L250+N250+P250+R250</f>
        <v>6075.5636599999998</v>
      </c>
      <c r="D250" s="118">
        <f>E250</f>
        <v>5489.32</v>
      </c>
      <c r="E250" s="117">
        <f>SUM(I250,K250,M250,O250,Q250,S250,U250,W250,Y250,AA250,AC250,AE250)</f>
        <v>5489.32</v>
      </c>
      <c r="F250" s="116">
        <f>IFERROR(E250/B250*100,0)</f>
        <v>43.879692073358392</v>
      </c>
      <c r="G250" s="116">
        <f>IFERROR(E250/C250*100,0)</f>
        <v>90.350793888315536</v>
      </c>
      <c r="H250" s="520">
        <v>660.33662000000004</v>
      </c>
      <c r="I250" s="520">
        <v>124.9</v>
      </c>
      <c r="J250" s="520">
        <v>1016.97662</v>
      </c>
      <c r="K250" s="111">
        <v>1016.98</v>
      </c>
      <c r="L250" s="111">
        <v>1016.97662</v>
      </c>
      <c r="M250" s="111">
        <f>2.31+1016.98</f>
        <v>1019.29</v>
      </c>
      <c r="N250" s="111">
        <v>1170.75</v>
      </c>
      <c r="O250" s="111">
        <v>832.96</v>
      </c>
      <c r="P250" s="111">
        <v>1181.4915100000001</v>
      </c>
      <c r="Q250" s="111">
        <v>1181.49</v>
      </c>
      <c r="R250" s="111">
        <f>2.29+1026.74229</f>
        <v>1029.0322899999999</v>
      </c>
      <c r="S250" s="111">
        <v>1313.7</v>
      </c>
      <c r="T250" s="111">
        <v>1016.97662</v>
      </c>
      <c r="U250" s="111"/>
      <c r="V250" s="111">
        <v>1030.5408299999999</v>
      </c>
      <c r="W250" s="111"/>
      <c r="X250" s="111">
        <f>1016.97662-2.29</f>
        <v>1014.6866200000001</v>
      </c>
      <c r="Y250" s="111"/>
      <c r="Z250" s="111">
        <v>1027.3688500000001</v>
      </c>
      <c r="AA250" s="111"/>
      <c r="AB250" s="111">
        <f>1061.43962-21.28</f>
        <v>1040.1596200000001</v>
      </c>
      <c r="AC250" s="111"/>
      <c r="AD250" s="111">
        <v>1304.63662</v>
      </c>
      <c r="AE250" s="111"/>
      <c r="AF250" s="29"/>
      <c r="AG250" s="102">
        <f t="shared" si="37"/>
        <v>0</v>
      </c>
    </row>
    <row r="251" spans="1:33" x14ac:dyDescent="0.3">
      <c r="A251" s="115" t="s">
        <v>170</v>
      </c>
      <c r="B251" s="116"/>
      <c r="C251" s="117"/>
      <c r="D251" s="118"/>
      <c r="E251" s="117"/>
      <c r="F251" s="116"/>
      <c r="G251" s="116"/>
      <c r="H251" s="111"/>
      <c r="I251" s="111"/>
      <c r="J251" s="111"/>
      <c r="K251" s="111"/>
      <c r="L251" s="111"/>
      <c r="M251" s="111"/>
      <c r="N251" s="111"/>
      <c r="O251" s="111"/>
      <c r="P251" s="111"/>
      <c r="Q251" s="111"/>
      <c r="R251" s="111"/>
      <c r="S251" s="111"/>
      <c r="T251" s="111"/>
      <c r="U251" s="111"/>
      <c r="V251" s="111"/>
      <c r="W251" s="111"/>
      <c r="X251" s="111"/>
      <c r="Y251" s="111"/>
      <c r="Z251" s="111"/>
      <c r="AA251" s="111"/>
      <c r="AB251" s="111"/>
      <c r="AC251" s="111"/>
      <c r="AD251" s="111"/>
      <c r="AE251" s="111"/>
      <c r="AF251" s="29"/>
      <c r="AG251" s="102">
        <f t="shared" si="37"/>
        <v>0</v>
      </c>
    </row>
    <row r="252" spans="1:33" x14ac:dyDescent="0.3">
      <c r="A252" s="1032" t="s">
        <v>298</v>
      </c>
      <c r="B252" s="1033"/>
      <c r="C252" s="1033"/>
      <c r="D252" s="1033"/>
      <c r="E252" s="1033"/>
      <c r="F252" s="1033"/>
      <c r="G252" s="1033"/>
      <c r="H252" s="1033"/>
      <c r="I252" s="1033"/>
      <c r="J252" s="1033"/>
      <c r="K252" s="1033"/>
      <c r="L252" s="1033"/>
      <c r="M252" s="1033"/>
      <c r="N252" s="1033"/>
      <c r="O252" s="1033"/>
      <c r="P252" s="1033"/>
      <c r="Q252" s="1033"/>
      <c r="R252" s="1033"/>
      <c r="S252" s="1033"/>
      <c r="T252" s="1033"/>
      <c r="U252" s="1033"/>
      <c r="V252" s="1033"/>
      <c r="W252" s="1033"/>
      <c r="X252" s="1033"/>
      <c r="Y252" s="1033"/>
      <c r="Z252" s="1033"/>
      <c r="AA252" s="1033"/>
      <c r="AB252" s="1033"/>
      <c r="AC252" s="1033"/>
      <c r="AD252" s="1033"/>
      <c r="AE252" s="1033"/>
      <c r="AF252" s="1034"/>
      <c r="AG252" s="102">
        <f t="shared" si="37"/>
        <v>0</v>
      </c>
    </row>
    <row r="253" spans="1:33" s="97" customFormat="1" x14ac:dyDescent="0.3">
      <c r="A253" s="1032" t="s">
        <v>167</v>
      </c>
      <c r="B253" s="1033"/>
      <c r="C253" s="1033"/>
      <c r="D253" s="1033"/>
      <c r="E253" s="1033"/>
      <c r="F253" s="1033"/>
      <c r="G253" s="1033"/>
      <c r="H253" s="1033"/>
      <c r="I253" s="1033"/>
      <c r="J253" s="1033"/>
      <c r="K253" s="1033"/>
      <c r="L253" s="1033"/>
      <c r="M253" s="1033"/>
      <c r="N253" s="1033"/>
      <c r="O253" s="1033"/>
      <c r="P253" s="1033"/>
      <c r="Q253" s="1033"/>
      <c r="R253" s="1033"/>
      <c r="S253" s="1033"/>
      <c r="T253" s="1033"/>
      <c r="U253" s="1033"/>
      <c r="V253" s="1033"/>
      <c r="W253" s="1033"/>
      <c r="X253" s="1033"/>
      <c r="Y253" s="1033"/>
      <c r="Z253" s="1033"/>
      <c r="AA253" s="1033"/>
      <c r="AB253" s="1033"/>
      <c r="AC253" s="1033"/>
      <c r="AD253" s="1033"/>
      <c r="AE253" s="1033"/>
      <c r="AF253" s="1034"/>
    </row>
    <row r="254" spans="1:33" ht="56.25" customHeight="1" x14ac:dyDescent="0.3">
      <c r="A254" s="98" t="s">
        <v>299</v>
      </c>
      <c r="B254" s="99"/>
      <c r="C254" s="100"/>
      <c r="D254" s="100"/>
      <c r="E254" s="100"/>
      <c r="F254" s="100"/>
      <c r="G254" s="100"/>
      <c r="H254" s="100"/>
      <c r="I254" s="100"/>
      <c r="J254" s="100"/>
      <c r="K254" s="100"/>
      <c r="L254" s="100"/>
      <c r="M254" s="100"/>
      <c r="N254" s="100"/>
      <c r="O254" s="100"/>
      <c r="P254" s="100"/>
      <c r="Q254" s="100"/>
      <c r="R254" s="100"/>
      <c r="S254" s="100"/>
      <c r="T254" s="100"/>
      <c r="U254" s="100"/>
      <c r="V254" s="100"/>
      <c r="W254" s="100"/>
      <c r="X254" s="100"/>
      <c r="Y254" s="100"/>
      <c r="Z254" s="100"/>
      <c r="AA254" s="100"/>
      <c r="AB254" s="100"/>
      <c r="AC254" s="100"/>
      <c r="AD254" s="100"/>
      <c r="AE254" s="100"/>
      <c r="AF254" s="101"/>
      <c r="AG254" s="102">
        <f>B254-H254-J254-L254-N254-P254-R254-T254-V254-X254-Z254-AB254-AD254</f>
        <v>0</v>
      </c>
    </row>
    <row r="255" spans="1:33" x14ac:dyDescent="0.3">
      <c r="A255" s="103" t="s">
        <v>31</v>
      </c>
      <c r="B255" s="104">
        <f>B256+B257+B258+B259</f>
        <v>1651094.73</v>
      </c>
      <c r="C255" s="104">
        <f>C256+C257+C258+C259</f>
        <v>0</v>
      </c>
      <c r="D255" s="104">
        <f>D256+D257+D258+D259</f>
        <v>0</v>
      </c>
      <c r="E255" s="104">
        <f>E256+E257+E258+E259</f>
        <v>0</v>
      </c>
      <c r="F255" s="105">
        <f>IFERROR(E255/B255*100,0)</f>
        <v>0</v>
      </c>
      <c r="G255" s="105">
        <f>IFERROR(E255/C255*100,0)</f>
        <v>0</v>
      </c>
      <c r="H255" s="104">
        <f>H256+H257+H258+H259</f>
        <v>0</v>
      </c>
      <c r="I255" s="104">
        <f t="shared" ref="I255:AE255" si="72">I256+I257+I258+I259</f>
        <v>0</v>
      </c>
      <c r="J255" s="104">
        <f t="shared" si="72"/>
        <v>0</v>
      </c>
      <c r="K255" s="104">
        <f t="shared" si="72"/>
        <v>0</v>
      </c>
      <c r="L255" s="104">
        <f t="shared" si="72"/>
        <v>0</v>
      </c>
      <c r="M255" s="104">
        <f t="shared" si="72"/>
        <v>0</v>
      </c>
      <c r="N255" s="104">
        <f t="shared" si="72"/>
        <v>0</v>
      </c>
      <c r="O255" s="104">
        <f t="shared" si="72"/>
        <v>0</v>
      </c>
      <c r="P255" s="104">
        <f t="shared" si="72"/>
        <v>0</v>
      </c>
      <c r="Q255" s="104">
        <f t="shared" si="72"/>
        <v>0</v>
      </c>
      <c r="R255" s="104">
        <f t="shared" si="72"/>
        <v>0</v>
      </c>
      <c r="S255" s="104">
        <f t="shared" si="72"/>
        <v>0</v>
      </c>
      <c r="T255" s="104">
        <f t="shared" si="72"/>
        <v>0</v>
      </c>
      <c r="U255" s="104">
        <f t="shared" si="72"/>
        <v>0</v>
      </c>
      <c r="V255" s="104">
        <f t="shared" si="72"/>
        <v>0</v>
      </c>
      <c r="W255" s="104">
        <f t="shared" si="72"/>
        <v>0</v>
      </c>
      <c r="X255" s="104">
        <f t="shared" si="72"/>
        <v>0</v>
      </c>
      <c r="Y255" s="104">
        <f t="shared" si="72"/>
        <v>0</v>
      </c>
      <c r="Z255" s="104">
        <f t="shared" si="72"/>
        <v>25239.239999999998</v>
      </c>
      <c r="AA255" s="104">
        <f t="shared" si="72"/>
        <v>0</v>
      </c>
      <c r="AB255" s="104">
        <f t="shared" si="72"/>
        <v>532167.6</v>
      </c>
      <c r="AC255" s="104">
        <f t="shared" si="72"/>
        <v>0</v>
      </c>
      <c r="AD255" s="104">
        <f t="shared" si="72"/>
        <v>1093687.8900000001</v>
      </c>
      <c r="AE255" s="104">
        <f t="shared" si="72"/>
        <v>0</v>
      </c>
      <c r="AF255" s="101"/>
      <c r="AG255" s="102">
        <f t="shared" ref="AG255:AG265" si="73">B255-H255-J255-L255-N255-P255-R255-T255-V255-X255-Z255-AB255-AD255</f>
        <v>0</v>
      </c>
    </row>
    <row r="256" spans="1:33" x14ac:dyDescent="0.3">
      <c r="A256" s="106" t="s">
        <v>169</v>
      </c>
      <c r="B256" s="107">
        <f>B262</f>
        <v>221676.3</v>
      </c>
      <c r="C256" s="107">
        <f>C262</f>
        <v>0</v>
      </c>
      <c r="D256" s="107">
        <f>D262</f>
        <v>0</v>
      </c>
      <c r="E256" s="107">
        <f>E262</f>
        <v>0</v>
      </c>
      <c r="F256" s="107">
        <f>IFERROR(E256/B256*100,0)</f>
        <v>0</v>
      </c>
      <c r="G256" s="107">
        <f>IFERROR(E256/C256*100,0)</f>
        <v>0</v>
      </c>
      <c r="H256" s="107">
        <f t="shared" ref="H256:AE259" si="74">H262</f>
        <v>0</v>
      </c>
      <c r="I256" s="107">
        <f t="shared" si="74"/>
        <v>0</v>
      </c>
      <c r="J256" s="107">
        <f t="shared" si="74"/>
        <v>0</v>
      </c>
      <c r="K256" s="107">
        <f t="shared" si="74"/>
        <v>0</v>
      </c>
      <c r="L256" s="107">
        <f t="shared" si="74"/>
        <v>0</v>
      </c>
      <c r="M256" s="107">
        <f t="shared" si="74"/>
        <v>0</v>
      </c>
      <c r="N256" s="107">
        <f t="shared" si="74"/>
        <v>0</v>
      </c>
      <c r="O256" s="107">
        <f t="shared" si="74"/>
        <v>0</v>
      </c>
      <c r="P256" s="107">
        <f t="shared" si="74"/>
        <v>0</v>
      </c>
      <c r="Q256" s="107">
        <f t="shared" si="74"/>
        <v>0</v>
      </c>
      <c r="R256" s="107">
        <f t="shared" si="74"/>
        <v>0</v>
      </c>
      <c r="S256" s="107">
        <f t="shared" si="74"/>
        <v>0</v>
      </c>
      <c r="T256" s="107">
        <f t="shared" si="74"/>
        <v>0</v>
      </c>
      <c r="U256" s="107">
        <f t="shared" si="74"/>
        <v>0</v>
      </c>
      <c r="V256" s="107">
        <f t="shared" si="74"/>
        <v>0</v>
      </c>
      <c r="W256" s="107">
        <f t="shared" si="74"/>
        <v>0</v>
      </c>
      <c r="X256" s="107">
        <f t="shared" si="74"/>
        <v>0</v>
      </c>
      <c r="Y256" s="107">
        <f t="shared" si="74"/>
        <v>0</v>
      </c>
      <c r="Z256" s="107">
        <f t="shared" si="74"/>
        <v>10221.89</v>
      </c>
      <c r="AA256" s="107">
        <f t="shared" si="74"/>
        <v>0</v>
      </c>
      <c r="AB256" s="107">
        <f t="shared" si="74"/>
        <v>211454.41</v>
      </c>
      <c r="AC256" s="107">
        <f t="shared" si="74"/>
        <v>0</v>
      </c>
      <c r="AD256" s="107">
        <f t="shared" si="74"/>
        <v>0</v>
      </c>
      <c r="AE256" s="107">
        <f t="shared" si="74"/>
        <v>0</v>
      </c>
      <c r="AF256" s="101"/>
      <c r="AG256" s="102">
        <f t="shared" si="73"/>
        <v>-2.9103830456733704E-11</v>
      </c>
    </row>
    <row r="257" spans="1:33" x14ac:dyDescent="0.3">
      <c r="A257" s="106" t="s">
        <v>32</v>
      </c>
      <c r="B257" s="107">
        <f t="shared" ref="B257:E259" si="75">B263</f>
        <v>930862</v>
      </c>
      <c r="C257" s="107">
        <f t="shared" si="75"/>
        <v>0</v>
      </c>
      <c r="D257" s="107">
        <f t="shared" si="75"/>
        <v>0</v>
      </c>
      <c r="E257" s="107">
        <f t="shared" si="75"/>
        <v>0</v>
      </c>
      <c r="F257" s="107">
        <f>IFERROR(E257/B257*100,0)</f>
        <v>0</v>
      </c>
      <c r="G257" s="107">
        <f>IFERROR(E257/C257*100,0)</f>
        <v>0</v>
      </c>
      <c r="H257" s="107">
        <f t="shared" si="74"/>
        <v>0</v>
      </c>
      <c r="I257" s="107">
        <f t="shared" si="74"/>
        <v>0</v>
      </c>
      <c r="J257" s="107">
        <f t="shared" si="74"/>
        <v>0</v>
      </c>
      <c r="K257" s="107">
        <f t="shared" si="74"/>
        <v>0</v>
      </c>
      <c r="L257" s="107">
        <f t="shared" si="74"/>
        <v>0</v>
      </c>
      <c r="M257" s="107">
        <f t="shared" si="74"/>
        <v>0</v>
      </c>
      <c r="N257" s="107">
        <f t="shared" si="74"/>
        <v>0</v>
      </c>
      <c r="O257" s="107">
        <f t="shared" si="74"/>
        <v>0</v>
      </c>
      <c r="P257" s="107">
        <f t="shared" si="74"/>
        <v>0</v>
      </c>
      <c r="Q257" s="107">
        <f t="shared" si="74"/>
        <v>0</v>
      </c>
      <c r="R257" s="107">
        <f t="shared" si="74"/>
        <v>0</v>
      </c>
      <c r="S257" s="107">
        <f t="shared" si="74"/>
        <v>0</v>
      </c>
      <c r="T257" s="107">
        <f t="shared" si="74"/>
        <v>0</v>
      </c>
      <c r="U257" s="107">
        <f t="shared" si="74"/>
        <v>0</v>
      </c>
      <c r="V257" s="107">
        <f t="shared" si="74"/>
        <v>0</v>
      </c>
      <c r="W257" s="107">
        <f t="shared" si="74"/>
        <v>0</v>
      </c>
      <c r="X257" s="107">
        <f t="shared" si="74"/>
        <v>0</v>
      </c>
      <c r="Y257" s="107">
        <f t="shared" si="74"/>
        <v>0</v>
      </c>
      <c r="Z257" s="107">
        <f t="shared" si="74"/>
        <v>12493.43</v>
      </c>
      <c r="AA257" s="107">
        <f t="shared" si="74"/>
        <v>0</v>
      </c>
      <c r="AB257" s="107">
        <f t="shared" si="74"/>
        <v>258444.27</v>
      </c>
      <c r="AC257" s="107">
        <f t="shared" si="74"/>
        <v>0</v>
      </c>
      <c r="AD257" s="107">
        <f t="shared" si="74"/>
        <v>659924.30000000005</v>
      </c>
      <c r="AE257" s="107">
        <f t="shared" si="74"/>
        <v>0</v>
      </c>
      <c r="AF257" s="101"/>
      <c r="AG257" s="102">
        <f t="shared" si="73"/>
        <v>0</v>
      </c>
    </row>
    <row r="258" spans="1:33" x14ac:dyDescent="0.3">
      <c r="A258" s="106" t="s">
        <v>33</v>
      </c>
      <c r="B258" s="107">
        <f>B264</f>
        <v>176767.43</v>
      </c>
      <c r="C258" s="107">
        <f t="shared" si="75"/>
        <v>0</v>
      </c>
      <c r="D258" s="107">
        <f t="shared" si="75"/>
        <v>0</v>
      </c>
      <c r="E258" s="107">
        <f t="shared" si="75"/>
        <v>0</v>
      </c>
      <c r="F258" s="107">
        <f>IFERROR(E258/B258*100,0)</f>
        <v>0</v>
      </c>
      <c r="G258" s="107">
        <f>IFERROR(E258/C258*100,0)</f>
        <v>0</v>
      </c>
      <c r="H258" s="107">
        <f t="shared" si="74"/>
        <v>0</v>
      </c>
      <c r="I258" s="107">
        <f t="shared" si="74"/>
        <v>0</v>
      </c>
      <c r="J258" s="107">
        <f t="shared" si="74"/>
        <v>0</v>
      </c>
      <c r="K258" s="107">
        <f t="shared" si="74"/>
        <v>0</v>
      </c>
      <c r="L258" s="107">
        <f t="shared" si="74"/>
        <v>0</v>
      </c>
      <c r="M258" s="107">
        <f t="shared" si="74"/>
        <v>0</v>
      </c>
      <c r="N258" s="107">
        <f t="shared" si="74"/>
        <v>0</v>
      </c>
      <c r="O258" s="107">
        <f t="shared" si="74"/>
        <v>0</v>
      </c>
      <c r="P258" s="107">
        <f t="shared" si="74"/>
        <v>0</v>
      </c>
      <c r="Q258" s="107">
        <f t="shared" si="74"/>
        <v>0</v>
      </c>
      <c r="R258" s="107">
        <f t="shared" si="74"/>
        <v>0</v>
      </c>
      <c r="S258" s="107">
        <f t="shared" si="74"/>
        <v>0</v>
      </c>
      <c r="T258" s="107">
        <f t="shared" si="74"/>
        <v>0</v>
      </c>
      <c r="U258" s="107">
        <f t="shared" si="74"/>
        <v>0</v>
      </c>
      <c r="V258" s="107">
        <f t="shared" si="74"/>
        <v>0</v>
      </c>
      <c r="W258" s="107">
        <f t="shared" si="74"/>
        <v>0</v>
      </c>
      <c r="X258" s="107">
        <f t="shared" si="74"/>
        <v>0</v>
      </c>
      <c r="Y258" s="107">
        <f t="shared" si="74"/>
        <v>0</v>
      </c>
      <c r="Z258" s="107">
        <f t="shared" si="74"/>
        <v>2523.92</v>
      </c>
      <c r="AA258" s="107">
        <f t="shared" si="74"/>
        <v>0</v>
      </c>
      <c r="AB258" s="107">
        <f t="shared" si="74"/>
        <v>52210.98</v>
      </c>
      <c r="AC258" s="107">
        <f t="shared" si="74"/>
        <v>0</v>
      </c>
      <c r="AD258" s="107">
        <f>AD264</f>
        <v>122032.53</v>
      </c>
      <c r="AE258" s="107">
        <f t="shared" si="74"/>
        <v>0</v>
      </c>
      <c r="AF258" s="101"/>
      <c r="AG258" s="102">
        <f t="shared" si="73"/>
        <v>0</v>
      </c>
    </row>
    <row r="259" spans="1:33" x14ac:dyDescent="0.3">
      <c r="A259" s="106" t="s">
        <v>170</v>
      </c>
      <c r="B259" s="107">
        <f t="shared" si="75"/>
        <v>321789</v>
      </c>
      <c r="C259" s="107">
        <f t="shared" si="75"/>
        <v>0</v>
      </c>
      <c r="D259" s="107">
        <f t="shared" si="75"/>
        <v>0</v>
      </c>
      <c r="E259" s="107">
        <f t="shared" si="75"/>
        <v>0</v>
      </c>
      <c r="F259" s="107">
        <f>IFERROR(E259/B259*100,0)</f>
        <v>0</v>
      </c>
      <c r="G259" s="107">
        <f>IFERROR(E259/C259*100,0)</f>
        <v>0</v>
      </c>
      <c r="H259" s="107">
        <f t="shared" si="74"/>
        <v>0</v>
      </c>
      <c r="I259" s="107">
        <f t="shared" si="74"/>
        <v>0</v>
      </c>
      <c r="J259" s="107">
        <f t="shared" si="74"/>
        <v>0</v>
      </c>
      <c r="K259" s="107">
        <f t="shared" si="74"/>
        <v>0</v>
      </c>
      <c r="L259" s="107">
        <f t="shared" si="74"/>
        <v>0</v>
      </c>
      <c r="M259" s="107">
        <f t="shared" si="74"/>
        <v>0</v>
      </c>
      <c r="N259" s="107">
        <f t="shared" si="74"/>
        <v>0</v>
      </c>
      <c r="O259" s="107">
        <f t="shared" si="74"/>
        <v>0</v>
      </c>
      <c r="P259" s="107">
        <f t="shared" si="74"/>
        <v>0</v>
      </c>
      <c r="Q259" s="107">
        <f t="shared" si="74"/>
        <v>0</v>
      </c>
      <c r="R259" s="107">
        <f t="shared" si="74"/>
        <v>0</v>
      </c>
      <c r="S259" s="107">
        <f t="shared" si="74"/>
        <v>0</v>
      </c>
      <c r="T259" s="107">
        <f t="shared" si="74"/>
        <v>0</v>
      </c>
      <c r="U259" s="107">
        <f t="shared" si="74"/>
        <v>0</v>
      </c>
      <c r="V259" s="107">
        <f t="shared" si="74"/>
        <v>0</v>
      </c>
      <c r="W259" s="107">
        <f t="shared" si="74"/>
        <v>0</v>
      </c>
      <c r="X259" s="107">
        <f t="shared" si="74"/>
        <v>0</v>
      </c>
      <c r="Y259" s="107">
        <f t="shared" si="74"/>
        <v>0</v>
      </c>
      <c r="Z259" s="107">
        <f t="shared" si="74"/>
        <v>0</v>
      </c>
      <c r="AA259" s="107">
        <f t="shared" si="74"/>
        <v>0</v>
      </c>
      <c r="AB259" s="107">
        <f t="shared" si="74"/>
        <v>10057.94</v>
      </c>
      <c r="AC259" s="107">
        <f t="shared" si="74"/>
        <v>0</v>
      </c>
      <c r="AD259" s="107">
        <f t="shared" si="74"/>
        <v>311731.06</v>
      </c>
      <c r="AE259" s="107">
        <f t="shared" si="74"/>
        <v>0</v>
      </c>
      <c r="AF259" s="101"/>
      <c r="AG259" s="102">
        <f t="shared" si="73"/>
        <v>0</v>
      </c>
    </row>
    <row r="260" spans="1:33" ht="203.25" customHeight="1" x14ac:dyDescent="0.3">
      <c r="A260" s="787" t="s">
        <v>300</v>
      </c>
      <c r="B260" s="109"/>
      <c r="C260" s="110"/>
      <c r="D260" s="110"/>
      <c r="E260" s="110"/>
      <c r="F260" s="110"/>
      <c r="G260" s="110"/>
      <c r="H260" s="111"/>
      <c r="I260" s="111"/>
      <c r="J260" s="111"/>
      <c r="K260" s="111"/>
      <c r="L260" s="111"/>
      <c r="M260" s="111"/>
      <c r="N260" s="111"/>
      <c r="O260" s="111"/>
      <c r="P260" s="111"/>
      <c r="Q260" s="111"/>
      <c r="R260" s="111"/>
      <c r="S260" s="111"/>
      <c r="T260" s="111"/>
      <c r="U260" s="111"/>
      <c r="V260" s="111"/>
      <c r="W260" s="111"/>
      <c r="X260" s="111"/>
      <c r="Y260" s="111"/>
      <c r="Z260" s="111"/>
      <c r="AA260" s="111"/>
      <c r="AB260" s="111"/>
      <c r="AC260" s="111"/>
      <c r="AD260" s="111"/>
      <c r="AE260" s="111"/>
      <c r="AF260" s="521" t="s">
        <v>497</v>
      </c>
      <c r="AG260" s="102">
        <f t="shared" si="73"/>
        <v>0</v>
      </c>
    </row>
    <row r="261" spans="1:33" x14ac:dyDescent="0.3">
      <c r="A261" s="112" t="s">
        <v>31</v>
      </c>
      <c r="B261" s="113">
        <f>B263+B264+B262+B265</f>
        <v>1651094.73</v>
      </c>
      <c r="C261" s="113">
        <f>C263+C264+C262+C265</f>
        <v>0</v>
      </c>
      <c r="D261" s="114">
        <f>D263+D264+D262+D265</f>
        <v>0</v>
      </c>
      <c r="E261" s="113">
        <f>E263+E264+E262+E265</f>
        <v>0</v>
      </c>
      <c r="F261" s="113">
        <f>IFERROR(E261/B261*100,0)</f>
        <v>0</v>
      </c>
      <c r="G261" s="113">
        <f>IFERROR(E261/C261*100,0)</f>
        <v>0</v>
      </c>
      <c r="H261" s="113">
        <f t="shared" ref="H261:AE261" si="76">H263+H264+H262+H265</f>
        <v>0</v>
      </c>
      <c r="I261" s="113">
        <f t="shared" si="76"/>
        <v>0</v>
      </c>
      <c r="J261" s="113">
        <f t="shared" si="76"/>
        <v>0</v>
      </c>
      <c r="K261" s="113">
        <f t="shared" si="76"/>
        <v>0</v>
      </c>
      <c r="L261" s="113">
        <f t="shared" si="76"/>
        <v>0</v>
      </c>
      <c r="M261" s="113">
        <f t="shared" si="76"/>
        <v>0</v>
      </c>
      <c r="N261" s="113">
        <f t="shared" si="76"/>
        <v>0</v>
      </c>
      <c r="O261" s="113">
        <f t="shared" si="76"/>
        <v>0</v>
      </c>
      <c r="P261" s="113">
        <f t="shared" si="76"/>
        <v>0</v>
      </c>
      <c r="Q261" s="113">
        <f t="shared" si="76"/>
        <v>0</v>
      </c>
      <c r="R261" s="113">
        <f t="shared" si="76"/>
        <v>0</v>
      </c>
      <c r="S261" s="113">
        <f t="shared" si="76"/>
        <v>0</v>
      </c>
      <c r="T261" s="113">
        <f t="shared" si="76"/>
        <v>0</v>
      </c>
      <c r="U261" s="113">
        <f t="shared" si="76"/>
        <v>0</v>
      </c>
      <c r="V261" s="113">
        <f t="shared" si="76"/>
        <v>0</v>
      </c>
      <c r="W261" s="113">
        <f t="shared" si="76"/>
        <v>0</v>
      </c>
      <c r="X261" s="113">
        <f t="shared" si="76"/>
        <v>0</v>
      </c>
      <c r="Y261" s="113">
        <f t="shared" si="76"/>
        <v>0</v>
      </c>
      <c r="Z261" s="113">
        <f t="shared" si="76"/>
        <v>25239.239999999998</v>
      </c>
      <c r="AA261" s="113">
        <f t="shared" si="76"/>
        <v>0</v>
      </c>
      <c r="AB261" s="113">
        <f>AB263+AB264+AB262+AB265</f>
        <v>532167.6</v>
      </c>
      <c r="AC261" s="113">
        <f t="shared" si="76"/>
        <v>0</v>
      </c>
      <c r="AD261" s="113">
        <f t="shared" si="76"/>
        <v>1093687.8900000001</v>
      </c>
      <c r="AE261" s="113">
        <f t="shared" si="76"/>
        <v>0</v>
      </c>
      <c r="AF261" s="29"/>
      <c r="AG261" s="102">
        <f t="shared" si="73"/>
        <v>0</v>
      </c>
    </row>
    <row r="262" spans="1:33" x14ac:dyDescent="0.3">
      <c r="A262" s="115" t="s">
        <v>169</v>
      </c>
      <c r="B262" s="116">
        <f>J262+L262+N262+P262+R262+T262+V262+X262+Z262+AB262+AD262+H262</f>
        <v>221676.3</v>
      </c>
      <c r="C262" s="117">
        <f>SUM(H262)</f>
        <v>0</v>
      </c>
      <c r="D262" s="789">
        <f>E262</f>
        <v>0</v>
      </c>
      <c r="E262" s="117">
        <f>SUM(I262,K262,M262,O262,Q262,S262,U262,W262,Y262,AA262,AC262,AE262)</f>
        <v>0</v>
      </c>
      <c r="F262" s="116">
        <f>IFERROR(E262/B262*100,0)</f>
        <v>0</v>
      </c>
      <c r="G262" s="116">
        <f>IFERROR(E262/C262*100,0)</f>
        <v>0</v>
      </c>
      <c r="H262" s="111"/>
      <c r="I262" s="111"/>
      <c r="J262" s="111"/>
      <c r="K262" s="111"/>
      <c r="L262" s="111"/>
      <c r="M262" s="111"/>
      <c r="N262" s="111"/>
      <c r="O262" s="111"/>
      <c r="P262" s="111"/>
      <c r="Q262" s="111"/>
      <c r="R262" s="111"/>
      <c r="S262" s="111"/>
      <c r="T262" s="111"/>
      <c r="U262" s="111"/>
      <c r="V262" s="111"/>
      <c r="W262" s="111"/>
      <c r="X262" s="111"/>
      <c r="Y262" s="111"/>
      <c r="Z262" s="111">
        <v>10221.89</v>
      </c>
      <c r="AA262" s="111"/>
      <c r="AB262" s="111">
        <v>211454.41</v>
      </c>
      <c r="AC262" s="111"/>
      <c r="AD262" s="111"/>
      <c r="AE262" s="111"/>
      <c r="AF262" s="29"/>
      <c r="AG262" s="102">
        <f t="shared" si="73"/>
        <v>-2.9103830456733704E-11</v>
      </c>
    </row>
    <row r="263" spans="1:33" x14ac:dyDescent="0.3">
      <c r="A263" s="115" t="s">
        <v>32</v>
      </c>
      <c r="B263" s="116">
        <f>J263+L263+N263+P263+R263+T263+V263+X263+Z263+AB263+AD263+H263</f>
        <v>930862</v>
      </c>
      <c r="C263" s="117">
        <f>SUM(H263)</f>
        <v>0</v>
      </c>
      <c r="D263" s="118">
        <f>E263</f>
        <v>0</v>
      </c>
      <c r="E263" s="117">
        <f>SUM(I263,K263,M263,O263,Q263,S263,U263,W263,Y263,AA263,AC263,AE263)</f>
        <v>0</v>
      </c>
      <c r="F263" s="116">
        <f>IFERROR(E263/B263*100,0)</f>
        <v>0</v>
      </c>
      <c r="G263" s="116">
        <f>IFERROR(E263/C263*100,0)</f>
        <v>0</v>
      </c>
      <c r="H263" s="111"/>
      <c r="I263" s="111"/>
      <c r="J263" s="111"/>
      <c r="K263" s="111"/>
      <c r="L263" s="111"/>
      <c r="M263" s="111"/>
      <c r="N263" s="111"/>
      <c r="O263" s="111"/>
      <c r="P263" s="111"/>
      <c r="Q263" s="111"/>
      <c r="R263" s="111"/>
      <c r="S263" s="111"/>
      <c r="T263" s="111"/>
      <c r="U263" s="111"/>
      <c r="V263" s="111"/>
      <c r="W263" s="111"/>
      <c r="X263" s="111"/>
      <c r="Y263" s="111"/>
      <c r="Z263" s="111">
        <v>12493.43</v>
      </c>
      <c r="AA263" s="111"/>
      <c r="AB263" s="111">
        <v>258444.27</v>
      </c>
      <c r="AC263" s="111"/>
      <c r="AD263" s="111">
        <v>659924.30000000005</v>
      </c>
      <c r="AE263" s="111"/>
      <c r="AF263" s="29"/>
      <c r="AG263" s="102">
        <f t="shared" si="73"/>
        <v>0</v>
      </c>
    </row>
    <row r="264" spans="1:33" x14ac:dyDescent="0.3">
      <c r="A264" s="115" t="s">
        <v>33</v>
      </c>
      <c r="B264" s="627">
        <f>J264+L264+N264+P264+R264+T264+V264+X264+Z264+AB264+AD264+H264</f>
        <v>176767.43</v>
      </c>
      <c r="C264" s="117">
        <f>SUM(H264)</f>
        <v>0</v>
      </c>
      <c r="D264" s="118">
        <f>E264</f>
        <v>0</v>
      </c>
      <c r="E264" s="117">
        <f>SUM(I264,K264,M264,O264,Q264,S264,U264,W264,Y264,AA264,AC264,AE264)</f>
        <v>0</v>
      </c>
      <c r="F264" s="116">
        <f>IFERROR(E264/B264*100,0)</f>
        <v>0</v>
      </c>
      <c r="G264" s="116">
        <f>IFERROR(E264/C264*100,0)</f>
        <v>0</v>
      </c>
      <c r="H264" s="111"/>
      <c r="I264" s="111"/>
      <c r="J264" s="111"/>
      <c r="K264" s="111"/>
      <c r="L264" s="111"/>
      <c r="M264" s="111"/>
      <c r="N264" s="111"/>
      <c r="O264" s="111"/>
      <c r="P264" s="111"/>
      <c r="Q264" s="111"/>
      <c r="R264" s="111"/>
      <c r="S264" s="111"/>
      <c r="T264" s="111"/>
      <c r="U264" s="111"/>
      <c r="V264" s="111"/>
      <c r="W264" s="111"/>
      <c r="X264" s="111"/>
      <c r="Y264" s="111"/>
      <c r="Z264" s="111">
        <v>2523.92</v>
      </c>
      <c r="AA264" s="111"/>
      <c r="AB264" s="111">
        <v>52210.98</v>
      </c>
      <c r="AC264" s="111"/>
      <c r="AD264" s="111">
        <v>122032.53</v>
      </c>
      <c r="AE264" s="111"/>
      <c r="AF264" s="29"/>
      <c r="AG264" s="102">
        <f t="shared" si="73"/>
        <v>0</v>
      </c>
    </row>
    <row r="265" spans="1:33" x14ac:dyDescent="0.3">
      <c r="A265" s="115" t="s">
        <v>170</v>
      </c>
      <c r="B265" s="116">
        <f>J265+L265+N265+P265+R265+T265+V265+X265+Z265+AB265+AD265+H265</f>
        <v>321789</v>
      </c>
      <c r="C265" s="117"/>
      <c r="D265" s="118"/>
      <c r="E265" s="117"/>
      <c r="F265" s="116"/>
      <c r="G265" s="116"/>
      <c r="H265" s="111"/>
      <c r="I265" s="111"/>
      <c r="J265" s="111"/>
      <c r="K265" s="111"/>
      <c r="L265" s="111"/>
      <c r="M265" s="111"/>
      <c r="N265" s="111"/>
      <c r="O265" s="111"/>
      <c r="P265" s="111"/>
      <c r="Q265" s="111"/>
      <c r="R265" s="111"/>
      <c r="S265" s="111"/>
      <c r="T265" s="111"/>
      <c r="U265" s="111"/>
      <c r="V265" s="111"/>
      <c r="W265" s="111"/>
      <c r="X265" s="111"/>
      <c r="Y265" s="111"/>
      <c r="Z265" s="111"/>
      <c r="AA265" s="111"/>
      <c r="AB265" s="111">
        <v>10057.94</v>
      </c>
      <c r="AC265" s="111"/>
      <c r="AD265" s="111">
        <v>311731.06</v>
      </c>
      <c r="AE265" s="111"/>
      <c r="AF265" s="29"/>
      <c r="AG265" s="102">
        <f t="shared" si="73"/>
        <v>0</v>
      </c>
    </row>
    <row r="266" spans="1:33" ht="56.25" customHeight="1" x14ac:dyDescent="0.3">
      <c r="A266" s="98" t="s">
        <v>301</v>
      </c>
      <c r="B266" s="99"/>
      <c r="C266" s="100"/>
      <c r="D266" s="100"/>
      <c r="E266" s="100"/>
      <c r="F266" s="100"/>
      <c r="G266" s="100"/>
      <c r="H266" s="100"/>
      <c r="I266" s="100"/>
      <c r="J266" s="100"/>
      <c r="K266" s="100"/>
      <c r="L266" s="100"/>
      <c r="M266" s="100"/>
      <c r="N266" s="100"/>
      <c r="O266" s="100"/>
      <c r="P266" s="100"/>
      <c r="Q266" s="100"/>
      <c r="R266" s="100"/>
      <c r="S266" s="100"/>
      <c r="T266" s="100"/>
      <c r="U266" s="100"/>
      <c r="V266" s="100"/>
      <c r="W266" s="100"/>
      <c r="X266" s="100"/>
      <c r="Y266" s="100"/>
      <c r="Z266" s="100"/>
      <c r="AA266" s="100"/>
      <c r="AB266" s="100"/>
      <c r="AC266" s="100"/>
      <c r="AD266" s="100"/>
      <c r="AE266" s="100"/>
      <c r="AF266" s="101"/>
      <c r="AG266" s="102">
        <f t="shared" ref="AG266:AG271" si="77">B266-H266-J266-L266-N266-P266-R266-T266-V266-X266-Z266-AB266-AD266</f>
        <v>0</v>
      </c>
    </row>
    <row r="267" spans="1:33" x14ac:dyDescent="0.3">
      <c r="A267" s="103" t="s">
        <v>31</v>
      </c>
      <c r="B267" s="104">
        <f>B268+B269+B270+B271</f>
        <v>0</v>
      </c>
      <c r="C267" s="104">
        <f>C268+C269+C270+C271</f>
        <v>0</v>
      </c>
      <c r="D267" s="104">
        <f>D268+D269+D270+D271</f>
        <v>0</v>
      </c>
      <c r="E267" s="104">
        <f>E268+E269+E270+E271</f>
        <v>0</v>
      </c>
      <c r="F267" s="105">
        <f>IFERROR(E267/B267*100,0)</f>
        <v>0</v>
      </c>
      <c r="G267" s="105">
        <f>IFERROR(E267/C267*100,0)</f>
        <v>0</v>
      </c>
      <c r="H267" s="104">
        <f>H268+H269+H270+H271</f>
        <v>0</v>
      </c>
      <c r="I267" s="104">
        <f t="shared" ref="I267:AE267" si="78">I268+I269+I270+I271</f>
        <v>0</v>
      </c>
      <c r="J267" s="104">
        <f t="shared" si="78"/>
        <v>0</v>
      </c>
      <c r="K267" s="104">
        <f t="shared" si="78"/>
        <v>0</v>
      </c>
      <c r="L267" s="104">
        <f t="shared" si="78"/>
        <v>0</v>
      </c>
      <c r="M267" s="104">
        <f t="shared" si="78"/>
        <v>0</v>
      </c>
      <c r="N267" s="104">
        <f t="shared" si="78"/>
        <v>0</v>
      </c>
      <c r="O267" s="104">
        <f t="shared" si="78"/>
        <v>0</v>
      </c>
      <c r="P267" s="104">
        <f t="shared" si="78"/>
        <v>0</v>
      </c>
      <c r="Q267" s="104">
        <f t="shared" si="78"/>
        <v>0</v>
      </c>
      <c r="R267" s="104">
        <f t="shared" si="78"/>
        <v>0</v>
      </c>
      <c r="S267" s="104">
        <f t="shared" si="78"/>
        <v>0</v>
      </c>
      <c r="T267" s="104">
        <f t="shared" si="78"/>
        <v>0</v>
      </c>
      <c r="U267" s="104">
        <f t="shared" si="78"/>
        <v>0</v>
      </c>
      <c r="V267" s="104">
        <f t="shared" si="78"/>
        <v>0</v>
      </c>
      <c r="W267" s="104">
        <f t="shared" si="78"/>
        <v>0</v>
      </c>
      <c r="X267" s="104">
        <f t="shared" si="78"/>
        <v>0</v>
      </c>
      <c r="Y267" s="104">
        <f t="shared" si="78"/>
        <v>0</v>
      </c>
      <c r="Z267" s="104">
        <f t="shared" si="78"/>
        <v>0</v>
      </c>
      <c r="AA267" s="104">
        <f t="shared" si="78"/>
        <v>0</v>
      </c>
      <c r="AB267" s="104">
        <f t="shared" si="78"/>
        <v>0</v>
      </c>
      <c r="AC267" s="104">
        <f t="shared" si="78"/>
        <v>0</v>
      </c>
      <c r="AD267" s="104">
        <f t="shared" si="78"/>
        <v>0</v>
      </c>
      <c r="AE267" s="104">
        <f t="shared" si="78"/>
        <v>0</v>
      </c>
      <c r="AF267" s="101"/>
      <c r="AG267" s="102">
        <f t="shared" si="77"/>
        <v>0</v>
      </c>
    </row>
    <row r="268" spans="1:33" x14ac:dyDescent="0.3">
      <c r="A268" s="106" t="s">
        <v>169</v>
      </c>
      <c r="B268" s="107">
        <f>J268+L268+N268+P268+R268+T268+V268+X268+Z268+AB268+AD268+H268</f>
        <v>0</v>
      </c>
      <c r="C268" s="107">
        <f>SUM(H268)</f>
        <v>0</v>
      </c>
      <c r="D268" s="107">
        <f>E268</f>
        <v>0</v>
      </c>
      <c r="E268" s="107">
        <f>SUM(I268,K268,M268,O268,Q268,S268,U268,W268,Y268,AA268,AC268,AE268)</f>
        <v>0</v>
      </c>
      <c r="F268" s="107">
        <f>IFERROR(E268/B268*100,0)</f>
        <v>0</v>
      </c>
      <c r="G268" s="107">
        <f>IFERROR(E268/C268*100,0)</f>
        <v>0</v>
      </c>
      <c r="H268" s="107"/>
      <c r="I268" s="107"/>
      <c r="J268" s="107"/>
      <c r="K268" s="107"/>
      <c r="L268" s="107"/>
      <c r="M268" s="107"/>
      <c r="N268" s="107"/>
      <c r="O268" s="107"/>
      <c r="P268" s="107"/>
      <c r="Q268" s="107"/>
      <c r="R268" s="107"/>
      <c r="S268" s="107"/>
      <c r="T268" s="107"/>
      <c r="U268" s="107"/>
      <c r="V268" s="107"/>
      <c r="W268" s="107"/>
      <c r="X268" s="107"/>
      <c r="Y268" s="107"/>
      <c r="Z268" s="107"/>
      <c r="AA268" s="107"/>
      <c r="AB268" s="107"/>
      <c r="AC268" s="107"/>
      <c r="AD268" s="107"/>
      <c r="AE268" s="107"/>
      <c r="AF268" s="101"/>
      <c r="AG268" s="102">
        <f t="shared" si="77"/>
        <v>0</v>
      </c>
    </row>
    <row r="269" spans="1:33" x14ac:dyDescent="0.3">
      <c r="A269" s="106" t="s">
        <v>32</v>
      </c>
      <c r="B269" s="107">
        <f>J269+L269+N269+P269+R269+T269+V269+X269+Z269+AB269+AD269+H269</f>
        <v>0</v>
      </c>
      <c r="C269" s="107">
        <f>SUM(H269)</f>
        <v>0</v>
      </c>
      <c r="D269" s="107">
        <f>E269</f>
        <v>0</v>
      </c>
      <c r="E269" s="107">
        <f>SUM(I269,K269,M269,O269,Q269,S269,U269,W269,Y269,AA269,AC269,AE269)</f>
        <v>0</v>
      </c>
      <c r="F269" s="107">
        <f>IFERROR(E269/B269*100,0)</f>
        <v>0</v>
      </c>
      <c r="G269" s="107">
        <f>IFERROR(E269/C269*100,0)</f>
        <v>0</v>
      </c>
      <c r="H269" s="107"/>
      <c r="I269" s="107"/>
      <c r="J269" s="107"/>
      <c r="K269" s="107"/>
      <c r="L269" s="107"/>
      <c r="M269" s="107"/>
      <c r="N269" s="107"/>
      <c r="O269" s="107"/>
      <c r="P269" s="107"/>
      <c r="Q269" s="107"/>
      <c r="R269" s="107"/>
      <c r="S269" s="107"/>
      <c r="T269" s="107"/>
      <c r="U269" s="107"/>
      <c r="V269" s="107"/>
      <c r="W269" s="107"/>
      <c r="X269" s="107"/>
      <c r="Y269" s="107"/>
      <c r="Z269" s="107"/>
      <c r="AA269" s="107"/>
      <c r="AB269" s="107"/>
      <c r="AC269" s="107"/>
      <c r="AD269" s="107"/>
      <c r="AE269" s="107"/>
      <c r="AF269" s="101"/>
      <c r="AG269" s="102">
        <f t="shared" si="77"/>
        <v>0</v>
      </c>
    </row>
    <row r="270" spans="1:33" x14ac:dyDescent="0.3">
      <c r="A270" s="106" t="s">
        <v>33</v>
      </c>
      <c r="B270" s="107">
        <f>J270+L270+N270+P270+R270+T270+V270+X270+Z270+AB270+AD270+H270</f>
        <v>0</v>
      </c>
      <c r="C270" s="107">
        <f>SUM(H270)</f>
        <v>0</v>
      </c>
      <c r="D270" s="107">
        <f>E270</f>
        <v>0</v>
      </c>
      <c r="E270" s="107">
        <f>SUM(I270,K270,M270,O270,Q270,S270,U270,W270,Y270,AA270,AC270,AE270)</f>
        <v>0</v>
      </c>
      <c r="F270" s="107">
        <f>IFERROR(E270/B270*100,0)</f>
        <v>0</v>
      </c>
      <c r="G270" s="107">
        <f>IFERROR(E270/C270*100,0)</f>
        <v>0</v>
      </c>
      <c r="H270" s="107"/>
      <c r="I270" s="107"/>
      <c r="J270" s="107"/>
      <c r="K270" s="107"/>
      <c r="L270" s="107"/>
      <c r="M270" s="107"/>
      <c r="N270" s="107"/>
      <c r="O270" s="107"/>
      <c r="P270" s="107"/>
      <c r="Q270" s="107"/>
      <c r="R270" s="107"/>
      <c r="S270" s="107"/>
      <c r="T270" s="107"/>
      <c r="U270" s="107"/>
      <c r="V270" s="107"/>
      <c r="W270" s="107"/>
      <c r="X270" s="107"/>
      <c r="Y270" s="107"/>
      <c r="Z270" s="107"/>
      <c r="AA270" s="107"/>
      <c r="AB270" s="107"/>
      <c r="AC270" s="107"/>
      <c r="AD270" s="107"/>
      <c r="AE270" s="107"/>
      <c r="AF270" s="101"/>
      <c r="AG270" s="102">
        <f t="shared" si="77"/>
        <v>0</v>
      </c>
    </row>
    <row r="271" spans="1:33" x14ac:dyDescent="0.3">
      <c r="A271" s="106" t="s">
        <v>170</v>
      </c>
      <c r="B271" s="107">
        <f>J271+L271+N271+P271+R271+T271+V271+X271+Z271+AB271+AD271+H271</f>
        <v>0</v>
      </c>
      <c r="C271" s="107">
        <f>SUM(H271)</f>
        <v>0</v>
      </c>
      <c r="D271" s="107">
        <f>E271</f>
        <v>0</v>
      </c>
      <c r="E271" s="107">
        <f>SUM(I271,K271,M271,O271,Q271,S271,U271,W271,Y271,AA271,AC271,AE271)</f>
        <v>0</v>
      </c>
      <c r="F271" s="107">
        <f>IFERROR(E271/B271*100,0)</f>
        <v>0</v>
      </c>
      <c r="G271" s="107">
        <f>IFERROR(E271/C271*100,0)</f>
        <v>0</v>
      </c>
      <c r="H271" s="107"/>
      <c r="I271" s="107"/>
      <c r="J271" s="107"/>
      <c r="K271" s="107"/>
      <c r="L271" s="107"/>
      <c r="M271" s="107"/>
      <c r="N271" s="107"/>
      <c r="O271" s="107"/>
      <c r="P271" s="107"/>
      <c r="Q271" s="107"/>
      <c r="R271" s="107"/>
      <c r="S271" s="107"/>
      <c r="T271" s="107"/>
      <c r="U271" s="107"/>
      <c r="V271" s="107"/>
      <c r="W271" s="107"/>
      <c r="X271" s="107"/>
      <c r="Y271" s="107"/>
      <c r="Z271" s="107"/>
      <c r="AA271" s="107"/>
      <c r="AB271" s="107"/>
      <c r="AC271" s="107"/>
      <c r="AD271" s="107"/>
      <c r="AE271" s="107"/>
      <c r="AF271" s="101"/>
      <c r="AG271" s="102">
        <f t="shared" si="77"/>
        <v>0</v>
      </c>
    </row>
    <row r="272" spans="1:33" x14ac:dyDescent="0.3">
      <c r="A272" s="1032" t="s">
        <v>54</v>
      </c>
      <c r="B272" s="1033"/>
      <c r="C272" s="1033"/>
      <c r="D272" s="1033"/>
      <c r="E272" s="1033"/>
      <c r="F272" s="1033"/>
      <c r="G272" s="1033"/>
      <c r="H272" s="1033"/>
      <c r="I272" s="1033"/>
      <c r="J272" s="1033"/>
      <c r="K272" s="1033"/>
      <c r="L272" s="1033"/>
      <c r="M272" s="1033"/>
      <c r="N272" s="1033"/>
      <c r="O272" s="1033"/>
      <c r="P272" s="1033"/>
      <c r="Q272" s="1033"/>
      <c r="R272" s="1033"/>
      <c r="S272" s="1033"/>
      <c r="T272" s="1033"/>
      <c r="U272" s="1033"/>
      <c r="V272" s="1033"/>
      <c r="W272" s="1033"/>
      <c r="X272" s="1033"/>
      <c r="Y272" s="1033"/>
      <c r="Z272" s="1033"/>
      <c r="AA272" s="1033"/>
      <c r="AB272" s="1033"/>
      <c r="AC272" s="1033"/>
      <c r="AD272" s="1033"/>
      <c r="AE272" s="1033"/>
      <c r="AF272" s="1034"/>
      <c r="AG272" s="102">
        <f t="shared" si="37"/>
        <v>0</v>
      </c>
    </row>
    <row r="273" spans="1:33" ht="56.25" x14ac:dyDescent="0.3">
      <c r="A273" s="98" t="s">
        <v>302</v>
      </c>
      <c r="B273" s="143"/>
      <c r="C273" s="144"/>
      <c r="D273" s="144"/>
      <c r="E273" s="144"/>
      <c r="F273" s="144"/>
      <c r="G273" s="144"/>
      <c r="H273" s="143"/>
      <c r="I273" s="143"/>
      <c r="J273" s="143"/>
      <c r="K273" s="143"/>
      <c r="L273" s="143"/>
      <c r="M273" s="143"/>
      <c r="N273" s="143"/>
      <c r="O273" s="143"/>
      <c r="P273" s="143"/>
      <c r="Q273" s="143"/>
      <c r="R273" s="143"/>
      <c r="S273" s="143"/>
      <c r="T273" s="143"/>
      <c r="U273" s="143"/>
      <c r="V273" s="143"/>
      <c r="W273" s="143"/>
      <c r="X273" s="143"/>
      <c r="Y273" s="143"/>
      <c r="Z273" s="143"/>
      <c r="AA273" s="143"/>
      <c r="AB273" s="143"/>
      <c r="AC273" s="143"/>
      <c r="AD273" s="143"/>
      <c r="AE273" s="143"/>
      <c r="AF273" s="101"/>
      <c r="AG273" s="102">
        <f t="shared" si="37"/>
        <v>0</v>
      </c>
    </row>
    <row r="274" spans="1:33" x14ac:dyDescent="0.3">
      <c r="A274" s="145" t="s">
        <v>31</v>
      </c>
      <c r="B274" s="104">
        <f>B275+B276+B277+B278</f>
        <v>63044.200999999994</v>
      </c>
      <c r="C274" s="104">
        <f>C275+C276+C277+C278</f>
        <v>23302.041000000001</v>
      </c>
      <c r="D274" s="104">
        <f>D275+D276+D277+D278</f>
        <v>33898.080000000002</v>
      </c>
      <c r="E274" s="104">
        <f>E275+E276+E277+E278</f>
        <v>33898.080000000002</v>
      </c>
      <c r="F274" s="107">
        <f>IFERROR(E274/B274*100,0)</f>
        <v>53.768751863474343</v>
      </c>
      <c r="G274" s="107">
        <f>IFERROR(E274/C274*100,0)</f>
        <v>145.47257898996918</v>
      </c>
      <c r="H274" s="104">
        <f t="shared" ref="H274:AE274" si="79">H275+H276+H277+H278</f>
        <v>5906.3990000000003</v>
      </c>
      <c r="I274" s="104">
        <f t="shared" si="79"/>
        <v>4337.3</v>
      </c>
      <c r="J274" s="104">
        <f t="shared" si="79"/>
        <v>7622.0030000000006</v>
      </c>
      <c r="K274" s="104">
        <f t="shared" si="79"/>
        <v>8336</v>
      </c>
      <c r="L274" s="104">
        <f t="shared" si="79"/>
        <v>5109.2690000000002</v>
      </c>
      <c r="M274" s="104">
        <f t="shared" si="79"/>
        <v>4409.41</v>
      </c>
      <c r="N274" s="104">
        <f t="shared" si="79"/>
        <v>4664.37</v>
      </c>
      <c r="O274" s="104">
        <f t="shared" si="79"/>
        <v>4500.7299999999996</v>
      </c>
      <c r="P274" s="104">
        <f t="shared" si="79"/>
        <v>10177.451000000001</v>
      </c>
      <c r="Q274" s="104">
        <f t="shared" si="79"/>
        <v>8177.45</v>
      </c>
      <c r="R274" s="104">
        <f t="shared" si="79"/>
        <v>9085.4714000000004</v>
      </c>
      <c r="S274" s="104">
        <f t="shared" si="79"/>
        <v>4137.1899999999996</v>
      </c>
      <c r="T274" s="104">
        <f t="shared" si="79"/>
        <v>4383.4030000000002</v>
      </c>
      <c r="U274" s="104">
        <f t="shared" si="79"/>
        <v>0</v>
      </c>
      <c r="V274" s="104">
        <f t="shared" si="79"/>
        <v>4911.7543999999998</v>
      </c>
      <c r="W274" s="104">
        <f t="shared" si="79"/>
        <v>0</v>
      </c>
      <c r="X274" s="104">
        <f t="shared" si="79"/>
        <v>3066.8019999999997</v>
      </c>
      <c r="Y274" s="104">
        <f t="shared" si="79"/>
        <v>0</v>
      </c>
      <c r="Z274" s="104">
        <f t="shared" si="79"/>
        <v>3727.5829999999996</v>
      </c>
      <c r="AA274" s="104">
        <f t="shared" si="79"/>
        <v>0</v>
      </c>
      <c r="AB274" s="104">
        <f t="shared" si="79"/>
        <v>1989</v>
      </c>
      <c r="AC274" s="104">
        <f t="shared" si="79"/>
        <v>0</v>
      </c>
      <c r="AD274" s="104">
        <f t="shared" si="79"/>
        <v>2400.6952000000001</v>
      </c>
      <c r="AE274" s="104">
        <f t="shared" si="79"/>
        <v>0</v>
      </c>
      <c r="AF274" s="101"/>
      <c r="AG274" s="102">
        <f t="shared" si="37"/>
        <v>-6.3664629124104977E-12</v>
      </c>
    </row>
    <row r="275" spans="1:33" x14ac:dyDescent="0.3">
      <c r="A275" s="146" t="s">
        <v>169</v>
      </c>
      <c r="B275" s="107">
        <f>J275+L275+N275+P275+R275+T275+V275+X275+Z275+AB275+AD275+H275</f>
        <v>0</v>
      </c>
      <c r="C275" s="107">
        <f>SUM(H275)</f>
        <v>0</v>
      </c>
      <c r="D275" s="107">
        <f>E275</f>
        <v>0</v>
      </c>
      <c r="E275" s="107">
        <f>SUM(I275,K275,M275,O275,Q275,S275,U275,W275,Y275,AA275,AC275,AE275)</f>
        <v>0</v>
      </c>
      <c r="F275" s="107">
        <f>IFERROR(E275/B275*100,0)</f>
        <v>0</v>
      </c>
      <c r="G275" s="107">
        <f>IFERROR(E275/C275*100,0)</f>
        <v>0</v>
      </c>
      <c r="H275" s="107">
        <f>H281+H287+H293</f>
        <v>0</v>
      </c>
      <c r="I275" s="107">
        <f t="shared" ref="I275:AE278" si="80">I281+I287+I293</f>
        <v>0</v>
      </c>
      <c r="J275" s="107">
        <f t="shared" si="80"/>
        <v>0</v>
      </c>
      <c r="K275" s="107">
        <f t="shared" si="80"/>
        <v>0</v>
      </c>
      <c r="L275" s="107">
        <f t="shared" si="80"/>
        <v>0</v>
      </c>
      <c r="M275" s="107">
        <f t="shared" si="80"/>
        <v>0</v>
      </c>
      <c r="N275" s="107">
        <f t="shared" si="80"/>
        <v>0</v>
      </c>
      <c r="O275" s="107">
        <f t="shared" si="80"/>
        <v>0</v>
      </c>
      <c r="P275" s="107">
        <f t="shared" si="80"/>
        <v>0</v>
      </c>
      <c r="Q275" s="107">
        <f t="shared" si="80"/>
        <v>0</v>
      </c>
      <c r="R275" s="107">
        <f t="shared" si="80"/>
        <v>0</v>
      </c>
      <c r="S275" s="107">
        <f t="shared" si="80"/>
        <v>0</v>
      </c>
      <c r="T275" s="107">
        <f t="shared" si="80"/>
        <v>0</v>
      </c>
      <c r="U275" s="107">
        <f t="shared" si="80"/>
        <v>0</v>
      </c>
      <c r="V275" s="107">
        <f t="shared" si="80"/>
        <v>0</v>
      </c>
      <c r="W275" s="107">
        <f t="shared" si="80"/>
        <v>0</v>
      </c>
      <c r="X275" s="107">
        <f t="shared" si="80"/>
        <v>0</v>
      </c>
      <c r="Y275" s="107">
        <f t="shared" si="80"/>
        <v>0</v>
      </c>
      <c r="Z275" s="107">
        <f t="shared" si="80"/>
        <v>0</v>
      </c>
      <c r="AA275" s="107">
        <f t="shared" si="80"/>
        <v>0</v>
      </c>
      <c r="AB275" s="107">
        <f t="shared" si="80"/>
        <v>0</v>
      </c>
      <c r="AC275" s="107">
        <f t="shared" si="80"/>
        <v>0</v>
      </c>
      <c r="AD275" s="107">
        <f t="shared" si="80"/>
        <v>0</v>
      </c>
      <c r="AE275" s="107">
        <f t="shared" si="80"/>
        <v>0</v>
      </c>
      <c r="AF275" s="101"/>
      <c r="AG275" s="102">
        <f t="shared" si="37"/>
        <v>0</v>
      </c>
    </row>
    <row r="276" spans="1:33" x14ac:dyDescent="0.3">
      <c r="A276" s="146" t="s">
        <v>32</v>
      </c>
      <c r="B276" s="107">
        <f>J276+L276+N276+P276+R276+T276+V276+X276+Z276+AB276+AD276+H276</f>
        <v>0</v>
      </c>
      <c r="C276" s="107">
        <f>SUM(H276)</f>
        <v>0</v>
      </c>
      <c r="D276" s="107">
        <f>E276</f>
        <v>0</v>
      </c>
      <c r="E276" s="107">
        <f>SUM(I276,K276,M276,O276,Q276,S276,U276,W276,Y276,AA276,AC276,AE276)</f>
        <v>0</v>
      </c>
      <c r="F276" s="107">
        <f>IFERROR(E276/B276*100,0)</f>
        <v>0</v>
      </c>
      <c r="G276" s="107">
        <f>IFERROR(E276/C276*100,0)</f>
        <v>0</v>
      </c>
      <c r="H276" s="107">
        <f>H282+H288+H294</f>
        <v>0</v>
      </c>
      <c r="I276" s="107">
        <f t="shared" ref="I276:W276" si="81">I282+I288+I294</f>
        <v>0</v>
      </c>
      <c r="J276" s="107">
        <f t="shared" si="81"/>
        <v>0</v>
      </c>
      <c r="K276" s="107">
        <f t="shared" si="81"/>
        <v>0</v>
      </c>
      <c r="L276" s="107">
        <f t="shared" si="81"/>
        <v>0</v>
      </c>
      <c r="M276" s="107">
        <f t="shared" si="81"/>
        <v>0</v>
      </c>
      <c r="N276" s="107">
        <f t="shared" si="81"/>
        <v>0</v>
      </c>
      <c r="O276" s="107">
        <f t="shared" si="81"/>
        <v>0</v>
      </c>
      <c r="P276" s="107">
        <f t="shared" si="81"/>
        <v>0</v>
      </c>
      <c r="Q276" s="107">
        <f t="shared" si="81"/>
        <v>0</v>
      </c>
      <c r="R276" s="107">
        <f t="shared" si="81"/>
        <v>0</v>
      </c>
      <c r="S276" s="107">
        <f t="shared" si="81"/>
        <v>0</v>
      </c>
      <c r="T276" s="107">
        <f t="shared" si="81"/>
        <v>0</v>
      </c>
      <c r="U276" s="107">
        <f t="shared" si="81"/>
        <v>0</v>
      </c>
      <c r="V276" s="107">
        <f t="shared" si="81"/>
        <v>0</v>
      </c>
      <c r="W276" s="107">
        <f t="shared" si="81"/>
        <v>0</v>
      </c>
      <c r="X276" s="107">
        <f t="shared" si="80"/>
        <v>0</v>
      </c>
      <c r="Y276" s="107">
        <f t="shared" si="80"/>
        <v>0</v>
      </c>
      <c r="Z276" s="107">
        <f t="shared" si="80"/>
        <v>0</v>
      </c>
      <c r="AA276" s="107">
        <f t="shared" si="80"/>
        <v>0</v>
      </c>
      <c r="AB276" s="107">
        <f t="shared" si="80"/>
        <v>0</v>
      </c>
      <c r="AC276" s="107">
        <f t="shared" si="80"/>
        <v>0</v>
      </c>
      <c r="AD276" s="107">
        <f t="shared" si="80"/>
        <v>0</v>
      </c>
      <c r="AE276" s="107">
        <f t="shared" si="80"/>
        <v>0</v>
      </c>
      <c r="AF276" s="101"/>
      <c r="AG276" s="102">
        <f t="shared" si="37"/>
        <v>0</v>
      </c>
    </row>
    <row r="277" spans="1:33" x14ac:dyDescent="0.3">
      <c r="A277" s="146" t="s">
        <v>33</v>
      </c>
      <c r="B277" s="107">
        <f>J277+L277+N277+P277+R277+T277+V277+X277+Z277+AB277+AD277+H277</f>
        <v>63044.200999999994</v>
      </c>
      <c r="C277" s="107">
        <f>SUM(H277+J277+L277+N277)</f>
        <v>23302.041000000001</v>
      </c>
      <c r="D277" s="107">
        <f>E277</f>
        <v>33898.080000000002</v>
      </c>
      <c r="E277" s="107">
        <f>SUM(I277,K277,M277,O277,Q277,S277,U277,W277,Y277,AA277,AC277,AE277)</f>
        <v>33898.080000000002</v>
      </c>
      <c r="F277" s="107">
        <f>IFERROR(E277/B277*100,0)</f>
        <v>53.768751863474343</v>
      </c>
      <c r="G277" s="107">
        <f>IFERROR(E277/C277*100,0)</f>
        <v>145.47257898996918</v>
      </c>
      <c r="H277" s="107">
        <f>H283+H289+H295</f>
        <v>5906.3990000000003</v>
      </c>
      <c r="I277" s="107">
        <f t="shared" si="80"/>
        <v>4337.3</v>
      </c>
      <c r="J277" s="107">
        <f>J283+J289+J295</f>
        <v>7622.0030000000006</v>
      </c>
      <c r="K277" s="107">
        <f t="shared" si="80"/>
        <v>8336</v>
      </c>
      <c r="L277" s="107">
        <f t="shared" si="80"/>
        <v>5109.2690000000002</v>
      </c>
      <c r="M277" s="107">
        <f t="shared" si="80"/>
        <v>4409.41</v>
      </c>
      <c r="N277" s="107">
        <f t="shared" si="80"/>
        <v>4664.37</v>
      </c>
      <c r="O277" s="107">
        <f t="shared" si="80"/>
        <v>4500.7299999999996</v>
      </c>
      <c r="P277" s="107">
        <f t="shared" si="80"/>
        <v>10177.451000000001</v>
      </c>
      <c r="Q277" s="107">
        <f t="shared" si="80"/>
        <v>8177.45</v>
      </c>
      <c r="R277" s="107">
        <f t="shared" si="80"/>
        <v>9085.4714000000004</v>
      </c>
      <c r="S277" s="107">
        <f t="shared" si="80"/>
        <v>4137.1899999999996</v>
      </c>
      <c r="T277" s="107">
        <f t="shared" si="80"/>
        <v>4383.4030000000002</v>
      </c>
      <c r="U277" s="107">
        <f t="shared" si="80"/>
        <v>0</v>
      </c>
      <c r="V277" s="107">
        <f t="shared" si="80"/>
        <v>4911.7543999999998</v>
      </c>
      <c r="W277" s="107">
        <f t="shared" si="80"/>
        <v>0</v>
      </c>
      <c r="X277" s="107">
        <f t="shared" si="80"/>
        <v>3066.8019999999997</v>
      </c>
      <c r="Y277" s="107">
        <f t="shared" si="80"/>
        <v>0</v>
      </c>
      <c r="Z277" s="107">
        <f t="shared" si="80"/>
        <v>3727.5829999999996</v>
      </c>
      <c r="AA277" s="107">
        <f t="shared" si="80"/>
        <v>0</v>
      </c>
      <c r="AB277" s="107">
        <f t="shared" si="80"/>
        <v>1989</v>
      </c>
      <c r="AC277" s="107">
        <f t="shared" si="80"/>
        <v>0</v>
      </c>
      <c r="AD277" s="107">
        <f t="shared" si="80"/>
        <v>2400.6952000000001</v>
      </c>
      <c r="AE277" s="107">
        <f t="shared" si="80"/>
        <v>0</v>
      </c>
      <c r="AF277" s="101"/>
      <c r="AG277" s="102">
        <f t="shared" si="37"/>
        <v>-6.3664629124104977E-12</v>
      </c>
    </row>
    <row r="278" spans="1:33" x14ac:dyDescent="0.3">
      <c r="A278" s="146" t="s">
        <v>170</v>
      </c>
      <c r="B278" s="107">
        <f>J278+L278+N278+P278+R278+T278+V278+X278+Z278+AB278+AD278+H278</f>
        <v>0</v>
      </c>
      <c r="C278" s="107">
        <f>SUM(H278)</f>
        <v>0</v>
      </c>
      <c r="D278" s="107">
        <f>E278</f>
        <v>0</v>
      </c>
      <c r="E278" s="107">
        <f>SUM(I278,K278,M278,O278,Q278,S278,U278,W278,Y278,AA278,AC278,AE278)</f>
        <v>0</v>
      </c>
      <c r="F278" s="107">
        <f>IFERROR(E278/B278*100,0)</f>
        <v>0</v>
      </c>
      <c r="G278" s="107">
        <f>IFERROR(E278/C278*100,0)</f>
        <v>0</v>
      </c>
      <c r="H278" s="107">
        <f>H284+H290+H296</f>
        <v>0</v>
      </c>
      <c r="I278" s="107">
        <f t="shared" si="80"/>
        <v>0</v>
      </c>
      <c r="J278" s="107">
        <f t="shared" si="80"/>
        <v>0</v>
      </c>
      <c r="K278" s="107">
        <f t="shared" si="80"/>
        <v>0</v>
      </c>
      <c r="L278" s="107">
        <f t="shared" si="80"/>
        <v>0</v>
      </c>
      <c r="M278" s="107">
        <f t="shared" si="80"/>
        <v>0</v>
      </c>
      <c r="N278" s="107">
        <f t="shared" si="80"/>
        <v>0</v>
      </c>
      <c r="O278" s="107">
        <f t="shared" si="80"/>
        <v>0</v>
      </c>
      <c r="P278" s="107">
        <f t="shared" si="80"/>
        <v>0</v>
      </c>
      <c r="Q278" s="107">
        <f t="shared" si="80"/>
        <v>0</v>
      </c>
      <c r="R278" s="107">
        <f t="shared" si="80"/>
        <v>0</v>
      </c>
      <c r="S278" s="107">
        <f t="shared" si="80"/>
        <v>0</v>
      </c>
      <c r="T278" s="107">
        <f t="shared" si="80"/>
        <v>0</v>
      </c>
      <c r="U278" s="107">
        <f t="shared" si="80"/>
        <v>0</v>
      </c>
      <c r="V278" s="107">
        <f t="shared" si="80"/>
        <v>0</v>
      </c>
      <c r="W278" s="107">
        <f t="shared" si="80"/>
        <v>0</v>
      </c>
      <c r="X278" s="107">
        <f t="shared" si="80"/>
        <v>0</v>
      </c>
      <c r="Y278" s="107">
        <f t="shared" si="80"/>
        <v>0</v>
      </c>
      <c r="Z278" s="107">
        <f t="shared" si="80"/>
        <v>0</v>
      </c>
      <c r="AA278" s="107">
        <f t="shared" si="80"/>
        <v>0</v>
      </c>
      <c r="AB278" s="107">
        <f t="shared" si="80"/>
        <v>0</v>
      </c>
      <c r="AC278" s="107">
        <f t="shared" si="80"/>
        <v>0</v>
      </c>
      <c r="AD278" s="107">
        <f t="shared" si="80"/>
        <v>0</v>
      </c>
      <c r="AE278" s="107">
        <f t="shared" si="80"/>
        <v>0</v>
      </c>
      <c r="AF278" s="101"/>
      <c r="AG278" s="102">
        <f t="shared" si="37"/>
        <v>0</v>
      </c>
    </row>
    <row r="279" spans="1:33" ht="134.25" customHeight="1" x14ac:dyDescent="0.3">
      <c r="A279" s="787" t="s">
        <v>303</v>
      </c>
      <c r="B279" s="627"/>
      <c r="C279" s="635"/>
      <c r="D279" s="110"/>
      <c r="E279" s="110"/>
      <c r="F279" s="110"/>
      <c r="G279" s="110"/>
      <c r="H279" s="111"/>
      <c r="I279" s="111"/>
      <c r="J279" s="111"/>
      <c r="K279" s="111"/>
      <c r="L279" s="111"/>
      <c r="M279" s="111"/>
      <c r="N279" s="111"/>
      <c r="O279" s="111"/>
      <c r="P279" s="111"/>
      <c r="Q279" s="111"/>
      <c r="R279" s="111"/>
      <c r="S279" s="111"/>
      <c r="T279" s="111"/>
      <c r="U279" s="111"/>
      <c r="V279" s="111"/>
      <c r="W279" s="111"/>
      <c r="X279" s="111"/>
      <c r="Y279" s="111"/>
      <c r="Z279" s="111"/>
      <c r="AA279" s="111"/>
      <c r="AB279" s="111"/>
      <c r="AC279" s="111"/>
      <c r="AD279" s="111"/>
      <c r="AE279" s="111"/>
      <c r="AF279" s="29"/>
      <c r="AG279" s="102">
        <f t="shared" si="37"/>
        <v>0</v>
      </c>
    </row>
    <row r="280" spans="1:33" x14ac:dyDescent="0.3">
      <c r="A280" s="623" t="s">
        <v>31</v>
      </c>
      <c r="B280" s="624">
        <f>B282+B283+B281+B284</f>
        <v>49088.5</v>
      </c>
      <c r="C280" s="624">
        <f>C282+C283+C281+C284</f>
        <v>31862.5484</v>
      </c>
      <c r="D280" s="114">
        <f>D282+D283+D281+D284</f>
        <v>23235.659999999996</v>
      </c>
      <c r="E280" s="113">
        <f>E282+E283+E281+E284</f>
        <v>23235.659999999996</v>
      </c>
      <c r="F280" s="113">
        <f>IFERROR(E280/B280*100,0)</f>
        <v>47.334222883159995</v>
      </c>
      <c r="G280" s="113">
        <f>IFERROR(E280/C280*100,0)</f>
        <v>72.924675416107007</v>
      </c>
      <c r="H280" s="113">
        <f t="shared" ref="H280:AE280" si="82">H282+H283+H281+H284</f>
        <v>4939</v>
      </c>
      <c r="I280" s="113">
        <f t="shared" si="82"/>
        <v>3369.9</v>
      </c>
      <c r="J280" s="113">
        <f t="shared" si="82"/>
        <v>3643.4</v>
      </c>
      <c r="K280" s="113">
        <f t="shared" si="82"/>
        <v>4397.3999999999996</v>
      </c>
      <c r="L280" s="113">
        <f t="shared" si="82"/>
        <v>3950.48</v>
      </c>
      <c r="M280" s="113">
        <f>M282+M283+M281+M284</f>
        <v>3250.62</v>
      </c>
      <c r="N280" s="113">
        <f t="shared" si="82"/>
        <v>3420.2</v>
      </c>
      <c r="O280" s="113">
        <f t="shared" si="82"/>
        <v>3256.56</v>
      </c>
      <c r="P280" s="113">
        <f t="shared" si="82"/>
        <v>8062</v>
      </c>
      <c r="Q280" s="113">
        <f t="shared" si="82"/>
        <v>6062</v>
      </c>
      <c r="R280" s="113">
        <f t="shared" si="82"/>
        <v>7847.4683999999997</v>
      </c>
      <c r="S280" s="113">
        <f t="shared" si="82"/>
        <v>2899.18</v>
      </c>
      <c r="T280" s="113">
        <f t="shared" si="82"/>
        <v>3461</v>
      </c>
      <c r="U280" s="113">
        <f t="shared" si="82"/>
        <v>0</v>
      </c>
      <c r="V280" s="113">
        <f t="shared" si="82"/>
        <v>3890.1163999999999</v>
      </c>
      <c r="W280" s="113">
        <f t="shared" si="82"/>
        <v>0</v>
      </c>
      <c r="X280" s="113">
        <f t="shared" si="82"/>
        <v>2024</v>
      </c>
      <c r="Y280" s="113">
        <f t="shared" si="82"/>
        <v>0</v>
      </c>
      <c r="Z280" s="113">
        <f t="shared" si="82"/>
        <v>3481.14</v>
      </c>
      <c r="AA280" s="113">
        <f t="shared" si="82"/>
        <v>0</v>
      </c>
      <c r="AB280" s="113">
        <f t="shared" si="82"/>
        <v>1969</v>
      </c>
      <c r="AC280" s="113">
        <f t="shared" si="82"/>
        <v>0</v>
      </c>
      <c r="AD280" s="113">
        <f t="shared" si="82"/>
        <v>2400.6952000000001</v>
      </c>
      <c r="AE280" s="113">
        <f t="shared" si="82"/>
        <v>0</v>
      </c>
      <c r="AF280" s="29"/>
      <c r="AG280" s="102">
        <f t="shared" si="37"/>
        <v>0</v>
      </c>
    </row>
    <row r="281" spans="1:33" x14ac:dyDescent="0.3">
      <c r="A281" s="626" t="s">
        <v>169</v>
      </c>
      <c r="B281" s="627">
        <f>J281+L281+N281+P281+R281+T281+V281+X281+Z281+AB281+AD281+H281</f>
        <v>0</v>
      </c>
      <c r="C281" s="786">
        <f>SUM(H281)</f>
        <v>0</v>
      </c>
      <c r="D281" s="118">
        <f>E281</f>
        <v>0</v>
      </c>
      <c r="E281" s="117">
        <f>SUM(I281,K281,M281,O281,Q281,S281,U281,W281,Y281,AA281,AC281,AE281)</f>
        <v>0</v>
      </c>
      <c r="F281" s="116">
        <f>IFERROR(E281/B281*100,0)</f>
        <v>0</v>
      </c>
      <c r="G281" s="116">
        <f>IFERROR(E281/C281*100,0)</f>
        <v>0</v>
      </c>
      <c r="H281" s="111"/>
      <c r="I281" s="111"/>
      <c r="J281" s="111"/>
      <c r="K281" s="111"/>
      <c r="L281" s="111"/>
      <c r="M281" s="111"/>
      <c r="N281" s="111"/>
      <c r="O281" s="111"/>
      <c r="P281" s="111"/>
      <c r="Q281" s="111"/>
      <c r="R281" s="111"/>
      <c r="S281" s="111"/>
      <c r="T281" s="111"/>
      <c r="U281" s="111"/>
      <c r="V281" s="111"/>
      <c r="W281" s="111"/>
      <c r="X281" s="111"/>
      <c r="Y281" s="111"/>
      <c r="Z281" s="111"/>
      <c r="AA281" s="111"/>
      <c r="AB281" s="111"/>
      <c r="AC281" s="111"/>
      <c r="AD281" s="111"/>
      <c r="AE281" s="111"/>
      <c r="AF281" s="29"/>
      <c r="AG281" s="102">
        <f t="shared" si="37"/>
        <v>0</v>
      </c>
    </row>
    <row r="282" spans="1:33" x14ac:dyDescent="0.3">
      <c r="A282" s="626" t="s">
        <v>32</v>
      </c>
      <c r="B282" s="627">
        <f>J282+L282+N282+P282+R282+T282+V282+X282+Z282+AB282+AD282+H282</f>
        <v>0</v>
      </c>
      <c r="C282" s="786">
        <f>SUM(H282)</f>
        <v>0</v>
      </c>
      <c r="D282" s="118">
        <f>E282</f>
        <v>0</v>
      </c>
      <c r="E282" s="117">
        <f>SUM(I282,K282,M282,O282,Q282,S282,U282,W282,Y282,AA282,AC282,AE282)</f>
        <v>0</v>
      </c>
      <c r="F282" s="116">
        <f>IFERROR(E282/B282*100,0)</f>
        <v>0</v>
      </c>
      <c r="G282" s="116">
        <f>IFERROR(E282/C282*100,0)</f>
        <v>0</v>
      </c>
      <c r="H282" s="111"/>
      <c r="I282" s="111"/>
      <c r="J282" s="111"/>
      <c r="K282" s="111"/>
      <c r="L282" s="111"/>
      <c r="M282" s="111"/>
      <c r="N282" s="111"/>
      <c r="O282" s="111"/>
      <c r="P282" s="111"/>
      <c r="Q282" s="111"/>
      <c r="R282" s="111"/>
      <c r="S282" s="111"/>
      <c r="T282" s="111"/>
      <c r="U282" s="111"/>
      <c r="V282" s="111"/>
      <c r="W282" s="111"/>
      <c r="X282" s="111"/>
      <c r="Y282" s="111"/>
      <c r="Z282" s="111"/>
      <c r="AA282" s="111"/>
      <c r="AB282" s="111"/>
      <c r="AC282" s="111"/>
      <c r="AD282" s="111"/>
      <c r="AE282" s="111"/>
      <c r="AF282" s="29"/>
      <c r="AG282" s="102">
        <f t="shared" si="37"/>
        <v>0</v>
      </c>
    </row>
    <row r="283" spans="1:33" x14ac:dyDescent="0.3">
      <c r="A283" s="626" t="s">
        <v>33</v>
      </c>
      <c r="B283" s="627">
        <f>J283+L283+N283+P283+R283+T283+V283+X283+Z283+AB283+AD283+H283</f>
        <v>49088.5</v>
      </c>
      <c r="C283" s="786">
        <f>H283+J283+L283+N283+P283+R283</f>
        <v>31862.5484</v>
      </c>
      <c r="D283" s="118">
        <f>E283</f>
        <v>23235.659999999996</v>
      </c>
      <c r="E283" s="117">
        <f>SUM(I283,K283,M283,O283,Q283,S283,U283,W283,Y283,AA283,AC283,AE283)</f>
        <v>23235.659999999996</v>
      </c>
      <c r="F283" s="116">
        <f>IFERROR(E283/B283*100,0)</f>
        <v>47.334222883159995</v>
      </c>
      <c r="G283" s="116">
        <f>IFERROR(E283/C283*100,0)</f>
        <v>72.924675416107007</v>
      </c>
      <c r="H283" s="111">
        <v>4939</v>
      </c>
      <c r="I283" s="111">
        <v>3369.9</v>
      </c>
      <c r="J283" s="111">
        <f>1024.4+2619</f>
        <v>3643.4</v>
      </c>
      <c r="K283" s="111">
        <v>4397.3999999999996</v>
      </c>
      <c r="L283" s="111">
        <f>20.48+3930</f>
        <v>3950.48</v>
      </c>
      <c r="M283" s="111">
        <v>3250.62</v>
      </c>
      <c r="N283" s="111">
        <v>3420.2</v>
      </c>
      <c r="O283" s="111">
        <v>3256.56</v>
      </c>
      <c r="P283" s="111">
        <v>8062</v>
      </c>
      <c r="Q283" s="111">
        <v>6062</v>
      </c>
      <c r="R283" s="111">
        <f>7265.0884-20.48+602.86</f>
        <v>7847.4683999999997</v>
      </c>
      <c r="S283" s="111">
        <v>2899.18</v>
      </c>
      <c r="T283" s="111">
        <v>3461</v>
      </c>
      <c r="U283" s="111"/>
      <c r="V283" s="111">
        <v>3890.1163999999999</v>
      </c>
      <c r="W283" s="111"/>
      <c r="X283" s="111">
        <v>2024</v>
      </c>
      <c r="Y283" s="111"/>
      <c r="Z283" s="111">
        <f>4084-602.86</f>
        <v>3481.14</v>
      </c>
      <c r="AA283" s="111"/>
      <c r="AB283" s="111">
        <v>1969</v>
      </c>
      <c r="AC283" s="111"/>
      <c r="AD283" s="111">
        <f>3425.0952-1024.4</f>
        <v>2400.6952000000001</v>
      </c>
      <c r="AE283" s="111"/>
      <c r="AF283" s="29"/>
      <c r="AG283" s="102">
        <f t="shared" si="37"/>
        <v>0</v>
      </c>
    </row>
    <row r="284" spans="1:33" x14ac:dyDescent="0.3">
      <c r="A284" s="626" t="s">
        <v>170</v>
      </c>
      <c r="B284" s="627"/>
      <c r="C284" s="786"/>
      <c r="D284" s="118"/>
      <c r="E284" s="117"/>
      <c r="F284" s="116"/>
      <c r="G284" s="116"/>
      <c r="H284" s="111"/>
      <c r="I284" s="111"/>
      <c r="J284" s="111"/>
      <c r="K284" s="111"/>
      <c r="L284" s="111"/>
      <c r="M284" s="111"/>
      <c r="N284" s="111"/>
      <c r="O284" s="111"/>
      <c r="P284" s="111"/>
      <c r="Q284" s="111"/>
      <c r="R284" s="111"/>
      <c r="S284" s="111"/>
      <c r="T284" s="111"/>
      <c r="U284" s="111"/>
      <c r="V284" s="111"/>
      <c r="W284" s="111"/>
      <c r="X284" s="111"/>
      <c r="Y284" s="111"/>
      <c r="Z284" s="111"/>
      <c r="AA284" s="111"/>
      <c r="AB284" s="111"/>
      <c r="AC284" s="111"/>
      <c r="AD284" s="111"/>
      <c r="AE284" s="111"/>
      <c r="AF284" s="29"/>
      <c r="AG284" s="102">
        <f t="shared" si="37"/>
        <v>0</v>
      </c>
    </row>
    <row r="285" spans="1:33" ht="41.25" customHeight="1" x14ac:dyDescent="0.3">
      <c r="A285" s="787" t="s">
        <v>304</v>
      </c>
      <c r="B285" s="627"/>
      <c r="C285" s="635"/>
      <c r="D285" s="110"/>
      <c r="E285" s="110"/>
      <c r="F285" s="110"/>
      <c r="G285" s="110"/>
      <c r="H285" s="111"/>
      <c r="I285" s="111"/>
      <c r="J285" s="111"/>
      <c r="K285" s="111"/>
      <c r="L285" s="111"/>
      <c r="M285" s="111"/>
      <c r="N285" s="111"/>
      <c r="O285" s="111"/>
      <c r="P285" s="111"/>
      <c r="Q285" s="111"/>
      <c r="R285" s="111"/>
      <c r="S285" s="111"/>
      <c r="T285" s="111"/>
      <c r="U285" s="111"/>
      <c r="V285" s="111"/>
      <c r="W285" s="111"/>
      <c r="X285" s="111"/>
      <c r="Y285" s="111"/>
      <c r="Z285" s="111"/>
      <c r="AA285" s="111"/>
      <c r="AB285" s="111"/>
      <c r="AC285" s="111"/>
      <c r="AD285" s="111"/>
      <c r="AE285" s="111"/>
      <c r="AF285" s="29"/>
      <c r="AG285" s="102">
        <f t="shared" si="37"/>
        <v>0</v>
      </c>
    </row>
    <row r="286" spans="1:33" x14ac:dyDescent="0.3">
      <c r="A286" s="623" t="s">
        <v>31</v>
      </c>
      <c r="B286" s="624">
        <f>B288+B289+B287+B290</f>
        <v>100</v>
      </c>
      <c r="C286" s="624">
        <f>C288+C289+C287+C290</f>
        <v>40</v>
      </c>
      <c r="D286" s="114">
        <f>D288+D289+D287+D290</f>
        <v>0</v>
      </c>
      <c r="E286" s="113">
        <f>E288+E289+E287+E290</f>
        <v>0</v>
      </c>
      <c r="F286" s="113">
        <f>IFERROR(E286/B286*100,0)</f>
        <v>0</v>
      </c>
      <c r="G286" s="113">
        <f>IFERROR(E286/C286*100,0)</f>
        <v>0</v>
      </c>
      <c r="H286" s="113">
        <f t="shared" ref="H286:AE286" si="83">H288+H289+H287+H290</f>
        <v>0</v>
      </c>
      <c r="I286" s="113">
        <f t="shared" si="83"/>
        <v>0</v>
      </c>
      <c r="J286" s="113">
        <f t="shared" si="83"/>
        <v>40</v>
      </c>
      <c r="K286" s="113">
        <f t="shared" si="83"/>
        <v>0</v>
      </c>
      <c r="L286" s="113">
        <f t="shared" si="83"/>
        <v>0</v>
      </c>
      <c r="M286" s="113">
        <f t="shared" si="83"/>
        <v>0</v>
      </c>
      <c r="N286" s="113">
        <f t="shared" si="83"/>
        <v>0</v>
      </c>
      <c r="O286" s="113">
        <f t="shared" si="83"/>
        <v>0</v>
      </c>
      <c r="P286" s="113">
        <f t="shared" si="83"/>
        <v>0</v>
      </c>
      <c r="Q286" s="113">
        <f t="shared" si="83"/>
        <v>0</v>
      </c>
      <c r="R286" s="113">
        <f t="shared" si="83"/>
        <v>0</v>
      </c>
      <c r="S286" s="113">
        <f t="shared" si="83"/>
        <v>0</v>
      </c>
      <c r="T286" s="113">
        <f t="shared" si="83"/>
        <v>0</v>
      </c>
      <c r="U286" s="113">
        <f t="shared" si="83"/>
        <v>0</v>
      </c>
      <c r="V286" s="113">
        <f t="shared" si="83"/>
        <v>40</v>
      </c>
      <c r="W286" s="113">
        <f t="shared" si="83"/>
        <v>0</v>
      </c>
      <c r="X286" s="113">
        <f t="shared" si="83"/>
        <v>0</v>
      </c>
      <c r="Y286" s="113">
        <f t="shared" si="83"/>
        <v>0</v>
      </c>
      <c r="Z286" s="113">
        <f t="shared" si="83"/>
        <v>0</v>
      </c>
      <c r="AA286" s="113">
        <f t="shared" si="83"/>
        <v>0</v>
      </c>
      <c r="AB286" s="113">
        <f t="shared" si="83"/>
        <v>20</v>
      </c>
      <c r="AC286" s="113">
        <f t="shared" si="83"/>
        <v>0</v>
      </c>
      <c r="AD286" s="113">
        <f t="shared" si="83"/>
        <v>0</v>
      </c>
      <c r="AE286" s="113">
        <f t="shared" si="83"/>
        <v>0</v>
      </c>
      <c r="AF286" s="29"/>
      <c r="AG286" s="102">
        <f t="shared" si="37"/>
        <v>0</v>
      </c>
    </row>
    <row r="287" spans="1:33" x14ac:dyDescent="0.3">
      <c r="A287" s="626" t="s">
        <v>169</v>
      </c>
      <c r="B287" s="627">
        <f>J287+L287+N287+P287+R287+T287+V287+X287+Z287+AB287+AD287+H287</f>
        <v>0</v>
      </c>
      <c r="C287" s="786">
        <f>SUM(H287)</f>
        <v>0</v>
      </c>
      <c r="D287" s="118">
        <f>E287</f>
        <v>0</v>
      </c>
      <c r="E287" s="117">
        <f>SUM(I287,K287,M287,O287,Q287,S287,U287,W287,Y287,AA287,AC287,AE287)</f>
        <v>0</v>
      </c>
      <c r="F287" s="116">
        <f>IFERROR(E287/B287*100,0)</f>
        <v>0</v>
      </c>
      <c r="G287" s="116">
        <f>IFERROR(E287/C287*100,0)</f>
        <v>0</v>
      </c>
      <c r="H287" s="111"/>
      <c r="I287" s="111"/>
      <c r="J287" s="111"/>
      <c r="K287" s="111"/>
      <c r="L287" s="111"/>
      <c r="M287" s="111"/>
      <c r="N287" s="111"/>
      <c r="O287" s="111"/>
      <c r="P287" s="111"/>
      <c r="Q287" s="111"/>
      <c r="R287" s="111"/>
      <c r="S287" s="111"/>
      <c r="T287" s="111"/>
      <c r="U287" s="111"/>
      <c r="V287" s="111"/>
      <c r="W287" s="111"/>
      <c r="X287" s="111"/>
      <c r="Y287" s="111"/>
      <c r="Z287" s="111"/>
      <c r="AA287" s="111"/>
      <c r="AB287" s="111"/>
      <c r="AC287" s="111"/>
      <c r="AD287" s="111"/>
      <c r="AE287" s="111"/>
      <c r="AF287" s="29"/>
      <c r="AG287" s="102">
        <f t="shared" si="37"/>
        <v>0</v>
      </c>
    </row>
    <row r="288" spans="1:33" x14ac:dyDescent="0.3">
      <c r="A288" s="626" t="s">
        <v>32</v>
      </c>
      <c r="B288" s="627">
        <f>J288+L288+N288+P288+R288+T288+V288+X288+Z288+AB288+AD288+H288</f>
        <v>0</v>
      </c>
      <c r="C288" s="786">
        <f>SUM(H288)</f>
        <v>0</v>
      </c>
      <c r="D288" s="118">
        <f>E288</f>
        <v>0</v>
      </c>
      <c r="E288" s="117">
        <f>SUM(I288,K288,M288,O288,Q288,S288,U288,W288,Y288,AA288,AC288,AE288)</f>
        <v>0</v>
      </c>
      <c r="F288" s="116">
        <f>IFERROR(E288/B288*100,0)</f>
        <v>0</v>
      </c>
      <c r="G288" s="116">
        <f>IFERROR(E288/C288*100,0)</f>
        <v>0</v>
      </c>
      <c r="H288" s="111"/>
      <c r="I288" s="111"/>
      <c r="J288" s="111"/>
      <c r="K288" s="111"/>
      <c r="L288" s="111"/>
      <c r="M288" s="111"/>
      <c r="N288" s="111"/>
      <c r="O288" s="111"/>
      <c r="P288" s="111"/>
      <c r="Q288" s="111"/>
      <c r="R288" s="111"/>
      <c r="S288" s="111"/>
      <c r="T288" s="111"/>
      <c r="U288" s="111"/>
      <c r="V288" s="111"/>
      <c r="W288" s="111"/>
      <c r="X288" s="111"/>
      <c r="Y288" s="111"/>
      <c r="Z288" s="111"/>
      <c r="AA288" s="111"/>
      <c r="AB288" s="111"/>
      <c r="AC288" s="111"/>
      <c r="AD288" s="111"/>
      <c r="AE288" s="111"/>
      <c r="AF288" s="29"/>
      <c r="AG288" s="102">
        <f t="shared" si="37"/>
        <v>0</v>
      </c>
    </row>
    <row r="289" spans="1:33" x14ac:dyDescent="0.3">
      <c r="A289" s="626" t="s">
        <v>33</v>
      </c>
      <c r="B289" s="627">
        <f>J289+L289+N289+P289+R289+T289+V289+X289+Z289+AB289+AD289+H289</f>
        <v>100</v>
      </c>
      <c r="C289" s="786">
        <f>H289+J289+L289</f>
        <v>40</v>
      </c>
      <c r="D289" s="118">
        <f>E289</f>
        <v>0</v>
      </c>
      <c r="E289" s="117">
        <f>SUM(I289,K289,M289,O289,Q289,S289,U289,W289,Y289,AA289,AC289,AE289)</f>
        <v>0</v>
      </c>
      <c r="F289" s="116">
        <f>IFERROR(E289/B289*100,0)</f>
        <v>0</v>
      </c>
      <c r="G289" s="116">
        <f>IFERROR(E289/C289*100,0)</f>
        <v>0</v>
      </c>
      <c r="H289" s="111"/>
      <c r="I289" s="111"/>
      <c r="J289" s="111">
        <v>40</v>
      </c>
      <c r="K289" s="111"/>
      <c r="L289" s="111"/>
      <c r="M289" s="111"/>
      <c r="N289" s="111"/>
      <c r="O289" s="111"/>
      <c r="P289" s="111"/>
      <c r="Q289" s="111"/>
      <c r="R289" s="111"/>
      <c r="S289" s="111"/>
      <c r="T289" s="111"/>
      <c r="U289" s="111"/>
      <c r="V289" s="111">
        <v>40</v>
      </c>
      <c r="W289" s="111"/>
      <c r="X289" s="111"/>
      <c r="Y289" s="111"/>
      <c r="Z289" s="111"/>
      <c r="AA289" s="111"/>
      <c r="AB289" s="111">
        <v>20</v>
      </c>
      <c r="AC289" s="111"/>
      <c r="AD289" s="111"/>
      <c r="AE289" s="111"/>
      <c r="AF289" s="29"/>
      <c r="AG289" s="102">
        <f t="shared" si="37"/>
        <v>0</v>
      </c>
    </row>
    <row r="290" spans="1:33" x14ac:dyDescent="0.3">
      <c r="A290" s="626" t="s">
        <v>170</v>
      </c>
      <c r="B290" s="627"/>
      <c r="C290" s="786"/>
      <c r="D290" s="118"/>
      <c r="E290" s="117"/>
      <c r="F290" s="116"/>
      <c r="G290" s="116"/>
      <c r="H290" s="111"/>
      <c r="I290" s="111"/>
      <c r="J290" s="111"/>
      <c r="K290" s="111"/>
      <c r="L290" s="111"/>
      <c r="M290" s="111"/>
      <c r="N290" s="111"/>
      <c r="O290" s="111"/>
      <c r="P290" s="111"/>
      <c r="Q290" s="111"/>
      <c r="R290" s="111"/>
      <c r="S290" s="111"/>
      <c r="T290" s="111"/>
      <c r="U290" s="111"/>
      <c r="V290" s="111"/>
      <c r="W290" s="111"/>
      <c r="X290" s="111"/>
      <c r="Y290" s="111"/>
      <c r="Z290" s="111"/>
      <c r="AA290" s="111"/>
      <c r="AB290" s="111"/>
      <c r="AC290" s="111"/>
      <c r="AD290" s="111"/>
      <c r="AE290" s="111"/>
      <c r="AF290" s="29"/>
      <c r="AG290" s="102">
        <f t="shared" si="37"/>
        <v>0</v>
      </c>
    </row>
    <row r="291" spans="1:33" ht="83.25" customHeight="1" x14ac:dyDescent="0.3">
      <c r="A291" s="787" t="s">
        <v>632</v>
      </c>
      <c r="B291" s="627"/>
      <c r="C291" s="635"/>
      <c r="D291" s="110"/>
      <c r="E291" s="110"/>
      <c r="F291" s="110"/>
      <c r="G291" s="110"/>
      <c r="H291" s="111"/>
      <c r="I291" s="111"/>
      <c r="J291" s="111"/>
      <c r="K291" s="111"/>
      <c r="L291" s="111"/>
      <c r="M291" s="111"/>
      <c r="N291" s="111"/>
      <c r="O291" s="111"/>
      <c r="P291" s="111"/>
      <c r="Q291" s="111"/>
      <c r="R291" s="111"/>
      <c r="S291" s="111"/>
      <c r="T291" s="111"/>
      <c r="U291" s="111"/>
      <c r="V291" s="111"/>
      <c r="W291" s="111"/>
      <c r="X291" s="111"/>
      <c r="Y291" s="111"/>
      <c r="Z291" s="111"/>
      <c r="AA291" s="111"/>
      <c r="AB291" s="111"/>
      <c r="AC291" s="111"/>
      <c r="AD291" s="111"/>
      <c r="AE291" s="111"/>
      <c r="AF291" s="29"/>
      <c r="AG291" s="102">
        <f t="shared" si="37"/>
        <v>0</v>
      </c>
    </row>
    <row r="292" spans="1:33" x14ac:dyDescent="0.3">
      <c r="A292" s="623" t="s">
        <v>31</v>
      </c>
      <c r="B292" s="624">
        <f>B294+B295+B293+B296</f>
        <v>13855.700999999999</v>
      </c>
      <c r="C292" s="624">
        <f>C294+C295+C293+C296</f>
        <v>10662.415000000001</v>
      </c>
      <c r="D292" s="114">
        <f>D294+D295+D293+D296</f>
        <v>10662.42</v>
      </c>
      <c r="E292" s="113">
        <f>E294+E295+E293+E296</f>
        <v>10662.42</v>
      </c>
      <c r="F292" s="113">
        <f>IFERROR(E292/B292*100,0)</f>
        <v>76.9533060795697</v>
      </c>
      <c r="G292" s="113">
        <f>IFERROR(E292/C292*100,0)</f>
        <v>100.00004689369153</v>
      </c>
      <c r="H292" s="113">
        <f t="shared" ref="H292:AE292" si="84">H294+H295+H293+H296</f>
        <v>967.399</v>
      </c>
      <c r="I292" s="113">
        <f t="shared" si="84"/>
        <v>967.4</v>
      </c>
      <c r="J292" s="113">
        <f t="shared" si="84"/>
        <v>3938.6030000000001</v>
      </c>
      <c r="K292" s="113">
        <f t="shared" si="84"/>
        <v>3938.6</v>
      </c>
      <c r="L292" s="113">
        <f t="shared" si="84"/>
        <v>1158.789</v>
      </c>
      <c r="M292" s="113">
        <f t="shared" si="84"/>
        <v>1158.79</v>
      </c>
      <c r="N292" s="113">
        <f t="shared" si="84"/>
        <v>1244.17</v>
      </c>
      <c r="O292" s="113">
        <f t="shared" si="84"/>
        <v>1244.17</v>
      </c>
      <c r="P292" s="113">
        <f t="shared" si="84"/>
        <v>2115.451</v>
      </c>
      <c r="Q292" s="113">
        <f t="shared" si="84"/>
        <v>2115.4499999999998</v>
      </c>
      <c r="R292" s="113">
        <f t="shared" si="84"/>
        <v>1238.0029999999999</v>
      </c>
      <c r="S292" s="113">
        <f t="shared" si="84"/>
        <v>1238.01</v>
      </c>
      <c r="T292" s="113">
        <f t="shared" si="84"/>
        <v>922.40300000000002</v>
      </c>
      <c r="U292" s="113">
        <f t="shared" si="84"/>
        <v>0</v>
      </c>
      <c r="V292" s="113">
        <f t="shared" si="84"/>
        <v>981.63800000000003</v>
      </c>
      <c r="W292" s="113">
        <f t="shared" si="84"/>
        <v>0</v>
      </c>
      <c r="X292" s="113">
        <f t="shared" si="84"/>
        <v>1042.8019999999999</v>
      </c>
      <c r="Y292" s="113">
        <f t="shared" si="84"/>
        <v>0</v>
      </c>
      <c r="Z292" s="113">
        <f t="shared" si="84"/>
        <v>246.44299999999998</v>
      </c>
      <c r="AA292" s="113">
        <f t="shared" si="84"/>
        <v>0</v>
      </c>
      <c r="AB292" s="113">
        <f t="shared" si="84"/>
        <v>0</v>
      </c>
      <c r="AC292" s="113">
        <f t="shared" si="84"/>
        <v>0</v>
      </c>
      <c r="AD292" s="113">
        <f t="shared" si="84"/>
        <v>0</v>
      </c>
      <c r="AE292" s="113">
        <f t="shared" si="84"/>
        <v>0</v>
      </c>
      <c r="AF292" s="29"/>
      <c r="AG292" s="102">
        <f t="shared" si="37"/>
        <v>9.0949470177292824E-13</v>
      </c>
    </row>
    <row r="293" spans="1:33" x14ac:dyDescent="0.3">
      <c r="A293" s="626" t="s">
        <v>169</v>
      </c>
      <c r="B293" s="627">
        <f>J293+L293+N293+P293+R293+T293+V293+X293+Z293+AB293+AD293+H293</f>
        <v>0</v>
      </c>
      <c r="C293" s="786">
        <f>SUM(H293)</f>
        <v>0</v>
      </c>
      <c r="D293" s="118">
        <f>E293</f>
        <v>0</v>
      </c>
      <c r="E293" s="117">
        <f>SUM(I293,K293,M293,O293,Q293,S293,U293,W293,Y293,AA293,AC293,AE293)</f>
        <v>0</v>
      </c>
      <c r="F293" s="116">
        <f>IFERROR(E293/B293*100,0)</f>
        <v>0</v>
      </c>
      <c r="G293" s="116">
        <f>IFERROR(E293/C293*100,0)</f>
        <v>0</v>
      </c>
      <c r="H293" s="111"/>
      <c r="I293" s="111"/>
      <c r="J293" s="111"/>
      <c r="K293" s="111"/>
      <c r="L293" s="111"/>
      <c r="M293" s="111"/>
      <c r="N293" s="111"/>
      <c r="O293" s="111"/>
      <c r="P293" s="111"/>
      <c r="Q293" s="111"/>
      <c r="R293" s="111"/>
      <c r="S293" s="111"/>
      <c r="T293" s="111"/>
      <c r="U293" s="111"/>
      <c r="V293" s="111"/>
      <c r="W293" s="111"/>
      <c r="X293" s="111"/>
      <c r="Y293" s="111"/>
      <c r="Z293" s="111"/>
      <c r="AA293" s="111"/>
      <c r="AB293" s="111"/>
      <c r="AC293" s="111"/>
      <c r="AD293" s="111"/>
      <c r="AE293" s="111"/>
      <c r="AF293" s="29"/>
      <c r="AG293" s="102">
        <f t="shared" si="37"/>
        <v>0</v>
      </c>
    </row>
    <row r="294" spans="1:33" x14ac:dyDescent="0.3">
      <c r="A294" s="626" t="s">
        <v>32</v>
      </c>
      <c r="B294" s="627">
        <f>J294+L294+N294+P294+R294+T294+V294+X294+Z294+AB294+AD294+H294</f>
        <v>0</v>
      </c>
      <c r="C294" s="786">
        <f>SUM(H294)</f>
        <v>0</v>
      </c>
      <c r="D294" s="118">
        <f>E294</f>
        <v>0</v>
      </c>
      <c r="E294" s="117">
        <f>SUM(I294,K294,M294,O294,Q294,S294,U294,W294,Y294,AA294,AC294,AE294)</f>
        <v>0</v>
      </c>
      <c r="F294" s="116">
        <f>IFERROR(E294/B294*100,0)</f>
        <v>0</v>
      </c>
      <c r="G294" s="116">
        <f>IFERROR(E294/C294*100,0)</f>
        <v>0</v>
      </c>
      <c r="H294" s="111"/>
      <c r="I294" s="111"/>
      <c r="J294" s="111"/>
      <c r="K294" s="111"/>
      <c r="L294" s="111"/>
      <c r="M294" s="111"/>
      <c r="N294" s="111"/>
      <c r="O294" s="111"/>
      <c r="P294" s="111"/>
      <c r="Q294" s="111"/>
      <c r="R294" s="111"/>
      <c r="S294" s="111"/>
      <c r="T294" s="111"/>
      <c r="U294" s="111"/>
      <c r="V294" s="111"/>
      <c r="W294" s="111"/>
      <c r="X294" s="111"/>
      <c r="Y294" s="111"/>
      <c r="Z294" s="111"/>
      <c r="AA294" s="111"/>
      <c r="AB294" s="111"/>
      <c r="AC294" s="111"/>
      <c r="AD294" s="111"/>
      <c r="AE294" s="111"/>
      <c r="AF294" s="29"/>
      <c r="AG294" s="102">
        <f t="shared" si="37"/>
        <v>0</v>
      </c>
    </row>
    <row r="295" spans="1:33" x14ac:dyDescent="0.3">
      <c r="A295" s="626" t="s">
        <v>33</v>
      </c>
      <c r="B295" s="627">
        <f>J295+L295+N295+P295+R295+T295+V295+X295+Z295+AB295+AD295+H295</f>
        <v>13855.700999999999</v>
      </c>
      <c r="C295" s="786">
        <f>H295+J295+L295+N295+P295+R295</f>
        <v>10662.415000000001</v>
      </c>
      <c r="D295" s="118">
        <f>E295</f>
        <v>10662.42</v>
      </c>
      <c r="E295" s="117">
        <f>SUM(I295,K295,M295,O295,Q295,S295,U295,W295,Y295,AA295,AC295,AE295)</f>
        <v>10662.42</v>
      </c>
      <c r="F295" s="116">
        <f>IFERROR(E295/B295*100,0)</f>
        <v>76.9533060795697</v>
      </c>
      <c r="G295" s="116">
        <f>IFERROR(E295/C295*100,0)</f>
        <v>100.00004689369153</v>
      </c>
      <c r="H295" s="111">
        <v>967.399</v>
      </c>
      <c r="I295" s="111">
        <v>967.4</v>
      </c>
      <c r="J295" s="111">
        <v>3938.6030000000001</v>
      </c>
      <c r="K295" s="111">
        <v>3938.6</v>
      </c>
      <c r="L295" s="111">
        <v>1158.789</v>
      </c>
      <c r="M295" s="111">
        <v>1158.79</v>
      </c>
      <c r="N295" s="111">
        <v>1244.17</v>
      </c>
      <c r="O295" s="111">
        <v>1244.17</v>
      </c>
      <c r="P295" s="111">
        <v>2115.451</v>
      </c>
      <c r="Q295" s="111">
        <v>2115.4499999999998</v>
      </c>
      <c r="R295" s="111">
        <f>1348.003-110</f>
        <v>1238.0029999999999</v>
      </c>
      <c r="S295" s="111">
        <v>1238.01</v>
      </c>
      <c r="T295" s="111">
        <v>922.40300000000002</v>
      </c>
      <c r="U295" s="111"/>
      <c r="V295" s="111">
        <v>981.63800000000003</v>
      </c>
      <c r="W295" s="111"/>
      <c r="X295" s="111">
        <v>1042.8019999999999</v>
      </c>
      <c r="Y295" s="111"/>
      <c r="Z295" s="111">
        <f>1121.683-875.24</f>
        <v>246.44299999999998</v>
      </c>
      <c r="AA295" s="111"/>
      <c r="AB295" s="111"/>
      <c r="AC295" s="111"/>
      <c r="AD295" s="111"/>
      <c r="AE295" s="111"/>
      <c r="AF295" s="29"/>
      <c r="AG295" s="102">
        <f t="shared" si="37"/>
        <v>9.0949470177292824E-13</v>
      </c>
    </row>
    <row r="296" spans="1:33" x14ac:dyDescent="0.3">
      <c r="A296" s="626" t="s">
        <v>170</v>
      </c>
      <c r="B296" s="627"/>
      <c r="C296" s="786"/>
      <c r="D296" s="118"/>
      <c r="E296" s="117"/>
      <c r="F296" s="116"/>
      <c r="G296" s="116"/>
      <c r="H296" s="111"/>
      <c r="I296" s="111"/>
      <c r="J296" s="111"/>
      <c r="K296" s="111"/>
      <c r="L296" s="111"/>
      <c r="M296" s="111"/>
      <c r="N296" s="111"/>
      <c r="O296" s="111"/>
      <c r="P296" s="111"/>
      <c r="Q296" s="111"/>
      <c r="R296" s="111"/>
      <c r="S296" s="111"/>
      <c r="T296" s="111"/>
      <c r="U296" s="111"/>
      <c r="V296" s="111"/>
      <c r="W296" s="111"/>
      <c r="X296" s="111"/>
      <c r="Y296" s="111"/>
      <c r="Z296" s="111"/>
      <c r="AA296" s="111"/>
      <c r="AB296" s="111"/>
      <c r="AC296" s="111"/>
      <c r="AD296" s="111"/>
      <c r="AE296" s="111"/>
      <c r="AF296" s="29"/>
      <c r="AG296" s="102">
        <f t="shared" si="37"/>
        <v>0</v>
      </c>
    </row>
    <row r="297" spans="1:33" ht="83.25" customHeight="1" x14ac:dyDescent="0.3">
      <c r="A297" s="98" t="s">
        <v>305</v>
      </c>
      <c r="B297" s="143"/>
      <c r="C297" s="144"/>
      <c r="D297" s="144"/>
      <c r="E297" s="144"/>
      <c r="F297" s="144"/>
      <c r="G297" s="144"/>
      <c r="H297" s="143"/>
      <c r="I297" s="143"/>
      <c r="J297" s="143"/>
      <c r="K297" s="143"/>
      <c r="L297" s="143"/>
      <c r="M297" s="143"/>
      <c r="N297" s="143"/>
      <c r="O297" s="143"/>
      <c r="P297" s="143"/>
      <c r="Q297" s="143"/>
      <c r="R297" s="143"/>
      <c r="S297" s="143"/>
      <c r="T297" s="143"/>
      <c r="U297" s="143"/>
      <c r="V297" s="143"/>
      <c r="W297" s="143"/>
      <c r="X297" s="143"/>
      <c r="Y297" s="143"/>
      <c r="Z297" s="143"/>
      <c r="AA297" s="143"/>
      <c r="AB297" s="143"/>
      <c r="AC297" s="143"/>
      <c r="AD297" s="143"/>
      <c r="AE297" s="143"/>
      <c r="AF297" s="101"/>
      <c r="AG297" s="102">
        <f t="shared" si="37"/>
        <v>0</v>
      </c>
    </row>
    <row r="298" spans="1:33" x14ac:dyDescent="0.3">
      <c r="A298" s="145" t="s">
        <v>31</v>
      </c>
      <c r="B298" s="104">
        <f>B299+B300+B301+B302</f>
        <v>275706.6029</v>
      </c>
      <c r="C298" s="104">
        <f>C299+C300+C301+C302</f>
        <v>96532.351750000002</v>
      </c>
      <c r="D298" s="104">
        <f>D299+D300+D301+D302</f>
        <v>123833.48000000001</v>
      </c>
      <c r="E298" s="104">
        <f>E299+E300+E301+E302</f>
        <v>123833.48000000001</v>
      </c>
      <c r="F298" s="107">
        <f>IFERROR(E298/B298*100,0)</f>
        <v>44.914948970197486</v>
      </c>
      <c r="G298" s="107">
        <f>IFERROR(E298/C298*100,0)</f>
        <v>128.28184308686957</v>
      </c>
      <c r="H298" s="104">
        <f t="shared" ref="H298:AE298" si="85">H299+H300+H301+H302</f>
        <v>15729.4</v>
      </c>
      <c r="I298" s="104">
        <f t="shared" si="85"/>
        <v>9416.6</v>
      </c>
      <c r="J298" s="104">
        <f t="shared" si="85"/>
        <v>28820.74</v>
      </c>
      <c r="K298" s="104">
        <f t="shared" si="85"/>
        <v>28921.500000000004</v>
      </c>
      <c r="L298" s="104">
        <f t="shared" si="85"/>
        <v>28307.33</v>
      </c>
      <c r="M298" s="104">
        <f t="shared" si="85"/>
        <v>29030.61</v>
      </c>
      <c r="N298" s="104">
        <f t="shared" si="85"/>
        <v>23674.88175</v>
      </c>
      <c r="O298" s="104">
        <f t="shared" si="85"/>
        <v>16432.27</v>
      </c>
      <c r="P298" s="104">
        <f t="shared" si="85"/>
        <v>24747.802199999998</v>
      </c>
      <c r="Q298" s="104">
        <f t="shared" si="85"/>
        <v>26912.510000000002</v>
      </c>
      <c r="R298" s="104">
        <f t="shared" si="85"/>
        <v>12674.997600000001</v>
      </c>
      <c r="S298" s="104">
        <f t="shared" si="85"/>
        <v>13119.99</v>
      </c>
      <c r="T298" s="104">
        <f t="shared" si="85"/>
        <v>43000</v>
      </c>
      <c r="U298" s="104">
        <f t="shared" si="85"/>
        <v>0</v>
      </c>
      <c r="V298" s="104">
        <f t="shared" si="85"/>
        <v>3416.2000000000003</v>
      </c>
      <c r="W298" s="104">
        <f t="shared" si="85"/>
        <v>0</v>
      </c>
      <c r="X298" s="104">
        <f t="shared" si="85"/>
        <v>19454.065900000001</v>
      </c>
      <c r="Y298" s="104">
        <f t="shared" si="85"/>
        <v>0</v>
      </c>
      <c r="Z298" s="104">
        <f t="shared" si="85"/>
        <v>30231.689699999995</v>
      </c>
      <c r="AA298" s="104">
        <f t="shared" si="85"/>
        <v>0</v>
      </c>
      <c r="AB298" s="104">
        <f t="shared" si="85"/>
        <v>23648.635700000003</v>
      </c>
      <c r="AC298" s="104">
        <f t="shared" si="85"/>
        <v>0</v>
      </c>
      <c r="AD298" s="104">
        <f t="shared" si="85"/>
        <v>22000.860049999999</v>
      </c>
      <c r="AE298" s="104">
        <f t="shared" si="85"/>
        <v>0</v>
      </c>
      <c r="AF298" s="101"/>
      <c r="AG298" s="102">
        <f t="shared" si="37"/>
        <v>0</v>
      </c>
    </row>
    <row r="299" spans="1:33" x14ac:dyDescent="0.3">
      <c r="A299" s="146" t="s">
        <v>169</v>
      </c>
      <c r="B299" s="107">
        <f>J299+L299+N299+P299+R299+T299+V299+X299+Z299+AB299+AD299+H299</f>
        <v>25292.802340000002</v>
      </c>
      <c r="C299" s="107">
        <f>SUM(H299+J299+L299+N299)</f>
        <v>8381.7667500000007</v>
      </c>
      <c r="D299" s="107">
        <f>E299</f>
        <v>11832.380000000001</v>
      </c>
      <c r="E299" s="107">
        <f>SUM(I299,K299,M299,O299,Q299,S299,U299,W299,Y299,AA299,AC299,AE299)</f>
        <v>11832.380000000001</v>
      </c>
      <c r="F299" s="107"/>
      <c r="G299" s="107"/>
      <c r="H299" s="107">
        <f>H305+H311</f>
        <v>1301.9000000000001</v>
      </c>
      <c r="I299" s="107">
        <f t="shared" ref="I299:AE302" si="86">I305+I311</f>
        <v>1301.9000000000001</v>
      </c>
      <c r="J299" s="107">
        <f t="shared" si="86"/>
        <v>2713.7</v>
      </c>
      <c r="K299" s="107">
        <f t="shared" si="86"/>
        <v>2713.7</v>
      </c>
      <c r="L299" s="107">
        <f t="shared" si="86"/>
        <v>2898.5</v>
      </c>
      <c r="M299" s="107">
        <f t="shared" si="86"/>
        <v>2898.5</v>
      </c>
      <c r="N299" s="107">
        <f t="shared" si="86"/>
        <v>1467.6667499999999</v>
      </c>
      <c r="O299" s="107">
        <f t="shared" si="86"/>
        <v>1325.81</v>
      </c>
      <c r="P299" s="107">
        <f t="shared" si="86"/>
        <v>2860.0432000000001</v>
      </c>
      <c r="Q299" s="107">
        <f t="shared" si="86"/>
        <v>2860.04</v>
      </c>
      <c r="R299" s="107">
        <f t="shared" si="86"/>
        <v>914.33019999999999</v>
      </c>
      <c r="S299" s="107">
        <f t="shared" si="86"/>
        <v>732.43</v>
      </c>
      <c r="T299" s="107">
        <f t="shared" si="86"/>
        <v>0</v>
      </c>
      <c r="U299" s="107">
        <f t="shared" si="86"/>
        <v>0</v>
      </c>
      <c r="V299" s="107">
        <f t="shared" si="86"/>
        <v>0</v>
      </c>
      <c r="W299" s="107">
        <f t="shared" si="86"/>
        <v>0</v>
      </c>
      <c r="X299" s="107">
        <f t="shared" si="86"/>
        <v>3334.0848999999998</v>
      </c>
      <c r="Y299" s="107">
        <f t="shared" si="86"/>
        <v>0</v>
      </c>
      <c r="Z299" s="107">
        <f t="shared" si="86"/>
        <v>4295.6216999999997</v>
      </c>
      <c r="AA299" s="107">
        <f t="shared" si="86"/>
        <v>0</v>
      </c>
      <c r="AB299" s="107">
        <f t="shared" si="86"/>
        <v>2846.4506999999999</v>
      </c>
      <c r="AC299" s="107">
        <f t="shared" si="86"/>
        <v>0</v>
      </c>
      <c r="AD299" s="107">
        <f t="shared" si="86"/>
        <v>2660.5048900000002</v>
      </c>
      <c r="AE299" s="107">
        <f t="shared" si="86"/>
        <v>0</v>
      </c>
      <c r="AF299" s="101"/>
      <c r="AG299" s="102">
        <f t="shared" si="37"/>
        <v>0</v>
      </c>
    </row>
    <row r="300" spans="1:33" x14ac:dyDescent="0.3">
      <c r="A300" s="146" t="s">
        <v>32</v>
      </c>
      <c r="B300" s="107">
        <f>J300+L300+N300+P300+R300+T300+V300+X300+Z300+AB300+AD300+H300</f>
        <v>172665.29885000002</v>
      </c>
      <c r="C300" s="107">
        <f>SUM(H300+J300+L300+N300)</f>
        <v>74999.426749999999</v>
      </c>
      <c r="D300" s="107">
        <f>E300</f>
        <v>93827.32</v>
      </c>
      <c r="E300" s="107">
        <f>SUM(I300,K300,M300,O300,Q300,S300,U300,W300,Y300,AA300,AC300,AE300)</f>
        <v>93827.32</v>
      </c>
      <c r="F300" s="107"/>
      <c r="G300" s="107"/>
      <c r="H300" s="107">
        <f>H306+H312</f>
        <v>11954.5</v>
      </c>
      <c r="I300" s="107">
        <f t="shared" ref="I300:W300" si="87">I306+I312</f>
        <v>5641.7</v>
      </c>
      <c r="J300" s="107">
        <f t="shared" si="87"/>
        <v>22154.04</v>
      </c>
      <c r="K300" s="107">
        <f t="shared" si="87"/>
        <v>22254.800000000003</v>
      </c>
      <c r="L300" s="107">
        <f t="shared" si="87"/>
        <v>21802.27</v>
      </c>
      <c r="M300" s="107">
        <f t="shared" si="87"/>
        <v>22525.54</v>
      </c>
      <c r="N300" s="107">
        <f t="shared" si="87"/>
        <v>19088.616750000001</v>
      </c>
      <c r="O300" s="107">
        <f t="shared" si="87"/>
        <v>12314.810000000001</v>
      </c>
      <c r="P300" s="107">
        <f t="shared" si="87"/>
        <v>18776.3544</v>
      </c>
      <c r="Q300" s="107">
        <f t="shared" si="87"/>
        <v>20941.07</v>
      </c>
      <c r="R300" s="107">
        <f t="shared" si="87"/>
        <v>9767.7273999999998</v>
      </c>
      <c r="S300" s="107">
        <f t="shared" si="87"/>
        <v>10149.4</v>
      </c>
      <c r="T300" s="107">
        <f t="shared" si="87"/>
        <v>0</v>
      </c>
      <c r="U300" s="107">
        <f t="shared" si="87"/>
        <v>0</v>
      </c>
      <c r="V300" s="107">
        <f t="shared" si="87"/>
        <v>0</v>
      </c>
      <c r="W300" s="107">
        <f t="shared" si="87"/>
        <v>0</v>
      </c>
      <c r="X300" s="107">
        <f t="shared" si="86"/>
        <v>13574.9683</v>
      </c>
      <c r="Y300" s="107">
        <f t="shared" si="86"/>
        <v>0</v>
      </c>
      <c r="Z300" s="107">
        <f t="shared" si="86"/>
        <v>21989.971899999997</v>
      </c>
      <c r="AA300" s="107">
        <f t="shared" si="86"/>
        <v>0</v>
      </c>
      <c r="AB300" s="107">
        <f t="shared" si="86"/>
        <v>17676.175900000002</v>
      </c>
      <c r="AC300" s="107">
        <f t="shared" si="86"/>
        <v>0</v>
      </c>
      <c r="AD300" s="107">
        <f t="shared" si="86"/>
        <v>15880.674199999999</v>
      </c>
      <c r="AE300" s="107">
        <f t="shared" si="86"/>
        <v>0</v>
      </c>
      <c r="AF300" s="101"/>
      <c r="AG300" s="102">
        <f t="shared" si="37"/>
        <v>0</v>
      </c>
    </row>
    <row r="301" spans="1:33" x14ac:dyDescent="0.3">
      <c r="A301" s="146" t="s">
        <v>33</v>
      </c>
      <c r="B301" s="627">
        <f>J301+L301+N301+P301+R301+T301+V301+X301+Z301+AB301+AD301+H301</f>
        <v>77748.501709999997</v>
      </c>
      <c r="C301" s="107">
        <f>SUM(H301+J301+L301+N301)</f>
        <v>13151.15825</v>
      </c>
      <c r="D301" s="107">
        <f>E301</f>
        <v>18173.78</v>
      </c>
      <c r="E301" s="107">
        <f>SUM(I301,K301,M301,O301,Q301,S301,U301,W301,Y301,AA301,AC301,AE301)</f>
        <v>18173.78</v>
      </c>
      <c r="F301" s="107">
        <f>IFERROR(E301/B301*100,0)</f>
        <v>23.375087108157729</v>
      </c>
      <c r="G301" s="107">
        <f>IFERROR(E301/C301*100,0)</f>
        <v>138.1914783057226</v>
      </c>
      <c r="H301" s="107">
        <f>H307+H313</f>
        <v>2473</v>
      </c>
      <c r="I301" s="107">
        <f t="shared" si="86"/>
        <v>2473</v>
      </c>
      <c r="J301" s="107">
        <f t="shared" si="86"/>
        <v>3953</v>
      </c>
      <c r="K301" s="107">
        <f t="shared" si="86"/>
        <v>3953</v>
      </c>
      <c r="L301" s="107">
        <f t="shared" si="86"/>
        <v>3606.56</v>
      </c>
      <c r="M301" s="107">
        <f t="shared" si="86"/>
        <v>3606.57</v>
      </c>
      <c r="N301" s="107">
        <f t="shared" si="86"/>
        <v>3118.59825</v>
      </c>
      <c r="O301" s="107">
        <f t="shared" si="86"/>
        <v>2791.65</v>
      </c>
      <c r="P301" s="107">
        <f t="shared" si="86"/>
        <v>3111.4045999999998</v>
      </c>
      <c r="Q301" s="107">
        <f t="shared" si="86"/>
        <v>3111.4</v>
      </c>
      <c r="R301" s="107">
        <f t="shared" si="86"/>
        <v>1992.94</v>
      </c>
      <c r="S301" s="107">
        <f t="shared" si="86"/>
        <v>2238.1600000000003</v>
      </c>
      <c r="T301" s="107">
        <f t="shared" si="86"/>
        <v>43000</v>
      </c>
      <c r="U301" s="107">
        <f t="shared" si="86"/>
        <v>0</v>
      </c>
      <c r="V301" s="107">
        <f t="shared" si="86"/>
        <v>3416.2000000000003</v>
      </c>
      <c r="W301" s="107">
        <f t="shared" si="86"/>
        <v>0</v>
      </c>
      <c r="X301" s="107">
        <f t="shared" si="86"/>
        <v>2545.0127000000002</v>
      </c>
      <c r="Y301" s="107">
        <f t="shared" si="86"/>
        <v>0</v>
      </c>
      <c r="Z301" s="107">
        <f t="shared" si="86"/>
        <v>3946.0960999999998</v>
      </c>
      <c r="AA301" s="107">
        <f t="shared" si="86"/>
        <v>0</v>
      </c>
      <c r="AB301" s="107">
        <f t="shared" si="86"/>
        <v>3126.0090999999998</v>
      </c>
      <c r="AC301" s="107">
        <f t="shared" si="86"/>
        <v>0</v>
      </c>
      <c r="AD301" s="107">
        <f t="shared" si="86"/>
        <v>3459.6809600000001</v>
      </c>
      <c r="AE301" s="107">
        <f t="shared" si="86"/>
        <v>0</v>
      </c>
      <c r="AF301" s="101"/>
      <c r="AG301" s="102">
        <f t="shared" si="37"/>
        <v>-7.2759576141834259E-12</v>
      </c>
    </row>
    <row r="302" spans="1:33" x14ac:dyDescent="0.3">
      <c r="A302" s="146" t="s">
        <v>170</v>
      </c>
      <c r="B302" s="107">
        <f>J302+L302+N302+P302+R302+T302+V302+X302+Z302+AB302+AD302+H302</f>
        <v>0</v>
      </c>
      <c r="C302" s="107">
        <f>SUM(H302)</f>
        <v>0</v>
      </c>
      <c r="D302" s="107">
        <f>E302</f>
        <v>0</v>
      </c>
      <c r="E302" s="107">
        <f>SUM(I302,K302,M302,O302,Q302,S302,U302,W302,Y302,AA302,AC302,AE302)</f>
        <v>0</v>
      </c>
      <c r="F302" s="107"/>
      <c r="G302" s="107"/>
      <c r="H302" s="107">
        <f>H308+H314</f>
        <v>0</v>
      </c>
      <c r="I302" s="107">
        <f t="shared" si="86"/>
        <v>0</v>
      </c>
      <c r="J302" s="107">
        <f t="shared" si="86"/>
        <v>0</v>
      </c>
      <c r="K302" s="107">
        <f t="shared" si="86"/>
        <v>0</v>
      </c>
      <c r="L302" s="107">
        <f t="shared" si="86"/>
        <v>0</v>
      </c>
      <c r="M302" s="107">
        <f t="shared" si="86"/>
        <v>0</v>
      </c>
      <c r="N302" s="107">
        <f t="shared" si="86"/>
        <v>0</v>
      </c>
      <c r="O302" s="107">
        <f t="shared" si="86"/>
        <v>0</v>
      </c>
      <c r="P302" s="107">
        <f t="shared" si="86"/>
        <v>0</v>
      </c>
      <c r="Q302" s="107">
        <f t="shared" si="86"/>
        <v>0</v>
      </c>
      <c r="R302" s="107">
        <f t="shared" si="86"/>
        <v>0</v>
      </c>
      <c r="S302" s="107">
        <f t="shared" si="86"/>
        <v>0</v>
      </c>
      <c r="T302" s="107">
        <f t="shared" si="86"/>
        <v>0</v>
      </c>
      <c r="U302" s="107">
        <f t="shared" si="86"/>
        <v>0</v>
      </c>
      <c r="V302" s="107">
        <f t="shared" si="86"/>
        <v>0</v>
      </c>
      <c r="W302" s="107">
        <f t="shared" si="86"/>
        <v>0</v>
      </c>
      <c r="X302" s="107">
        <f t="shared" si="86"/>
        <v>0</v>
      </c>
      <c r="Y302" s="107">
        <f t="shared" si="86"/>
        <v>0</v>
      </c>
      <c r="Z302" s="107">
        <f t="shared" si="86"/>
        <v>0</v>
      </c>
      <c r="AA302" s="107">
        <f t="shared" si="86"/>
        <v>0</v>
      </c>
      <c r="AB302" s="107">
        <f t="shared" si="86"/>
        <v>0</v>
      </c>
      <c r="AC302" s="107">
        <f t="shared" si="86"/>
        <v>0</v>
      </c>
      <c r="AD302" s="107">
        <f t="shared" si="86"/>
        <v>0</v>
      </c>
      <c r="AE302" s="107">
        <f t="shared" si="86"/>
        <v>0</v>
      </c>
      <c r="AF302" s="101"/>
      <c r="AG302" s="102">
        <f t="shared" si="37"/>
        <v>0</v>
      </c>
    </row>
    <row r="303" spans="1:33" ht="83.25" customHeight="1" x14ac:dyDescent="0.3">
      <c r="A303" s="787" t="s">
        <v>306</v>
      </c>
      <c r="B303" s="627"/>
      <c r="C303" s="110"/>
      <c r="D303" s="110"/>
      <c r="E303" s="110"/>
      <c r="F303" s="110"/>
      <c r="G303" s="110"/>
      <c r="H303" s="111"/>
      <c r="I303" s="111"/>
      <c r="J303" s="111"/>
      <c r="K303" s="111"/>
      <c r="L303" s="111"/>
      <c r="M303" s="111"/>
      <c r="N303" s="111"/>
      <c r="O303" s="111"/>
      <c r="P303" s="111"/>
      <c r="Q303" s="111"/>
      <c r="R303" s="111"/>
      <c r="S303" s="111"/>
      <c r="T303" s="111"/>
      <c r="U303" s="111"/>
      <c r="V303" s="111"/>
      <c r="W303" s="111"/>
      <c r="X303" s="111"/>
      <c r="Y303" s="111"/>
      <c r="Z303" s="111"/>
      <c r="AA303" s="111"/>
      <c r="AB303" s="111"/>
      <c r="AC303" s="111"/>
      <c r="AD303" s="111"/>
      <c r="AE303" s="111"/>
      <c r="AF303" s="29"/>
      <c r="AG303" s="102">
        <f t="shared" si="37"/>
        <v>0</v>
      </c>
    </row>
    <row r="304" spans="1:33" x14ac:dyDescent="0.3">
      <c r="A304" s="623" t="s">
        <v>31</v>
      </c>
      <c r="B304" s="624">
        <f>B306+B307+B305+B308</f>
        <v>46839.6</v>
      </c>
      <c r="C304" s="113">
        <f>C306+C307+C305+C308</f>
        <v>423.4</v>
      </c>
      <c r="D304" s="114">
        <f>D306+D307+D305+D308</f>
        <v>423.4</v>
      </c>
      <c r="E304" s="113">
        <f>E306+E307+E305+E308</f>
        <v>423.4</v>
      </c>
      <c r="F304" s="113">
        <f>IFERROR(E304/B304*100,0)</f>
        <v>0.90393598578980183</v>
      </c>
      <c r="G304" s="113">
        <f>IFERROR(E304/C304*100,0)</f>
        <v>100</v>
      </c>
      <c r="H304" s="113">
        <f t="shared" ref="H304:AE304" si="88">H306+H307+H305+H308</f>
        <v>0</v>
      </c>
      <c r="I304" s="113">
        <f t="shared" si="88"/>
        <v>0</v>
      </c>
      <c r="J304" s="113">
        <f t="shared" si="88"/>
        <v>0</v>
      </c>
      <c r="K304" s="113">
        <f t="shared" si="88"/>
        <v>0</v>
      </c>
      <c r="L304" s="113">
        <f t="shared" si="88"/>
        <v>0</v>
      </c>
      <c r="M304" s="113">
        <f t="shared" si="88"/>
        <v>0</v>
      </c>
      <c r="N304" s="113">
        <f t="shared" si="88"/>
        <v>0</v>
      </c>
      <c r="O304" s="113">
        <f t="shared" si="88"/>
        <v>0</v>
      </c>
      <c r="P304" s="113">
        <f t="shared" si="88"/>
        <v>0</v>
      </c>
      <c r="Q304" s="113">
        <f t="shared" si="88"/>
        <v>0</v>
      </c>
      <c r="R304" s="113">
        <f t="shared" si="88"/>
        <v>423.4</v>
      </c>
      <c r="S304" s="113">
        <f t="shared" si="88"/>
        <v>423.4</v>
      </c>
      <c r="T304" s="113">
        <f t="shared" si="88"/>
        <v>43000</v>
      </c>
      <c r="U304" s="113">
        <f t="shared" si="88"/>
        <v>0</v>
      </c>
      <c r="V304" s="113">
        <f t="shared" si="88"/>
        <v>3416.2000000000003</v>
      </c>
      <c r="W304" s="113">
        <f t="shared" si="88"/>
        <v>0</v>
      </c>
      <c r="X304" s="113">
        <f t="shared" si="88"/>
        <v>0</v>
      </c>
      <c r="Y304" s="113">
        <f t="shared" si="88"/>
        <v>0</v>
      </c>
      <c r="Z304" s="113">
        <f t="shared" si="88"/>
        <v>0</v>
      </c>
      <c r="AA304" s="113">
        <f t="shared" si="88"/>
        <v>0</v>
      </c>
      <c r="AB304" s="113">
        <f t="shared" si="88"/>
        <v>0</v>
      </c>
      <c r="AC304" s="113">
        <f t="shared" si="88"/>
        <v>0</v>
      </c>
      <c r="AD304" s="113">
        <f t="shared" si="88"/>
        <v>0</v>
      </c>
      <c r="AE304" s="113">
        <f t="shared" si="88"/>
        <v>0</v>
      </c>
      <c r="AF304" s="29"/>
      <c r="AG304" s="102">
        <f t="shared" si="37"/>
        <v>-3.1832314562052488E-12</v>
      </c>
    </row>
    <row r="305" spans="1:33" x14ac:dyDescent="0.3">
      <c r="A305" s="626" t="s">
        <v>169</v>
      </c>
      <c r="B305" s="627">
        <f>J305+L305+N305+P305+R305+T305+V305+X305+Z305+AB305+AD305+H305</f>
        <v>0</v>
      </c>
      <c r="C305" s="117">
        <f>SUM(H305)</f>
        <v>0</v>
      </c>
      <c r="D305" s="118">
        <f>E305</f>
        <v>0</v>
      </c>
      <c r="E305" s="117">
        <f>SUM(I305,K305,M305,O305,Q305,S305,U305,W305,Y305,AA305,AC305,AE305)</f>
        <v>0</v>
      </c>
      <c r="F305" s="116">
        <f>IFERROR(E305/B305*100,0)</f>
        <v>0</v>
      </c>
      <c r="G305" s="116">
        <f>IFERROR(E305/C305*100,0)</f>
        <v>0</v>
      </c>
      <c r="H305" s="111"/>
      <c r="I305" s="111"/>
      <c r="J305" s="111"/>
      <c r="K305" s="111"/>
      <c r="L305" s="111"/>
      <c r="M305" s="111"/>
      <c r="N305" s="111"/>
      <c r="O305" s="111"/>
      <c r="P305" s="111"/>
      <c r="Q305" s="111"/>
      <c r="R305" s="111"/>
      <c r="S305" s="111"/>
      <c r="T305" s="111"/>
      <c r="U305" s="111"/>
      <c r="V305" s="111"/>
      <c r="W305" s="111"/>
      <c r="X305" s="111"/>
      <c r="Y305" s="111"/>
      <c r="Z305" s="111"/>
      <c r="AA305" s="111"/>
      <c r="AB305" s="111"/>
      <c r="AC305" s="111"/>
      <c r="AD305" s="111"/>
      <c r="AE305" s="111"/>
      <c r="AF305" s="29"/>
      <c r="AG305" s="102">
        <f t="shared" si="37"/>
        <v>0</v>
      </c>
    </row>
    <row r="306" spans="1:33" x14ac:dyDescent="0.3">
      <c r="A306" s="626" t="s">
        <v>32</v>
      </c>
      <c r="B306" s="627">
        <f>J306+L306+N306+P306+R306+T306+V306+X306+Z306+AB306+AD306+H306</f>
        <v>0</v>
      </c>
      <c r="C306" s="117">
        <f>SUM(H306)</f>
        <v>0</v>
      </c>
      <c r="D306" s="118">
        <f>E306</f>
        <v>0</v>
      </c>
      <c r="E306" s="117">
        <f>SUM(I306,K306,M306,O306,Q306,S306,U306,W306,Y306,AA306,AC306,AE306)</f>
        <v>0</v>
      </c>
      <c r="F306" s="116">
        <f>IFERROR(E306/B306*100,0)</f>
        <v>0</v>
      </c>
      <c r="G306" s="116">
        <f>IFERROR(E306/C306*100,0)</f>
        <v>0</v>
      </c>
      <c r="H306" s="111"/>
      <c r="I306" s="111"/>
      <c r="J306" s="111"/>
      <c r="K306" s="111"/>
      <c r="L306" s="111"/>
      <c r="M306" s="111"/>
      <c r="N306" s="111"/>
      <c r="O306" s="111"/>
      <c r="P306" s="111"/>
      <c r="Q306" s="111"/>
      <c r="R306" s="111"/>
      <c r="S306" s="111"/>
      <c r="T306" s="111"/>
      <c r="U306" s="111"/>
      <c r="V306" s="111"/>
      <c r="W306" s="111"/>
      <c r="X306" s="111"/>
      <c r="Y306" s="111"/>
      <c r="Z306" s="111"/>
      <c r="AA306" s="111"/>
      <c r="AB306" s="111"/>
      <c r="AC306" s="111"/>
      <c r="AD306" s="111"/>
      <c r="AE306" s="111"/>
      <c r="AF306" s="29"/>
      <c r="AG306" s="102">
        <f t="shared" si="37"/>
        <v>0</v>
      </c>
    </row>
    <row r="307" spans="1:33" x14ac:dyDescent="0.3">
      <c r="A307" s="626" t="s">
        <v>33</v>
      </c>
      <c r="B307" s="627">
        <f>J307+L307+N307+P307+R307+T307+V307+X307+Z307+AB307+AD307+H307</f>
        <v>46839.6</v>
      </c>
      <c r="C307" s="117">
        <f>H307+J307+L307+N307+P307+R307</f>
        <v>423.4</v>
      </c>
      <c r="D307" s="118">
        <f>E307</f>
        <v>423.4</v>
      </c>
      <c r="E307" s="117">
        <f>SUM(I307,K307,M307,O307,Q307,S307,U307,W307,Y307,AA307,AC307,AE307)</f>
        <v>423.4</v>
      </c>
      <c r="F307" s="116">
        <f>IFERROR(E307/B307*100,0)</f>
        <v>0.90393598578980183</v>
      </c>
      <c r="G307" s="116">
        <f>IFERROR(E307/C307*100,0)</f>
        <v>100</v>
      </c>
      <c r="H307" s="111"/>
      <c r="I307" s="111"/>
      <c r="J307" s="111"/>
      <c r="K307" s="111"/>
      <c r="L307" s="111"/>
      <c r="M307" s="111"/>
      <c r="N307" s="111"/>
      <c r="O307" s="111"/>
      <c r="P307" s="111"/>
      <c r="Q307" s="111"/>
      <c r="R307" s="111">
        <v>423.4</v>
      </c>
      <c r="S307" s="111">
        <v>423.4</v>
      </c>
      <c r="T307" s="111">
        <v>43000</v>
      </c>
      <c r="U307" s="111"/>
      <c r="V307" s="111">
        <f>2992.8+423.4</f>
        <v>3416.2000000000003</v>
      </c>
      <c r="W307" s="111"/>
      <c r="X307" s="111"/>
      <c r="Y307" s="111"/>
      <c r="Z307" s="111"/>
      <c r="AA307" s="111"/>
      <c r="AB307" s="111"/>
      <c r="AC307" s="111"/>
      <c r="AD307" s="111"/>
      <c r="AE307" s="111"/>
      <c r="AF307" s="29"/>
      <c r="AG307" s="102">
        <f t="shared" si="37"/>
        <v>-3.1832314562052488E-12</v>
      </c>
    </row>
    <row r="308" spans="1:33" x14ac:dyDescent="0.3">
      <c r="A308" s="626" t="s">
        <v>170</v>
      </c>
      <c r="B308" s="627"/>
      <c r="C308" s="117"/>
      <c r="D308" s="118"/>
      <c r="E308" s="117"/>
      <c r="F308" s="116"/>
      <c r="G308" s="116"/>
      <c r="H308" s="111"/>
      <c r="I308" s="111"/>
      <c r="J308" s="111"/>
      <c r="K308" s="111"/>
      <c r="L308" s="111"/>
      <c r="M308" s="111"/>
      <c r="N308" s="111"/>
      <c r="O308" s="111"/>
      <c r="P308" s="111"/>
      <c r="Q308" s="111"/>
      <c r="R308" s="111"/>
      <c r="S308" s="111"/>
      <c r="T308" s="111"/>
      <c r="U308" s="111"/>
      <c r="V308" s="111"/>
      <c r="W308" s="111"/>
      <c r="X308" s="111"/>
      <c r="Y308" s="111"/>
      <c r="Z308" s="111"/>
      <c r="AA308" s="111"/>
      <c r="AB308" s="111"/>
      <c r="AC308" s="111"/>
      <c r="AD308" s="111"/>
      <c r="AE308" s="111"/>
      <c r="AF308" s="29"/>
      <c r="AG308" s="102">
        <f t="shared" si="37"/>
        <v>0</v>
      </c>
    </row>
    <row r="309" spans="1:33" s="97" customFormat="1" ht="61.5" customHeight="1" x14ac:dyDescent="0.3">
      <c r="A309" s="629" t="s">
        <v>307</v>
      </c>
      <c r="B309" s="624"/>
      <c r="C309" s="131"/>
      <c r="D309" s="131"/>
      <c r="E309" s="131"/>
      <c r="F309" s="131"/>
      <c r="G309" s="131"/>
      <c r="H309" s="212"/>
      <c r="I309" s="212"/>
      <c r="J309" s="212"/>
      <c r="K309" s="212"/>
      <c r="L309" s="212"/>
      <c r="M309" s="212"/>
      <c r="N309" s="212"/>
      <c r="O309" s="212"/>
      <c r="P309" s="212"/>
      <c r="Q309" s="212"/>
      <c r="R309" s="212"/>
      <c r="S309" s="212"/>
      <c r="T309" s="212"/>
      <c r="U309" s="212"/>
      <c r="V309" s="212"/>
      <c r="W309" s="212"/>
      <c r="X309" s="212"/>
      <c r="Y309" s="212"/>
      <c r="Z309" s="212"/>
      <c r="AA309" s="212"/>
      <c r="AB309" s="212"/>
      <c r="AC309" s="212"/>
      <c r="AD309" s="212"/>
      <c r="AE309" s="212"/>
      <c r="AF309" s="213"/>
      <c r="AG309" s="214">
        <f t="shared" si="37"/>
        <v>0</v>
      </c>
    </row>
    <row r="310" spans="1:33" s="97" customFormat="1" x14ac:dyDescent="0.3">
      <c r="A310" s="623" t="s">
        <v>31</v>
      </c>
      <c r="B310" s="624">
        <f>B312+B313+B311+B314</f>
        <v>228867.00290000002</v>
      </c>
      <c r="C310" s="113">
        <f>C312+C313+C311+C314</f>
        <v>96532.351749999987</v>
      </c>
      <c r="D310" s="114">
        <f>D312+D313+D311+D314</f>
        <v>123410.08000000002</v>
      </c>
      <c r="E310" s="113">
        <f>E312+E313+E311+E314</f>
        <v>123410.08000000002</v>
      </c>
      <c r="F310" s="113">
        <f>IFERROR(E310/B310*100,0)</f>
        <v>53.922181195304155</v>
      </c>
      <c r="G310" s="113">
        <f>IFERROR(E310/C310*100,0)</f>
        <v>127.84323365456601</v>
      </c>
      <c r="H310" s="113">
        <f t="shared" ref="H310:AE310" si="89">H312+H313+H311+H314</f>
        <v>15729.4</v>
      </c>
      <c r="I310" s="113">
        <f t="shared" si="89"/>
        <v>9416.6</v>
      </c>
      <c r="J310" s="113">
        <f t="shared" si="89"/>
        <v>28820.74</v>
      </c>
      <c r="K310" s="113">
        <f t="shared" si="89"/>
        <v>28921.500000000004</v>
      </c>
      <c r="L310" s="113">
        <f t="shared" si="89"/>
        <v>28307.33</v>
      </c>
      <c r="M310" s="113">
        <f t="shared" si="89"/>
        <v>29030.61</v>
      </c>
      <c r="N310" s="113">
        <f t="shared" si="89"/>
        <v>23674.88175</v>
      </c>
      <c r="O310" s="113">
        <f t="shared" si="89"/>
        <v>16432.27</v>
      </c>
      <c r="P310" s="113">
        <f t="shared" si="89"/>
        <v>24747.802199999998</v>
      </c>
      <c r="Q310" s="113">
        <f t="shared" si="89"/>
        <v>26912.510000000002</v>
      </c>
      <c r="R310" s="113">
        <f t="shared" si="89"/>
        <v>12251.597600000001</v>
      </c>
      <c r="S310" s="113">
        <f t="shared" si="89"/>
        <v>12696.59</v>
      </c>
      <c r="T310" s="113">
        <f t="shared" si="89"/>
        <v>0</v>
      </c>
      <c r="U310" s="113">
        <f t="shared" si="89"/>
        <v>0</v>
      </c>
      <c r="V310" s="113">
        <f t="shared" si="89"/>
        <v>0</v>
      </c>
      <c r="W310" s="113">
        <f t="shared" si="89"/>
        <v>0</v>
      </c>
      <c r="X310" s="113">
        <f t="shared" si="89"/>
        <v>19454.065900000001</v>
      </c>
      <c r="Y310" s="113">
        <f t="shared" si="89"/>
        <v>0</v>
      </c>
      <c r="Z310" s="113">
        <f t="shared" si="89"/>
        <v>30231.689699999995</v>
      </c>
      <c r="AA310" s="113">
        <f t="shared" si="89"/>
        <v>0</v>
      </c>
      <c r="AB310" s="113">
        <f t="shared" si="89"/>
        <v>23648.635700000003</v>
      </c>
      <c r="AC310" s="113">
        <f t="shared" si="89"/>
        <v>0</v>
      </c>
      <c r="AD310" s="113">
        <f t="shared" si="89"/>
        <v>22000.860049999999</v>
      </c>
      <c r="AE310" s="113">
        <f t="shared" si="89"/>
        <v>0</v>
      </c>
      <c r="AF310" s="213"/>
      <c r="AG310" s="214">
        <f t="shared" si="37"/>
        <v>3.637978807091713E-11</v>
      </c>
    </row>
    <row r="311" spans="1:33" s="97" customFormat="1" x14ac:dyDescent="0.3">
      <c r="A311" s="623" t="s">
        <v>169</v>
      </c>
      <c r="B311" s="624">
        <f>J311+L311+N311+P311+R311+T311+V311+X311+Z311+AB311+AD311+H311</f>
        <v>25292.802340000002</v>
      </c>
      <c r="C311" s="215">
        <f>H311+J311+L311+N311</f>
        <v>8381.7667500000007</v>
      </c>
      <c r="D311" s="216">
        <f>E311</f>
        <v>11832.380000000001</v>
      </c>
      <c r="E311" s="215">
        <f>SUM(I311,K311,M311,O311,Q311,S311,U311,W311,Y311,AA311,AC311,AE311)</f>
        <v>11832.380000000001</v>
      </c>
      <c r="F311" s="113">
        <f>IFERROR(E311/B311*100,0)</f>
        <v>46.781609411810237</v>
      </c>
      <c r="G311" s="113">
        <f>IFERROR(E311/C311*100,0)</f>
        <v>141.16808965126594</v>
      </c>
      <c r="H311" s="212">
        <f>H317+H323+H329</f>
        <v>1301.9000000000001</v>
      </c>
      <c r="I311" s="212">
        <f t="shared" ref="I311:AE314" si="90">I317+I323+I329</f>
        <v>1301.9000000000001</v>
      </c>
      <c r="J311" s="212">
        <f t="shared" si="90"/>
        <v>2713.7</v>
      </c>
      <c r="K311" s="212">
        <f t="shared" si="90"/>
        <v>2713.7</v>
      </c>
      <c r="L311" s="212">
        <f t="shared" si="90"/>
        <v>2898.5</v>
      </c>
      <c r="M311" s="212">
        <f t="shared" si="90"/>
        <v>2898.5</v>
      </c>
      <c r="N311" s="212">
        <f t="shared" si="90"/>
        <v>1467.6667499999999</v>
      </c>
      <c r="O311" s="212">
        <f t="shared" si="90"/>
        <v>1325.81</v>
      </c>
      <c r="P311" s="212">
        <f t="shared" si="90"/>
        <v>2860.0432000000001</v>
      </c>
      <c r="Q311" s="212">
        <f t="shared" si="90"/>
        <v>2860.04</v>
      </c>
      <c r="R311" s="212">
        <f t="shared" si="90"/>
        <v>914.33019999999999</v>
      </c>
      <c r="S311" s="212">
        <f t="shared" si="90"/>
        <v>732.43</v>
      </c>
      <c r="T311" s="212">
        <f t="shared" si="90"/>
        <v>0</v>
      </c>
      <c r="U311" s="212">
        <f t="shared" si="90"/>
        <v>0</v>
      </c>
      <c r="V311" s="212">
        <f t="shared" si="90"/>
        <v>0</v>
      </c>
      <c r="W311" s="212">
        <f t="shared" si="90"/>
        <v>0</v>
      </c>
      <c r="X311" s="212">
        <f t="shared" si="90"/>
        <v>3334.0848999999998</v>
      </c>
      <c r="Y311" s="212">
        <f t="shared" si="90"/>
        <v>0</v>
      </c>
      <c r="Z311" s="212">
        <f t="shared" si="90"/>
        <v>4295.6216999999997</v>
      </c>
      <c r="AA311" s="212">
        <f t="shared" si="90"/>
        <v>0</v>
      </c>
      <c r="AB311" s="212">
        <f t="shared" si="90"/>
        <v>2846.4506999999999</v>
      </c>
      <c r="AC311" s="212">
        <f t="shared" si="90"/>
        <v>0</v>
      </c>
      <c r="AD311" s="212">
        <f t="shared" si="90"/>
        <v>2660.5048900000002</v>
      </c>
      <c r="AE311" s="212">
        <f t="shared" si="90"/>
        <v>0</v>
      </c>
      <c r="AF311" s="213"/>
      <c r="AG311" s="214">
        <f t="shared" si="37"/>
        <v>0</v>
      </c>
    </row>
    <row r="312" spans="1:33" s="97" customFormat="1" x14ac:dyDescent="0.3">
      <c r="A312" s="623" t="s">
        <v>32</v>
      </c>
      <c r="B312" s="624">
        <f>J312+L312+N312+P312+R312+T312+V312+X312+Z312+AB312+AD312+H312</f>
        <v>172665.29885000002</v>
      </c>
      <c r="C312" s="215">
        <f>H312+J312+L312+N312</f>
        <v>74999.426749999999</v>
      </c>
      <c r="D312" s="216">
        <f>E312</f>
        <v>93827.32</v>
      </c>
      <c r="E312" s="215">
        <f>SUM(I312,K312,M312,O312,Q312,S312,U312,W312,Y312,AA312,AC312,AE312)</f>
        <v>93827.32</v>
      </c>
      <c r="F312" s="113">
        <f>IFERROR(E312/B312*100,0)</f>
        <v>54.340577188883131</v>
      </c>
      <c r="G312" s="113">
        <f>IFERROR(E312/C312*100,0)</f>
        <v>125.10404954528538</v>
      </c>
      <c r="H312" s="212">
        <f>H318+H324+H330</f>
        <v>11954.5</v>
      </c>
      <c r="I312" s="212">
        <f t="shared" ref="I312:W312" si="91">I318+I324+I330</f>
        <v>5641.7</v>
      </c>
      <c r="J312" s="212">
        <f t="shared" si="91"/>
        <v>22154.04</v>
      </c>
      <c r="K312" s="212">
        <f t="shared" si="91"/>
        <v>22254.800000000003</v>
      </c>
      <c r="L312" s="212">
        <f t="shared" si="91"/>
        <v>21802.27</v>
      </c>
      <c r="M312" s="212">
        <f t="shared" si="91"/>
        <v>22525.54</v>
      </c>
      <c r="N312" s="212">
        <f t="shared" si="91"/>
        <v>19088.616750000001</v>
      </c>
      <c r="O312" s="212">
        <f t="shared" si="91"/>
        <v>12314.810000000001</v>
      </c>
      <c r="P312" s="212">
        <f t="shared" si="91"/>
        <v>18776.3544</v>
      </c>
      <c r="Q312" s="212">
        <f t="shared" si="91"/>
        <v>20941.07</v>
      </c>
      <c r="R312" s="212">
        <f t="shared" si="91"/>
        <v>9767.7273999999998</v>
      </c>
      <c r="S312" s="212">
        <f t="shared" si="91"/>
        <v>10149.4</v>
      </c>
      <c r="T312" s="212">
        <f t="shared" si="91"/>
        <v>0</v>
      </c>
      <c r="U312" s="212">
        <f t="shared" si="91"/>
        <v>0</v>
      </c>
      <c r="V312" s="212">
        <f t="shared" si="91"/>
        <v>0</v>
      </c>
      <c r="W312" s="212">
        <f t="shared" si="91"/>
        <v>0</v>
      </c>
      <c r="X312" s="212">
        <f t="shared" si="90"/>
        <v>13574.9683</v>
      </c>
      <c r="Y312" s="212">
        <f t="shared" si="90"/>
        <v>0</v>
      </c>
      <c r="Z312" s="212">
        <f t="shared" si="90"/>
        <v>21989.971899999997</v>
      </c>
      <c r="AA312" s="212">
        <f t="shared" si="90"/>
        <v>0</v>
      </c>
      <c r="AB312" s="212">
        <f t="shared" si="90"/>
        <v>17676.175900000002</v>
      </c>
      <c r="AC312" s="212">
        <f t="shared" si="90"/>
        <v>0</v>
      </c>
      <c r="AD312" s="212">
        <f t="shared" si="90"/>
        <v>15880.674199999999</v>
      </c>
      <c r="AE312" s="212">
        <f t="shared" si="90"/>
        <v>0</v>
      </c>
      <c r="AF312" s="213"/>
      <c r="AG312" s="214">
        <f t="shared" si="37"/>
        <v>0</v>
      </c>
    </row>
    <row r="313" spans="1:33" s="97" customFormat="1" x14ac:dyDescent="0.3">
      <c r="A313" s="623" t="s">
        <v>33</v>
      </c>
      <c r="B313" s="624">
        <f>J313+L313+N313+P313+R313+T313+V313+X313+Z313+AB313+AD313+H313</f>
        <v>30908.901709999998</v>
      </c>
      <c r="C313" s="215">
        <f>H313+J313+L313+N313</f>
        <v>13151.15825</v>
      </c>
      <c r="D313" s="216">
        <f>E313</f>
        <v>17750.379999999997</v>
      </c>
      <c r="E313" s="215">
        <f>SUM(I313,K313,M313,O313,Q313,S313,U313,W313,Y313,AA313,AC313,AE313)</f>
        <v>17750.379999999997</v>
      </c>
      <c r="F313" s="113">
        <f>IFERROR(E313/B313*100,0)</f>
        <v>57.428051525548682</v>
      </c>
      <c r="G313" s="113">
        <f>IFERROR(E313/C313*100,0)</f>
        <v>134.97199001464375</v>
      </c>
      <c r="H313" s="212">
        <f>H319+H325+H331</f>
        <v>2473</v>
      </c>
      <c r="I313" s="212">
        <f t="shared" si="90"/>
        <v>2473</v>
      </c>
      <c r="J313" s="212">
        <f t="shared" si="90"/>
        <v>3953</v>
      </c>
      <c r="K313" s="212">
        <f t="shared" si="90"/>
        <v>3953</v>
      </c>
      <c r="L313" s="212">
        <f t="shared" si="90"/>
        <v>3606.56</v>
      </c>
      <c r="M313" s="212">
        <f t="shared" si="90"/>
        <v>3606.57</v>
      </c>
      <c r="N313" s="212">
        <f t="shared" si="90"/>
        <v>3118.59825</v>
      </c>
      <c r="O313" s="212">
        <f t="shared" si="90"/>
        <v>2791.65</v>
      </c>
      <c r="P313" s="212">
        <f t="shared" si="90"/>
        <v>3111.4045999999998</v>
      </c>
      <c r="Q313" s="212">
        <f t="shared" si="90"/>
        <v>3111.4</v>
      </c>
      <c r="R313" s="212">
        <f t="shared" si="90"/>
        <v>1569.54</v>
      </c>
      <c r="S313" s="212">
        <f t="shared" si="90"/>
        <v>1814.7600000000002</v>
      </c>
      <c r="T313" s="212">
        <f t="shared" si="90"/>
        <v>0</v>
      </c>
      <c r="U313" s="212">
        <f t="shared" si="90"/>
        <v>0</v>
      </c>
      <c r="V313" s="212">
        <f t="shared" si="90"/>
        <v>0</v>
      </c>
      <c r="W313" s="212">
        <f t="shared" si="90"/>
        <v>0</v>
      </c>
      <c r="X313" s="212">
        <f t="shared" si="90"/>
        <v>2545.0127000000002</v>
      </c>
      <c r="Y313" s="212">
        <f t="shared" si="90"/>
        <v>0</v>
      </c>
      <c r="Z313" s="212">
        <f t="shared" si="90"/>
        <v>3946.0960999999998</v>
      </c>
      <c r="AA313" s="212">
        <f t="shared" si="90"/>
        <v>0</v>
      </c>
      <c r="AB313" s="212">
        <f t="shared" si="90"/>
        <v>3126.0090999999998</v>
      </c>
      <c r="AC313" s="212">
        <f t="shared" si="90"/>
        <v>0</v>
      </c>
      <c r="AD313" s="212">
        <f t="shared" si="90"/>
        <v>3459.6809600000001</v>
      </c>
      <c r="AE313" s="212">
        <f t="shared" si="90"/>
        <v>0</v>
      </c>
      <c r="AF313" s="213"/>
      <c r="AG313" s="214">
        <f t="shared" si="37"/>
        <v>0</v>
      </c>
    </row>
    <row r="314" spans="1:33" s="97" customFormat="1" x14ac:dyDescent="0.3">
      <c r="A314" s="623" t="s">
        <v>170</v>
      </c>
      <c r="B314" s="624"/>
      <c r="C314" s="215"/>
      <c r="D314" s="216"/>
      <c r="E314" s="215"/>
      <c r="F314" s="113"/>
      <c r="G314" s="113"/>
      <c r="H314" s="212">
        <f>H320+H326+H332</f>
        <v>0</v>
      </c>
      <c r="I314" s="212">
        <f t="shared" si="90"/>
        <v>0</v>
      </c>
      <c r="J314" s="212">
        <f t="shared" si="90"/>
        <v>0</v>
      </c>
      <c r="K314" s="212">
        <f t="shared" si="90"/>
        <v>0</v>
      </c>
      <c r="L314" s="212">
        <f t="shared" si="90"/>
        <v>0</v>
      </c>
      <c r="M314" s="212">
        <f t="shared" si="90"/>
        <v>0</v>
      </c>
      <c r="N314" s="212">
        <f t="shared" si="90"/>
        <v>0</v>
      </c>
      <c r="O314" s="212">
        <f t="shared" si="90"/>
        <v>0</v>
      </c>
      <c r="P314" s="212">
        <f t="shared" si="90"/>
        <v>0</v>
      </c>
      <c r="Q314" s="212">
        <f t="shared" si="90"/>
        <v>0</v>
      </c>
      <c r="R314" s="212">
        <f t="shared" si="90"/>
        <v>0</v>
      </c>
      <c r="S314" s="212">
        <f t="shared" si="90"/>
        <v>0</v>
      </c>
      <c r="T314" s="212">
        <f t="shared" si="90"/>
        <v>0</v>
      </c>
      <c r="U314" s="212">
        <f t="shared" si="90"/>
        <v>0</v>
      </c>
      <c r="V314" s="212">
        <f t="shared" si="90"/>
        <v>0</v>
      </c>
      <c r="W314" s="212">
        <f t="shared" si="90"/>
        <v>0</v>
      </c>
      <c r="X314" s="212">
        <f t="shared" si="90"/>
        <v>0</v>
      </c>
      <c r="Y314" s="212">
        <f t="shared" si="90"/>
        <v>0</v>
      </c>
      <c r="Z314" s="212">
        <f t="shared" si="90"/>
        <v>0</v>
      </c>
      <c r="AA314" s="212">
        <f t="shared" si="90"/>
        <v>0</v>
      </c>
      <c r="AB314" s="212">
        <f t="shared" si="90"/>
        <v>0</v>
      </c>
      <c r="AC314" s="212">
        <f t="shared" si="90"/>
        <v>0</v>
      </c>
      <c r="AD314" s="212">
        <f t="shared" si="90"/>
        <v>0</v>
      </c>
      <c r="AE314" s="212">
        <f t="shared" si="90"/>
        <v>0</v>
      </c>
      <c r="AF314" s="213"/>
      <c r="AG314" s="214">
        <f t="shared" si="37"/>
        <v>0</v>
      </c>
    </row>
    <row r="315" spans="1:33" ht="61.5" customHeight="1" x14ac:dyDescent="0.3">
      <c r="A315" s="787" t="s">
        <v>308</v>
      </c>
      <c r="B315" s="627"/>
      <c r="C315" s="110"/>
      <c r="D315" s="110"/>
      <c r="E315" s="110"/>
      <c r="F315" s="110"/>
      <c r="G315" s="110"/>
      <c r="H315" s="111"/>
      <c r="I315" s="111"/>
      <c r="J315" s="111"/>
      <c r="K315" s="111"/>
      <c r="L315" s="111"/>
      <c r="M315" s="111"/>
      <c r="N315" s="111"/>
      <c r="O315" s="111"/>
      <c r="P315" s="111"/>
      <c r="Q315" s="111"/>
      <c r="R315" s="111"/>
      <c r="S315" s="111"/>
      <c r="T315" s="111"/>
      <c r="U315" s="111"/>
      <c r="V315" s="111"/>
      <c r="W315" s="111"/>
      <c r="X315" s="111"/>
      <c r="Y315" s="111"/>
      <c r="Z315" s="111"/>
      <c r="AA315" s="111"/>
      <c r="AB315" s="111"/>
      <c r="AC315" s="111"/>
      <c r="AD315" s="111"/>
      <c r="AE315" s="111"/>
      <c r="AF315" s="29"/>
      <c r="AG315" s="102">
        <f t="shared" si="37"/>
        <v>0</v>
      </c>
    </row>
    <row r="316" spans="1:33" x14ac:dyDescent="0.3">
      <c r="A316" s="623" t="s">
        <v>31</v>
      </c>
      <c r="B316" s="624">
        <f>B318+B319+B317+B320</f>
        <v>69616.206900000019</v>
      </c>
      <c r="C316" s="113">
        <f>C318+C319+C317+C320</f>
        <v>33458.65855</v>
      </c>
      <c r="D316" s="114">
        <f>D318+D319+D317+D320</f>
        <v>32567.540000000005</v>
      </c>
      <c r="E316" s="113">
        <f>E318+E319+E317+E320</f>
        <v>32567.540000000005</v>
      </c>
      <c r="F316" s="113">
        <f>IFERROR(E316/B316*100,0)</f>
        <v>46.781549082071571</v>
      </c>
      <c r="G316" s="113">
        <f>IFERROR(E316/C316*100,0)</f>
        <v>97.336657867892924</v>
      </c>
      <c r="H316" s="113">
        <f t="shared" ref="H316:AE316" si="92">H318+H319+H317+H320</f>
        <v>3583.5</v>
      </c>
      <c r="I316" s="113">
        <f t="shared" si="92"/>
        <v>3583.5</v>
      </c>
      <c r="J316" s="113">
        <f t="shared" si="92"/>
        <v>7469.0999999999995</v>
      </c>
      <c r="K316" s="113">
        <f t="shared" si="92"/>
        <v>7469.0999999999995</v>
      </c>
      <c r="L316" s="113">
        <f t="shared" si="92"/>
        <v>7977.76</v>
      </c>
      <c r="M316" s="113">
        <f t="shared" si="92"/>
        <v>7977.7699999999995</v>
      </c>
      <c r="N316" s="113">
        <f t="shared" si="92"/>
        <v>6494.36175</v>
      </c>
      <c r="O316" s="113">
        <f t="shared" si="92"/>
        <v>3649.23</v>
      </c>
      <c r="P316" s="113">
        <f t="shared" si="92"/>
        <v>5464.7921999999999</v>
      </c>
      <c r="Q316" s="113">
        <f t="shared" si="92"/>
        <v>7629.5</v>
      </c>
      <c r="R316" s="113">
        <f t="shared" si="92"/>
        <v>2469.1446000000001</v>
      </c>
      <c r="S316" s="113">
        <f t="shared" si="92"/>
        <v>2258.44</v>
      </c>
      <c r="T316" s="113">
        <f t="shared" si="92"/>
        <v>0</v>
      </c>
      <c r="U316" s="113">
        <f t="shared" si="92"/>
        <v>0</v>
      </c>
      <c r="V316" s="113">
        <f t="shared" si="92"/>
        <v>0</v>
      </c>
      <c r="W316" s="113">
        <f t="shared" si="92"/>
        <v>0</v>
      </c>
      <c r="X316" s="113">
        <f t="shared" si="92"/>
        <v>9001.0609000000004</v>
      </c>
      <c r="Y316" s="113">
        <f t="shared" si="92"/>
        <v>0</v>
      </c>
      <c r="Z316" s="113">
        <f t="shared" si="92"/>
        <v>10241.3737</v>
      </c>
      <c r="AA316" s="113">
        <f t="shared" si="92"/>
        <v>0</v>
      </c>
      <c r="AB316" s="113">
        <f t="shared" si="92"/>
        <v>7804.4637000000002</v>
      </c>
      <c r="AC316" s="113">
        <f t="shared" si="92"/>
        <v>0</v>
      </c>
      <c r="AD316" s="113">
        <f t="shared" si="92"/>
        <v>9110.6500500000002</v>
      </c>
      <c r="AE316" s="113">
        <f t="shared" si="92"/>
        <v>0</v>
      </c>
      <c r="AF316" s="29"/>
      <c r="AG316" s="102">
        <f t="shared" si="37"/>
        <v>2.5465851649641991E-11</v>
      </c>
    </row>
    <row r="317" spans="1:33" x14ac:dyDescent="0.3">
      <c r="A317" s="626" t="s">
        <v>169</v>
      </c>
      <c r="B317" s="627">
        <f>J317+L317+N317+P317+R317+T317+V317+X317+Z317+AB317+AD317+H317</f>
        <v>25292.802340000002</v>
      </c>
      <c r="C317" s="117">
        <f>H317+J317+L317+N317+P317+R317</f>
        <v>12156.140150000001</v>
      </c>
      <c r="D317" s="118">
        <f>E317</f>
        <v>11832.380000000001</v>
      </c>
      <c r="E317" s="117">
        <f>SUM(I317,K317,M317,O317,Q317,S317,U317,W317,Y317,AA317,AC317,AE317)</f>
        <v>11832.380000000001</v>
      </c>
      <c r="F317" s="116">
        <f>IFERROR(E317/B317*100,0)</f>
        <v>46.781609411810237</v>
      </c>
      <c r="G317" s="116">
        <f>IFERROR(E317/C317*100,0)</f>
        <v>97.336653361963741</v>
      </c>
      <c r="H317" s="111">
        <v>1301.9000000000001</v>
      </c>
      <c r="I317" s="111">
        <v>1301.9000000000001</v>
      </c>
      <c r="J317" s="111">
        <v>2713.7</v>
      </c>
      <c r="K317" s="111">
        <v>2713.7</v>
      </c>
      <c r="L317" s="111">
        <v>2898.5</v>
      </c>
      <c r="M317" s="111">
        <v>2898.5</v>
      </c>
      <c r="N317" s="111">
        <f>2772.97675-148.08-1157.23</f>
        <v>1467.6667499999999</v>
      </c>
      <c r="O317" s="111">
        <v>1325.81</v>
      </c>
      <c r="P317" s="111">
        <v>2860.0432000000001</v>
      </c>
      <c r="Q317" s="111">
        <v>2860.04</v>
      </c>
      <c r="R317" s="111">
        <v>914.33019999999999</v>
      </c>
      <c r="S317" s="111">
        <v>732.43</v>
      </c>
      <c r="T317" s="111"/>
      <c r="U317" s="111"/>
      <c r="V317" s="111"/>
      <c r="W317" s="111"/>
      <c r="X317" s="111">
        <f>2028.7749+148.08+1157.23</f>
        <v>3334.0848999999998</v>
      </c>
      <c r="Y317" s="111"/>
      <c r="Z317" s="111">
        <f>1077+3218.6217</f>
        <v>4295.6216999999997</v>
      </c>
      <c r="AA317" s="111"/>
      <c r="AB317" s="111">
        <v>2846.4506999999999</v>
      </c>
      <c r="AC317" s="111"/>
      <c r="AD317" s="111">
        <v>2660.5048900000002</v>
      </c>
      <c r="AE317" s="111"/>
      <c r="AF317" s="29"/>
      <c r="AG317" s="102">
        <f t="shared" si="37"/>
        <v>0</v>
      </c>
    </row>
    <row r="318" spans="1:33" x14ac:dyDescent="0.3">
      <c r="A318" s="626" t="s">
        <v>32</v>
      </c>
      <c r="B318" s="627">
        <f>J318+L318+N318+P318+R318+T318+V318+X318+Z318+AB318+AD318+H318</f>
        <v>37939.302850000007</v>
      </c>
      <c r="C318" s="117">
        <f>H318+J318+L318+N318+P318+R318</f>
        <v>18234.215550000001</v>
      </c>
      <c r="D318" s="118">
        <f>E318</f>
        <v>17748.580000000002</v>
      </c>
      <c r="E318" s="117">
        <f>SUM(I318,K318,M318,O318,Q318,S318,U318,W318,Y318,AA318,AC318,AE318)</f>
        <v>17748.580000000002</v>
      </c>
      <c r="F318" s="116">
        <f>IFERROR(E318/B318*100,0)</f>
        <v>46.781513277068555</v>
      </c>
      <c r="G318" s="116">
        <f>IFERROR(E318/C318*100,0)</f>
        <v>97.336679778363163</v>
      </c>
      <c r="H318" s="111">
        <v>1953</v>
      </c>
      <c r="I318" s="111">
        <v>1953</v>
      </c>
      <c r="J318" s="111">
        <v>4070.4</v>
      </c>
      <c r="K318" s="111">
        <v>4070.4</v>
      </c>
      <c r="L318" s="111">
        <v>4347.7</v>
      </c>
      <c r="M318" s="111">
        <v>4347.7</v>
      </c>
      <c r="N318" s="111">
        <f>4146.31675+218.78</f>
        <v>4365.0967499999997</v>
      </c>
      <c r="O318" s="111">
        <v>1988.77</v>
      </c>
      <c r="P318" s="111">
        <f>4356.0644-2164.72</f>
        <v>2191.3444000000004</v>
      </c>
      <c r="Q318" s="111">
        <v>4356.0600000000004</v>
      </c>
      <c r="R318" s="111">
        <f>1525.4544+218.78-437.56</f>
        <v>1306.6744000000001</v>
      </c>
      <c r="S318" s="111">
        <v>1032.6500000000001</v>
      </c>
      <c r="T318" s="111">
        <v>0</v>
      </c>
      <c r="U318" s="111"/>
      <c r="V318" s="111">
        <v>0</v>
      </c>
      <c r="W318" s="111"/>
      <c r="X318" s="111">
        <f>3182.58+3078.7633-1557.38</f>
        <v>4703.9633000000003</v>
      </c>
      <c r="Y318" s="111"/>
      <c r="Z318" s="111">
        <v>4814.6558999999997</v>
      </c>
      <c r="AA318" s="111"/>
      <c r="AB318" s="111">
        <v>4295.6039000000001</v>
      </c>
      <c r="AC318" s="111"/>
      <c r="AD318" s="111">
        <f>2164.72+3726.1442</f>
        <v>5890.8642</v>
      </c>
      <c r="AE318" s="111"/>
      <c r="AF318" s="29"/>
      <c r="AG318" s="102">
        <f t="shared" si="37"/>
        <v>0</v>
      </c>
    </row>
    <row r="319" spans="1:33" x14ac:dyDescent="0.3">
      <c r="A319" s="626" t="s">
        <v>33</v>
      </c>
      <c r="B319" s="627">
        <f>J319+L319+N319+P319+R319+T319+V319+X319+Z319+AB319+AD319+H319</f>
        <v>6384.1017099999999</v>
      </c>
      <c r="C319" s="117">
        <f>H319+J319+L319+N319+P319+R319</f>
        <v>3068.3028499999996</v>
      </c>
      <c r="D319" s="118">
        <f>E319</f>
        <v>2986.5800000000004</v>
      </c>
      <c r="E319" s="117">
        <f>SUM(I319,K319,M319,O319,Q319,S319,U319,W319,Y319,AA319,AC319,AE319)</f>
        <v>2986.5800000000004</v>
      </c>
      <c r="F319" s="116">
        <f>IFERROR(E319/B319*100,0)</f>
        <v>46.781522846383353</v>
      </c>
      <c r="G319" s="116">
        <f>IFERROR(E319/C319*100,0)</f>
        <v>97.336545510818823</v>
      </c>
      <c r="H319" s="111">
        <v>328.6</v>
      </c>
      <c r="I319" s="111">
        <v>328.6</v>
      </c>
      <c r="J319" s="111">
        <v>685</v>
      </c>
      <c r="K319" s="111">
        <v>685</v>
      </c>
      <c r="L319" s="111">
        <v>731.56</v>
      </c>
      <c r="M319" s="111">
        <v>731.57</v>
      </c>
      <c r="N319" s="111">
        <f>736.01825-74.42</f>
        <v>661.59825000000001</v>
      </c>
      <c r="O319" s="111">
        <v>334.65</v>
      </c>
      <c r="P319" s="111">
        <f>769.2946-355.89</f>
        <v>413.40459999999996</v>
      </c>
      <c r="Q319" s="111">
        <v>413.4</v>
      </c>
      <c r="R319" s="111">
        <v>248.14</v>
      </c>
      <c r="S319" s="111">
        <v>493.36</v>
      </c>
      <c r="T319" s="111"/>
      <c r="U319" s="111"/>
      <c r="V319" s="111"/>
      <c r="W319" s="111"/>
      <c r="X319" s="111">
        <f>532.7027+74.42+355.89</f>
        <v>963.0127</v>
      </c>
      <c r="Y319" s="111"/>
      <c r="Z319" s="111">
        <f>356.4+774.6961</f>
        <v>1131.0961</v>
      </c>
      <c r="AA319" s="111"/>
      <c r="AB319" s="111">
        <v>662.40909999999997</v>
      </c>
      <c r="AC319" s="111"/>
      <c r="AD319" s="111">
        <f>19.97+539.31096</f>
        <v>559.28096000000005</v>
      </c>
      <c r="AE319" s="111"/>
      <c r="AF319" s="29"/>
      <c r="AG319" s="102">
        <f t="shared" si="37"/>
        <v>0</v>
      </c>
    </row>
    <row r="320" spans="1:33" x14ac:dyDescent="0.3">
      <c r="A320" s="115" t="s">
        <v>170</v>
      </c>
      <c r="B320" s="116"/>
      <c r="C320" s="117"/>
      <c r="D320" s="118"/>
      <c r="E320" s="117"/>
      <c r="F320" s="116"/>
      <c r="G320" s="116"/>
      <c r="H320" s="111"/>
      <c r="I320" s="111"/>
      <c r="J320" s="111"/>
      <c r="K320" s="111"/>
      <c r="L320" s="111"/>
      <c r="M320" s="111"/>
      <c r="N320" s="111"/>
      <c r="O320" s="111"/>
      <c r="P320" s="111"/>
      <c r="Q320" s="111"/>
      <c r="R320" s="111"/>
      <c r="S320" s="111"/>
      <c r="T320" s="111"/>
      <c r="U320" s="111"/>
      <c r="V320" s="111"/>
      <c r="W320" s="111"/>
      <c r="X320" s="111"/>
      <c r="Y320" s="111"/>
      <c r="Z320" s="111"/>
      <c r="AA320" s="111"/>
      <c r="AB320" s="111"/>
      <c r="AC320" s="111"/>
      <c r="AD320" s="111"/>
      <c r="AE320" s="111"/>
      <c r="AF320" s="29"/>
      <c r="AG320" s="102">
        <f t="shared" si="37"/>
        <v>0</v>
      </c>
    </row>
    <row r="321" spans="1:42" ht="39.75" customHeight="1" x14ac:dyDescent="0.3">
      <c r="A321" s="787" t="s">
        <v>309</v>
      </c>
      <c r="B321" s="627"/>
      <c r="C321" s="635"/>
      <c r="D321" s="635"/>
      <c r="E321" s="635"/>
      <c r="F321" s="635"/>
      <c r="G321" s="635"/>
      <c r="H321" s="520"/>
      <c r="I321" s="520"/>
      <c r="J321" s="520"/>
      <c r="K321" s="520"/>
      <c r="L321" s="520"/>
      <c r="M321" s="520"/>
      <c r="N321" s="520"/>
      <c r="O321" s="520"/>
      <c r="P321" s="520"/>
      <c r="Q321" s="520"/>
      <c r="R321" s="520"/>
      <c r="S321" s="520"/>
      <c r="T321" s="520"/>
      <c r="U321" s="520"/>
      <c r="V321" s="520"/>
      <c r="W321" s="520"/>
      <c r="X321" s="520"/>
      <c r="Y321" s="520"/>
      <c r="Z321" s="520"/>
      <c r="AA321" s="520"/>
      <c r="AB321" s="520"/>
      <c r="AC321" s="520"/>
      <c r="AD321" s="520"/>
      <c r="AE321" s="520"/>
      <c r="AF321" s="620"/>
      <c r="AG321" s="621">
        <f t="shared" si="37"/>
        <v>0</v>
      </c>
      <c r="AH321" s="622"/>
      <c r="AI321" s="622"/>
      <c r="AJ321" s="622"/>
      <c r="AK321" s="622"/>
      <c r="AL321" s="622"/>
      <c r="AM321" s="622"/>
      <c r="AN321" s="622"/>
      <c r="AO321" s="622"/>
      <c r="AP321" s="622"/>
    </row>
    <row r="322" spans="1:42" x14ac:dyDescent="0.3">
      <c r="A322" s="623" t="s">
        <v>31</v>
      </c>
      <c r="B322" s="624">
        <f>B324+B325+B323+B326</f>
        <v>24524.800000000003</v>
      </c>
      <c r="C322" s="624">
        <f>C324+C325+C323+C326</f>
        <v>14763.8</v>
      </c>
      <c r="D322" s="788">
        <f>D324+D325+D323+D326</f>
        <v>14763.8</v>
      </c>
      <c r="E322" s="624">
        <f>E324+E325+E323+E326</f>
        <v>14763.8</v>
      </c>
      <c r="F322" s="624">
        <f>IFERROR(E322/B322*100,0)</f>
        <v>60.199471555323584</v>
      </c>
      <c r="G322" s="624">
        <f>IFERROR(E322/C322*100,0)</f>
        <v>100</v>
      </c>
      <c r="H322" s="624">
        <f t="shared" ref="H322:AE322" si="93">H324+H325+H323+H326</f>
        <v>2144.4</v>
      </c>
      <c r="I322" s="624">
        <f t="shared" si="93"/>
        <v>2144.4</v>
      </c>
      <c r="J322" s="624">
        <f t="shared" si="93"/>
        <v>3268</v>
      </c>
      <c r="K322" s="624">
        <f t="shared" si="93"/>
        <v>3268</v>
      </c>
      <c r="L322" s="624">
        <f t="shared" si="93"/>
        <v>2875</v>
      </c>
      <c r="M322" s="624">
        <f t="shared" si="93"/>
        <v>2875</v>
      </c>
      <c r="N322" s="624">
        <f t="shared" si="93"/>
        <v>2457</v>
      </c>
      <c r="O322" s="624">
        <f t="shared" si="93"/>
        <v>2457</v>
      </c>
      <c r="P322" s="624">
        <f t="shared" si="93"/>
        <v>2698</v>
      </c>
      <c r="Q322" s="624">
        <f t="shared" si="93"/>
        <v>2698</v>
      </c>
      <c r="R322" s="624">
        <f t="shared" si="93"/>
        <v>1321.4</v>
      </c>
      <c r="S322" s="624">
        <f t="shared" si="93"/>
        <v>1321.4</v>
      </c>
      <c r="T322" s="624">
        <f t="shared" si="93"/>
        <v>0</v>
      </c>
      <c r="U322" s="624">
        <f t="shared" si="93"/>
        <v>0</v>
      </c>
      <c r="V322" s="624">
        <f t="shared" si="93"/>
        <v>0</v>
      </c>
      <c r="W322" s="624">
        <f t="shared" si="93"/>
        <v>0</v>
      </c>
      <c r="X322" s="624">
        <f t="shared" si="93"/>
        <v>1582</v>
      </c>
      <c r="Y322" s="624">
        <f t="shared" si="93"/>
        <v>0</v>
      </c>
      <c r="Z322" s="624">
        <f t="shared" si="93"/>
        <v>2815</v>
      </c>
      <c r="AA322" s="624">
        <f t="shared" si="93"/>
        <v>0</v>
      </c>
      <c r="AB322" s="624">
        <f t="shared" si="93"/>
        <v>2463.6</v>
      </c>
      <c r="AC322" s="624">
        <f t="shared" si="93"/>
        <v>0</v>
      </c>
      <c r="AD322" s="624">
        <f t="shared" si="93"/>
        <v>2900.4</v>
      </c>
      <c r="AE322" s="624">
        <f t="shared" si="93"/>
        <v>0</v>
      </c>
      <c r="AF322" s="620"/>
      <c r="AG322" s="621">
        <f t="shared" si="37"/>
        <v>0</v>
      </c>
      <c r="AH322" s="622"/>
      <c r="AI322" s="622"/>
      <c r="AJ322" s="622"/>
      <c r="AK322" s="622"/>
      <c r="AL322" s="622"/>
      <c r="AM322" s="622"/>
      <c r="AN322" s="622"/>
      <c r="AO322" s="622"/>
      <c r="AP322" s="622"/>
    </row>
    <row r="323" spans="1:42" x14ac:dyDescent="0.3">
      <c r="A323" s="626" t="s">
        <v>169</v>
      </c>
      <c r="B323" s="627">
        <f>J323+L323+N323+P323+R323+T323+V323+X323+Z323+AB323+AD323+H323</f>
        <v>0</v>
      </c>
      <c r="C323" s="786">
        <f>SUM(H323)</f>
        <v>0</v>
      </c>
      <c r="D323" s="789">
        <f>E323</f>
        <v>0</v>
      </c>
      <c r="E323" s="786">
        <f>SUM(I323,K323,M323,O323,Q323,S323,U323,W323,Y323,AA323,AC323,AE323)</f>
        <v>0</v>
      </c>
      <c r="F323" s="627">
        <f>IFERROR(E323/B323*100,0)</f>
        <v>0</v>
      </c>
      <c r="G323" s="627">
        <f>IFERROR(E323/C323*100,0)</f>
        <v>0</v>
      </c>
      <c r="H323" s="520"/>
      <c r="I323" s="520"/>
      <c r="J323" s="520"/>
      <c r="K323" s="520"/>
      <c r="L323" s="520"/>
      <c r="M323" s="520"/>
      <c r="N323" s="520"/>
      <c r="O323" s="520"/>
      <c r="P323" s="520"/>
      <c r="Q323" s="520"/>
      <c r="R323" s="520"/>
      <c r="S323" s="520"/>
      <c r="T323" s="520"/>
      <c r="U323" s="520"/>
      <c r="V323" s="520"/>
      <c r="W323" s="520"/>
      <c r="X323" s="520"/>
      <c r="Y323" s="520"/>
      <c r="Z323" s="520"/>
      <c r="AA323" s="520"/>
      <c r="AB323" s="520"/>
      <c r="AC323" s="520"/>
      <c r="AD323" s="520"/>
      <c r="AE323" s="520"/>
      <c r="AF323" s="620"/>
      <c r="AG323" s="621">
        <f t="shared" si="37"/>
        <v>0</v>
      </c>
      <c r="AH323" s="622"/>
      <c r="AI323" s="622"/>
      <c r="AJ323" s="622"/>
      <c r="AK323" s="622"/>
      <c r="AL323" s="622"/>
      <c r="AM323" s="622"/>
      <c r="AN323" s="622"/>
      <c r="AO323" s="622"/>
      <c r="AP323" s="622"/>
    </row>
    <row r="324" spans="1:42" x14ac:dyDescent="0.3">
      <c r="A324" s="626" t="s">
        <v>32</v>
      </c>
      <c r="B324" s="627">
        <f>J324+L324+N324+P324+R324+T324+V324+X324+Z324+AB324+AD324+H324</f>
        <v>0</v>
      </c>
      <c r="C324" s="786">
        <f>SUM(H324)</f>
        <v>0</v>
      </c>
      <c r="D324" s="789">
        <f>E324</f>
        <v>0</v>
      </c>
      <c r="E324" s="786">
        <f>SUM(I324,K324,M324,O324,Q324,S324,U324,W324,Y324,AA324,AC324,AE324)</f>
        <v>0</v>
      </c>
      <c r="F324" s="627">
        <f>IFERROR(E324/B324*100,0)</f>
        <v>0</v>
      </c>
      <c r="G324" s="627">
        <f>IFERROR(E324/C324*100,0)</f>
        <v>0</v>
      </c>
      <c r="H324" s="520"/>
      <c r="I324" s="520"/>
      <c r="J324" s="520"/>
      <c r="K324" s="520"/>
      <c r="L324" s="520"/>
      <c r="M324" s="520"/>
      <c r="N324" s="520"/>
      <c r="O324" s="520"/>
      <c r="P324" s="520"/>
      <c r="Q324" s="520"/>
      <c r="R324" s="520"/>
      <c r="S324" s="520"/>
      <c r="T324" s="520"/>
      <c r="U324" s="520"/>
      <c r="V324" s="520"/>
      <c r="W324" s="520"/>
      <c r="X324" s="520"/>
      <c r="Y324" s="520"/>
      <c r="Z324" s="520"/>
      <c r="AA324" s="520"/>
      <c r="AB324" s="520"/>
      <c r="AC324" s="520"/>
      <c r="AD324" s="520"/>
      <c r="AE324" s="520"/>
      <c r="AF324" s="620"/>
      <c r="AG324" s="621">
        <f t="shared" si="37"/>
        <v>0</v>
      </c>
      <c r="AH324" s="622"/>
      <c r="AI324" s="622"/>
      <c r="AJ324" s="622"/>
      <c r="AK324" s="622"/>
      <c r="AL324" s="622"/>
      <c r="AM324" s="622"/>
      <c r="AN324" s="622"/>
      <c r="AO324" s="622"/>
      <c r="AP324" s="622"/>
    </row>
    <row r="325" spans="1:42" x14ac:dyDescent="0.3">
      <c r="A325" s="626" t="s">
        <v>33</v>
      </c>
      <c r="B325" s="627">
        <f>J325+L325+N325+P325+R325+T325+V325+X325+Z325+AB325+AD325+H325</f>
        <v>24524.800000000003</v>
      </c>
      <c r="C325" s="786">
        <f>H325+J325+L325+N325+P325+R325</f>
        <v>14763.8</v>
      </c>
      <c r="D325" s="789">
        <f>E325</f>
        <v>14763.8</v>
      </c>
      <c r="E325" s="786">
        <f>SUM(I325,K325,M325,O325,Q325,S325,U325,W325,Y325,AA325,AC325,AE325)</f>
        <v>14763.8</v>
      </c>
      <c r="F325" s="627">
        <f>IFERROR(E325/B325*100,0)</f>
        <v>60.199471555323584</v>
      </c>
      <c r="G325" s="627">
        <f>IFERROR(E325/C325*100,0)</f>
        <v>100</v>
      </c>
      <c r="H325" s="520">
        <v>2144.4</v>
      </c>
      <c r="I325" s="520">
        <v>2144.4</v>
      </c>
      <c r="J325" s="520">
        <v>3268</v>
      </c>
      <c r="K325" s="520">
        <v>3268</v>
      </c>
      <c r="L325" s="520">
        <v>2875</v>
      </c>
      <c r="M325" s="520">
        <v>2875</v>
      </c>
      <c r="N325" s="520">
        <v>2457</v>
      </c>
      <c r="O325" s="520">
        <v>2457</v>
      </c>
      <c r="P325" s="520">
        <v>2698</v>
      </c>
      <c r="Q325" s="520">
        <v>2698</v>
      </c>
      <c r="R325" s="520">
        <v>1321.4</v>
      </c>
      <c r="S325" s="520">
        <v>1321.4</v>
      </c>
      <c r="T325" s="520"/>
      <c r="U325" s="520"/>
      <c r="V325" s="520">
        <v>0</v>
      </c>
      <c r="W325" s="520"/>
      <c r="X325" s="520">
        <v>1582</v>
      </c>
      <c r="Y325" s="520"/>
      <c r="Z325" s="520">
        <v>2815</v>
      </c>
      <c r="AA325" s="520"/>
      <c r="AB325" s="520">
        <v>2463.6</v>
      </c>
      <c r="AC325" s="520"/>
      <c r="AD325" s="520">
        <v>2900.4</v>
      </c>
      <c r="AE325" s="520"/>
      <c r="AF325" s="620"/>
      <c r="AG325" s="621">
        <f t="shared" si="37"/>
        <v>0</v>
      </c>
      <c r="AH325" s="622"/>
      <c r="AI325" s="622"/>
      <c r="AJ325" s="622"/>
      <c r="AK325" s="622"/>
      <c r="AL325" s="622"/>
      <c r="AM325" s="622"/>
      <c r="AN325" s="622"/>
      <c r="AO325" s="622"/>
      <c r="AP325" s="622"/>
    </row>
    <row r="326" spans="1:42" x14ac:dyDescent="0.3">
      <c r="A326" s="626" t="s">
        <v>170</v>
      </c>
      <c r="B326" s="627"/>
      <c r="C326" s="786"/>
      <c r="D326" s="789"/>
      <c r="E326" s="786"/>
      <c r="F326" s="627"/>
      <c r="G326" s="627"/>
      <c r="H326" s="520"/>
      <c r="I326" s="520"/>
      <c r="J326" s="520"/>
      <c r="K326" s="520"/>
      <c r="L326" s="520"/>
      <c r="M326" s="520"/>
      <c r="N326" s="520"/>
      <c r="O326" s="520"/>
      <c r="P326" s="520"/>
      <c r="Q326" s="520"/>
      <c r="R326" s="520"/>
      <c r="S326" s="520"/>
      <c r="T326" s="520"/>
      <c r="U326" s="520"/>
      <c r="V326" s="520"/>
      <c r="W326" s="520"/>
      <c r="X326" s="520"/>
      <c r="Y326" s="520"/>
      <c r="Z326" s="520"/>
      <c r="AA326" s="520"/>
      <c r="AB326" s="520"/>
      <c r="AC326" s="520"/>
      <c r="AD326" s="520"/>
      <c r="AE326" s="520"/>
      <c r="AF326" s="620"/>
      <c r="AG326" s="621">
        <f t="shared" si="37"/>
        <v>0</v>
      </c>
      <c r="AH326" s="622"/>
      <c r="AI326" s="622"/>
      <c r="AJ326" s="622"/>
      <c r="AK326" s="622"/>
      <c r="AL326" s="622"/>
      <c r="AM326" s="622"/>
      <c r="AN326" s="622"/>
      <c r="AO326" s="622"/>
      <c r="AP326" s="622"/>
    </row>
    <row r="327" spans="1:42" ht="133.5" customHeight="1" x14ac:dyDescent="0.3">
      <c r="A327" s="787" t="s">
        <v>310</v>
      </c>
      <c r="B327" s="627"/>
      <c r="C327" s="635"/>
      <c r="D327" s="635"/>
      <c r="E327" s="635"/>
      <c r="F327" s="635"/>
      <c r="G327" s="635"/>
      <c r="H327" s="520"/>
      <c r="I327" s="520"/>
      <c r="J327" s="520"/>
      <c r="K327" s="520"/>
      <c r="L327" s="520"/>
      <c r="M327" s="520"/>
      <c r="N327" s="520"/>
      <c r="O327" s="520"/>
      <c r="P327" s="520"/>
      <c r="Q327" s="520"/>
      <c r="R327" s="520"/>
      <c r="S327" s="520"/>
      <c r="T327" s="520"/>
      <c r="U327" s="520"/>
      <c r="V327" s="520"/>
      <c r="W327" s="520"/>
      <c r="X327" s="520"/>
      <c r="Y327" s="520"/>
      <c r="Z327" s="520"/>
      <c r="AA327" s="520"/>
      <c r="AB327" s="520"/>
      <c r="AC327" s="520"/>
      <c r="AD327" s="520"/>
      <c r="AE327" s="520"/>
      <c r="AF327" s="620"/>
      <c r="AG327" s="621">
        <f t="shared" si="37"/>
        <v>0</v>
      </c>
      <c r="AH327" s="622"/>
      <c r="AI327" s="622"/>
      <c r="AJ327" s="622"/>
      <c r="AK327" s="622"/>
      <c r="AL327" s="622"/>
      <c r="AM327" s="622"/>
      <c r="AN327" s="622"/>
      <c r="AO327" s="622"/>
      <c r="AP327" s="622"/>
    </row>
    <row r="328" spans="1:42" x14ac:dyDescent="0.3">
      <c r="A328" s="623" t="s">
        <v>31</v>
      </c>
      <c r="B328" s="624">
        <f>B330+B331+B329+B332</f>
        <v>134725.99599999998</v>
      </c>
      <c r="C328" s="624">
        <f>C330+C331+C329+C332</f>
        <v>85309.292999999991</v>
      </c>
      <c r="D328" s="788">
        <f>D330+D331+D329+D332</f>
        <v>76078.740000000005</v>
      </c>
      <c r="E328" s="624">
        <f>E330+E331+E329+E332</f>
        <v>76078.740000000005</v>
      </c>
      <c r="F328" s="624">
        <f>IFERROR(E328/B328*100,0)</f>
        <v>56.46923552897691</v>
      </c>
      <c r="G328" s="624">
        <f>IFERROR(E328/C328*100,0)</f>
        <v>89.179897435089529</v>
      </c>
      <c r="H328" s="624">
        <f t="shared" ref="H328:AE328" si="94">H330+H331+H329+H332</f>
        <v>10001.5</v>
      </c>
      <c r="I328" s="624">
        <f t="shared" si="94"/>
        <v>3688.7</v>
      </c>
      <c r="J328" s="624">
        <f t="shared" si="94"/>
        <v>18083.64</v>
      </c>
      <c r="K328" s="624">
        <f t="shared" si="94"/>
        <v>18184.400000000001</v>
      </c>
      <c r="L328" s="624">
        <f t="shared" si="94"/>
        <v>17454.57</v>
      </c>
      <c r="M328" s="624">
        <f t="shared" si="94"/>
        <v>18177.84</v>
      </c>
      <c r="N328" s="624">
        <f t="shared" si="94"/>
        <v>14723.52</v>
      </c>
      <c r="O328" s="624">
        <f t="shared" si="94"/>
        <v>10326.040000000001</v>
      </c>
      <c r="P328" s="624">
        <f t="shared" si="94"/>
        <v>16585.009999999998</v>
      </c>
      <c r="Q328" s="624">
        <f t="shared" si="94"/>
        <v>16585.009999999998</v>
      </c>
      <c r="R328" s="624">
        <f t="shared" si="94"/>
        <v>8461.0529999999999</v>
      </c>
      <c r="S328" s="624">
        <f t="shared" si="94"/>
        <v>9116.75</v>
      </c>
      <c r="T328" s="624">
        <f t="shared" si="94"/>
        <v>0</v>
      </c>
      <c r="U328" s="624">
        <f t="shared" si="94"/>
        <v>0</v>
      </c>
      <c r="V328" s="624">
        <f t="shared" si="94"/>
        <v>0</v>
      </c>
      <c r="W328" s="624">
        <f t="shared" si="94"/>
        <v>0</v>
      </c>
      <c r="X328" s="624">
        <f t="shared" si="94"/>
        <v>8871.005000000001</v>
      </c>
      <c r="Y328" s="624">
        <f t="shared" si="94"/>
        <v>0</v>
      </c>
      <c r="Z328" s="624">
        <f t="shared" si="94"/>
        <v>17175.315999999999</v>
      </c>
      <c r="AA328" s="624">
        <f t="shared" si="94"/>
        <v>0</v>
      </c>
      <c r="AB328" s="624">
        <f t="shared" si="94"/>
        <v>13380.572</v>
      </c>
      <c r="AC328" s="624">
        <f t="shared" si="94"/>
        <v>0</v>
      </c>
      <c r="AD328" s="624">
        <f t="shared" si="94"/>
        <v>9989.81</v>
      </c>
      <c r="AE328" s="624">
        <f t="shared" si="94"/>
        <v>0</v>
      </c>
      <c r="AF328" s="620"/>
      <c r="AG328" s="621">
        <f t="shared" si="37"/>
        <v>0</v>
      </c>
      <c r="AH328" s="622"/>
      <c r="AI328" s="622"/>
      <c r="AJ328" s="622"/>
      <c r="AK328" s="622"/>
      <c r="AL328" s="622"/>
      <c r="AM328" s="622"/>
      <c r="AN328" s="622"/>
      <c r="AO328" s="622"/>
      <c r="AP328" s="622"/>
    </row>
    <row r="329" spans="1:42" x14ac:dyDescent="0.3">
      <c r="A329" s="626" t="s">
        <v>169</v>
      </c>
      <c r="B329" s="627">
        <f>J329+L329+N329+P329+R329+T329+V329+X329+Z329+AB329+AD329+H329</f>
        <v>0</v>
      </c>
      <c r="C329" s="786">
        <f>SUM(H329)</f>
        <v>0</v>
      </c>
      <c r="D329" s="789">
        <f>E329</f>
        <v>0</v>
      </c>
      <c r="E329" s="786">
        <f>SUM(I329,K329,M329,O329,Q329,S329,U329,W329,Y329,AA329,AC329,AE329)</f>
        <v>0</v>
      </c>
      <c r="F329" s="627">
        <f>IFERROR(E329/B329*100,0)</f>
        <v>0</v>
      </c>
      <c r="G329" s="627">
        <f>IFERROR(E329/C329*100,0)</f>
        <v>0</v>
      </c>
      <c r="H329" s="520"/>
      <c r="I329" s="520"/>
      <c r="J329" s="520"/>
      <c r="K329" s="520"/>
      <c r="L329" s="520"/>
      <c r="M329" s="520"/>
      <c r="N329" s="520"/>
      <c r="O329" s="520"/>
      <c r="P329" s="520"/>
      <c r="Q329" s="520"/>
      <c r="R329" s="520"/>
      <c r="S329" s="520"/>
      <c r="T329" s="520"/>
      <c r="U329" s="520"/>
      <c r="V329" s="520"/>
      <c r="W329" s="520"/>
      <c r="X329" s="520"/>
      <c r="Y329" s="520"/>
      <c r="Z329" s="520"/>
      <c r="AA329" s="520"/>
      <c r="AB329" s="520"/>
      <c r="AC329" s="520"/>
      <c r="AD329" s="520"/>
      <c r="AE329" s="520"/>
      <c r="AF329" s="620"/>
      <c r="AG329" s="621">
        <f t="shared" si="37"/>
        <v>0</v>
      </c>
      <c r="AH329" s="622"/>
      <c r="AI329" s="622"/>
      <c r="AJ329" s="622"/>
      <c r="AK329" s="622"/>
      <c r="AL329" s="622"/>
      <c r="AM329" s="622"/>
      <c r="AN329" s="622"/>
      <c r="AO329" s="622"/>
      <c r="AP329" s="622"/>
    </row>
    <row r="330" spans="1:42" s="703" customFormat="1" ht="62.25" customHeight="1" x14ac:dyDescent="0.3">
      <c r="A330" s="626" t="s">
        <v>32</v>
      </c>
      <c r="B330" s="627">
        <f>J330+L330+N330+P330+R330+T330+V330+X330+Z330+AB330+AD330+H330</f>
        <v>134725.99599999998</v>
      </c>
      <c r="C330" s="786">
        <f>H330+J330+L330+N330+P330+R330</f>
        <v>85309.292999999991</v>
      </c>
      <c r="D330" s="789">
        <f>E330</f>
        <v>76078.740000000005</v>
      </c>
      <c r="E330" s="786">
        <f>SUM(I330,K330,M330,O330,Q330,S330,U330,W330,Y330,AA330,AC330,AE330)</f>
        <v>76078.740000000005</v>
      </c>
      <c r="F330" s="627">
        <f>IFERROR(E330/B330*100,0)</f>
        <v>56.46923552897691</v>
      </c>
      <c r="G330" s="627">
        <f>IFERROR(E330/C330*100,0)</f>
        <v>89.179897435089529</v>
      </c>
      <c r="H330" s="520">
        <v>10001.5</v>
      </c>
      <c r="I330" s="520">
        <v>3688.7</v>
      </c>
      <c r="J330" s="520">
        <v>18083.64</v>
      </c>
      <c r="K330" s="520">
        <v>18184.400000000001</v>
      </c>
      <c r="L330" s="520">
        <v>17454.57</v>
      </c>
      <c r="M330" s="520">
        <v>18177.84</v>
      </c>
      <c r="N330" s="520">
        <v>14723.52</v>
      </c>
      <c r="O330" s="520">
        <v>10326.040000000001</v>
      </c>
      <c r="P330" s="520">
        <v>16585.009999999998</v>
      </c>
      <c r="Q330" s="520">
        <v>16585.009999999998</v>
      </c>
      <c r="R330" s="520">
        <f>6378.063+2082.99</f>
        <v>8461.0529999999999</v>
      </c>
      <c r="S330" s="520">
        <v>9116.75</v>
      </c>
      <c r="T330" s="520">
        <v>0</v>
      </c>
      <c r="U330" s="520"/>
      <c r="V330" s="520"/>
      <c r="W330" s="520"/>
      <c r="X330" s="520">
        <f>10953.995-2082.99</f>
        <v>8871.005000000001</v>
      </c>
      <c r="Y330" s="520"/>
      <c r="Z330" s="520">
        <v>17175.315999999999</v>
      </c>
      <c r="AA330" s="520"/>
      <c r="AB330" s="520">
        <v>13380.572</v>
      </c>
      <c r="AC330" s="520"/>
      <c r="AD330" s="520">
        <v>9989.81</v>
      </c>
      <c r="AE330" s="520"/>
      <c r="AF330" s="790" t="s">
        <v>507</v>
      </c>
      <c r="AG330" s="621">
        <f t="shared" si="37"/>
        <v>0</v>
      </c>
      <c r="AH330" s="791">
        <f>C330-E330</f>
        <v>9230.5529999999853</v>
      </c>
      <c r="AI330" s="622"/>
      <c r="AJ330" s="622"/>
      <c r="AK330" s="622"/>
      <c r="AL330" s="622"/>
      <c r="AM330" s="622"/>
      <c r="AN330" s="622"/>
      <c r="AO330" s="622"/>
      <c r="AP330" s="622"/>
    </row>
    <row r="331" spans="1:42" x14ac:dyDescent="0.3">
      <c r="A331" s="115" t="s">
        <v>33</v>
      </c>
      <c r="B331" s="627">
        <f>J331+L331+N331+P331+R331+T331+V331+X331+Z331+AB331+AD331+H331</f>
        <v>0</v>
      </c>
      <c r="C331" s="117">
        <f>SUM(H331)</f>
        <v>0</v>
      </c>
      <c r="D331" s="118">
        <f>E331</f>
        <v>0</v>
      </c>
      <c r="E331" s="117">
        <f>SUM(I331,K331,M331,O331,Q331,S331,U331,W331,Y331,AA331,AC331,AE331)</f>
        <v>0</v>
      </c>
      <c r="F331" s="116">
        <f>IFERROR(E331/B331*100,0)</f>
        <v>0</v>
      </c>
      <c r="G331" s="116">
        <f>IFERROR(E331/C331*100,0)</f>
        <v>0</v>
      </c>
      <c r="H331" s="111"/>
      <c r="I331" s="111"/>
      <c r="J331" s="111"/>
      <c r="K331" s="111"/>
      <c r="L331" s="111"/>
      <c r="M331" s="111"/>
      <c r="N331" s="111"/>
      <c r="O331" s="111"/>
      <c r="P331" s="111"/>
      <c r="Q331" s="111"/>
      <c r="R331" s="111"/>
      <c r="S331" s="111"/>
      <c r="T331" s="111"/>
      <c r="U331" s="111"/>
      <c r="V331" s="111"/>
      <c r="W331" s="111"/>
      <c r="X331" s="111"/>
      <c r="Y331" s="111"/>
      <c r="Z331" s="111"/>
      <c r="AA331" s="111"/>
      <c r="AB331" s="111"/>
      <c r="AC331" s="111"/>
      <c r="AD331" s="111"/>
      <c r="AE331" s="111"/>
      <c r="AF331" s="29"/>
      <c r="AG331" s="102">
        <f t="shared" si="37"/>
        <v>0</v>
      </c>
    </row>
    <row r="332" spans="1:42" x14ac:dyDescent="0.3">
      <c r="A332" s="115" t="s">
        <v>170</v>
      </c>
      <c r="B332" s="116"/>
      <c r="C332" s="117"/>
      <c r="D332" s="118"/>
      <c r="E332" s="117"/>
      <c r="F332" s="116"/>
      <c r="G332" s="116"/>
      <c r="H332" s="111"/>
      <c r="I332" s="111"/>
      <c r="J332" s="111"/>
      <c r="K332" s="111"/>
      <c r="L332" s="111"/>
      <c r="M332" s="111"/>
      <c r="N332" s="111"/>
      <c r="O332" s="111"/>
      <c r="P332" s="111"/>
      <c r="Q332" s="111"/>
      <c r="R332" s="111"/>
      <c r="S332" s="111"/>
      <c r="T332" s="111"/>
      <c r="U332" s="111"/>
      <c r="V332" s="111"/>
      <c r="W332" s="111"/>
      <c r="X332" s="111"/>
      <c r="Y332" s="111"/>
      <c r="Z332" s="111"/>
      <c r="AA332" s="111"/>
      <c r="AB332" s="111"/>
      <c r="AC332" s="111"/>
      <c r="AD332" s="111"/>
      <c r="AE332" s="111"/>
      <c r="AF332" s="29"/>
      <c r="AG332" s="102">
        <f t="shared" si="37"/>
        <v>0</v>
      </c>
    </row>
    <row r="333" spans="1:42" ht="50.25" customHeight="1" x14ac:dyDescent="0.3">
      <c r="A333" s="98" t="s">
        <v>311</v>
      </c>
      <c r="B333" s="143"/>
      <c r="C333" s="144"/>
      <c r="D333" s="144"/>
      <c r="E333" s="144"/>
      <c r="F333" s="144"/>
      <c r="G333" s="144"/>
      <c r="H333" s="143"/>
      <c r="I333" s="143"/>
      <c r="J333" s="143"/>
      <c r="K333" s="143"/>
      <c r="L333" s="143"/>
      <c r="M333" s="143"/>
      <c r="N333" s="143"/>
      <c r="O333" s="143"/>
      <c r="P333" s="143"/>
      <c r="Q333" s="143"/>
      <c r="R333" s="143"/>
      <c r="S333" s="143"/>
      <c r="T333" s="143"/>
      <c r="U333" s="143"/>
      <c r="V333" s="143"/>
      <c r="W333" s="143"/>
      <c r="X333" s="143"/>
      <c r="Y333" s="143"/>
      <c r="Z333" s="143"/>
      <c r="AA333" s="143"/>
      <c r="AB333" s="143"/>
      <c r="AC333" s="143"/>
      <c r="AD333" s="143"/>
      <c r="AE333" s="143"/>
      <c r="AF333" s="101"/>
      <c r="AG333" s="102">
        <f t="shared" si="37"/>
        <v>0</v>
      </c>
    </row>
    <row r="334" spans="1:42" x14ac:dyDescent="0.3">
      <c r="A334" s="145" t="s">
        <v>31</v>
      </c>
      <c r="B334" s="104">
        <f>B335+B336+B337+B338</f>
        <v>4534.2</v>
      </c>
      <c r="C334" s="104">
        <f>C335+C336+C337+C338</f>
        <v>1829</v>
      </c>
      <c r="D334" s="104">
        <f>D335+D336+D337+D338</f>
        <v>1549</v>
      </c>
      <c r="E334" s="104">
        <f>E335+E336+E337+E338</f>
        <v>1549</v>
      </c>
      <c r="F334" s="107">
        <f>IFERROR(E334/B334*100,0)</f>
        <v>34.162586564333289</v>
      </c>
      <c r="G334" s="107">
        <f>IFERROR(E334/C334*100,0)</f>
        <v>84.691088026243847</v>
      </c>
      <c r="H334" s="104">
        <f t="shared" ref="H334:AE334" si="95">H335+H336+H337+H338</f>
        <v>0</v>
      </c>
      <c r="I334" s="104">
        <f t="shared" si="95"/>
        <v>0</v>
      </c>
      <c r="J334" s="104">
        <f t="shared" si="95"/>
        <v>0</v>
      </c>
      <c r="K334" s="104">
        <f t="shared" si="95"/>
        <v>0</v>
      </c>
      <c r="L334" s="104">
        <f t="shared" si="95"/>
        <v>1829</v>
      </c>
      <c r="M334" s="104">
        <f t="shared" si="95"/>
        <v>824</v>
      </c>
      <c r="N334" s="104">
        <f t="shared" si="95"/>
        <v>0</v>
      </c>
      <c r="O334" s="104">
        <f t="shared" si="95"/>
        <v>725</v>
      </c>
      <c r="P334" s="104">
        <f t="shared" si="95"/>
        <v>0</v>
      </c>
      <c r="Q334" s="104">
        <f t="shared" si="95"/>
        <v>0</v>
      </c>
      <c r="R334" s="104">
        <f t="shared" si="95"/>
        <v>0</v>
      </c>
      <c r="S334" s="104">
        <f t="shared" si="95"/>
        <v>0</v>
      </c>
      <c r="T334" s="104">
        <f t="shared" si="95"/>
        <v>0</v>
      </c>
      <c r="U334" s="104">
        <f t="shared" si="95"/>
        <v>0</v>
      </c>
      <c r="V334" s="104">
        <f t="shared" si="95"/>
        <v>360</v>
      </c>
      <c r="W334" s="104">
        <f t="shared" si="95"/>
        <v>0</v>
      </c>
      <c r="X334" s="104">
        <f t="shared" si="95"/>
        <v>0</v>
      </c>
      <c r="Y334" s="104">
        <f t="shared" si="95"/>
        <v>0</v>
      </c>
      <c r="Z334" s="104">
        <f t="shared" si="95"/>
        <v>0</v>
      </c>
      <c r="AA334" s="104">
        <f t="shared" si="95"/>
        <v>0</v>
      </c>
      <c r="AB334" s="104">
        <f t="shared" si="95"/>
        <v>0</v>
      </c>
      <c r="AC334" s="104">
        <f t="shared" si="95"/>
        <v>0</v>
      </c>
      <c r="AD334" s="104">
        <f t="shared" si="95"/>
        <v>2345.1999999999998</v>
      </c>
      <c r="AE334" s="104">
        <f t="shared" si="95"/>
        <v>0</v>
      </c>
      <c r="AF334" s="101"/>
      <c r="AG334" s="102">
        <f t="shared" si="37"/>
        <v>0</v>
      </c>
    </row>
    <row r="335" spans="1:42" x14ac:dyDescent="0.3">
      <c r="A335" s="146" t="s">
        <v>169</v>
      </c>
      <c r="B335" s="107">
        <f t="shared" ref="B335:E338" si="96">B341+B347</f>
        <v>0</v>
      </c>
      <c r="C335" s="107">
        <f>C341+C347</f>
        <v>0</v>
      </c>
      <c r="D335" s="107">
        <f t="shared" si="96"/>
        <v>0</v>
      </c>
      <c r="E335" s="107">
        <f t="shared" si="96"/>
        <v>0</v>
      </c>
      <c r="F335" s="107"/>
      <c r="G335" s="107"/>
      <c r="H335" s="107">
        <f t="shared" ref="H335:AE338" si="97">H341+H347</f>
        <v>0</v>
      </c>
      <c r="I335" s="107">
        <f t="shared" si="97"/>
        <v>0</v>
      </c>
      <c r="J335" s="107">
        <f t="shared" si="97"/>
        <v>0</v>
      </c>
      <c r="K335" s="107">
        <f t="shared" si="97"/>
        <v>0</v>
      </c>
      <c r="L335" s="107">
        <f t="shared" si="97"/>
        <v>0</v>
      </c>
      <c r="M335" s="107">
        <f t="shared" si="97"/>
        <v>0</v>
      </c>
      <c r="N335" s="107">
        <f t="shared" si="97"/>
        <v>0</v>
      </c>
      <c r="O335" s="107">
        <f t="shared" si="97"/>
        <v>0</v>
      </c>
      <c r="P335" s="107">
        <f t="shared" si="97"/>
        <v>0</v>
      </c>
      <c r="Q335" s="107">
        <f t="shared" si="97"/>
        <v>0</v>
      </c>
      <c r="R335" s="107">
        <f t="shared" si="97"/>
        <v>0</v>
      </c>
      <c r="S335" s="107">
        <f t="shared" si="97"/>
        <v>0</v>
      </c>
      <c r="T335" s="107">
        <f t="shared" si="97"/>
        <v>0</v>
      </c>
      <c r="U335" s="107">
        <f t="shared" si="97"/>
        <v>0</v>
      </c>
      <c r="V335" s="107">
        <f t="shared" si="97"/>
        <v>0</v>
      </c>
      <c r="W335" s="107">
        <f t="shared" si="97"/>
        <v>0</v>
      </c>
      <c r="X335" s="107">
        <f t="shared" si="97"/>
        <v>0</v>
      </c>
      <c r="Y335" s="107">
        <f>Y341+Y347</f>
        <v>0</v>
      </c>
      <c r="Z335" s="107">
        <f t="shared" ref="Z335:AE335" si="98">Z341+Z347</f>
        <v>0</v>
      </c>
      <c r="AA335" s="107">
        <f t="shared" si="98"/>
        <v>0</v>
      </c>
      <c r="AB335" s="107">
        <f t="shared" si="98"/>
        <v>0</v>
      </c>
      <c r="AC335" s="107">
        <f t="shared" si="98"/>
        <v>0</v>
      </c>
      <c r="AD335" s="107">
        <f t="shared" si="98"/>
        <v>0</v>
      </c>
      <c r="AE335" s="107">
        <f t="shared" si="98"/>
        <v>0</v>
      </c>
      <c r="AF335" s="101"/>
      <c r="AG335" s="102">
        <f t="shared" si="37"/>
        <v>0</v>
      </c>
    </row>
    <row r="336" spans="1:42" x14ac:dyDescent="0.3">
      <c r="A336" s="146" t="s">
        <v>32</v>
      </c>
      <c r="B336" s="107">
        <f t="shared" si="96"/>
        <v>2189</v>
      </c>
      <c r="C336" s="107">
        <f>C342+C348</f>
        <v>1829</v>
      </c>
      <c r="D336" s="107">
        <f t="shared" si="96"/>
        <v>1549</v>
      </c>
      <c r="E336" s="107">
        <f t="shared" si="96"/>
        <v>1549</v>
      </c>
      <c r="F336" s="107"/>
      <c r="G336" s="107"/>
      <c r="H336" s="107">
        <f t="shared" si="97"/>
        <v>0</v>
      </c>
      <c r="I336" s="107">
        <f t="shared" si="97"/>
        <v>0</v>
      </c>
      <c r="J336" s="107">
        <f t="shared" si="97"/>
        <v>0</v>
      </c>
      <c r="K336" s="107">
        <f t="shared" si="97"/>
        <v>0</v>
      </c>
      <c r="L336" s="107">
        <f t="shared" si="97"/>
        <v>1829</v>
      </c>
      <c r="M336" s="107">
        <f t="shared" si="97"/>
        <v>824</v>
      </c>
      <c r="N336" s="107">
        <f t="shared" si="97"/>
        <v>0</v>
      </c>
      <c r="O336" s="107">
        <f t="shared" si="97"/>
        <v>725</v>
      </c>
      <c r="P336" s="107">
        <f t="shared" si="97"/>
        <v>0</v>
      </c>
      <c r="Q336" s="107">
        <f t="shared" si="97"/>
        <v>0</v>
      </c>
      <c r="R336" s="107">
        <f t="shared" si="97"/>
        <v>0</v>
      </c>
      <c r="S336" s="107">
        <f t="shared" si="97"/>
        <v>0</v>
      </c>
      <c r="T336" s="107">
        <f t="shared" si="97"/>
        <v>0</v>
      </c>
      <c r="U336" s="107">
        <f t="shared" si="97"/>
        <v>0</v>
      </c>
      <c r="V336" s="107">
        <f t="shared" si="97"/>
        <v>360</v>
      </c>
      <c r="W336" s="107">
        <f t="shared" si="97"/>
        <v>0</v>
      </c>
      <c r="X336" s="107">
        <f t="shared" si="97"/>
        <v>0</v>
      </c>
      <c r="Y336" s="107">
        <f t="shared" si="97"/>
        <v>0</v>
      </c>
      <c r="Z336" s="107">
        <f t="shared" si="97"/>
        <v>0</v>
      </c>
      <c r="AA336" s="107">
        <f t="shared" si="97"/>
        <v>0</v>
      </c>
      <c r="AB336" s="107">
        <f t="shared" si="97"/>
        <v>0</v>
      </c>
      <c r="AC336" s="107">
        <f t="shared" si="97"/>
        <v>0</v>
      </c>
      <c r="AD336" s="107">
        <f t="shared" si="97"/>
        <v>0</v>
      </c>
      <c r="AE336" s="107">
        <f t="shared" si="97"/>
        <v>0</v>
      </c>
      <c r="AF336" s="101"/>
      <c r="AG336" s="102">
        <f t="shared" si="37"/>
        <v>0</v>
      </c>
    </row>
    <row r="337" spans="1:33" x14ac:dyDescent="0.3">
      <c r="A337" s="146" t="s">
        <v>33</v>
      </c>
      <c r="B337" s="107">
        <f t="shared" si="96"/>
        <v>2345.1999999999998</v>
      </c>
      <c r="C337" s="107">
        <f t="shared" si="96"/>
        <v>0</v>
      </c>
      <c r="D337" s="107">
        <f t="shared" si="96"/>
        <v>0</v>
      </c>
      <c r="E337" s="107">
        <f t="shared" si="96"/>
        <v>0</v>
      </c>
      <c r="F337" s="107">
        <f>IFERROR(E337/B337*100,0)</f>
        <v>0</v>
      </c>
      <c r="G337" s="107">
        <f>IFERROR(E337/C337*100,0)</f>
        <v>0</v>
      </c>
      <c r="H337" s="107">
        <f t="shared" si="97"/>
        <v>0</v>
      </c>
      <c r="I337" s="107">
        <f t="shared" si="97"/>
        <v>0</v>
      </c>
      <c r="J337" s="107">
        <f t="shared" si="97"/>
        <v>0</v>
      </c>
      <c r="K337" s="107">
        <f t="shared" si="97"/>
        <v>0</v>
      </c>
      <c r="L337" s="107">
        <f t="shared" si="97"/>
        <v>0</v>
      </c>
      <c r="M337" s="107">
        <f t="shared" si="97"/>
        <v>0</v>
      </c>
      <c r="N337" s="107">
        <f t="shared" si="97"/>
        <v>0</v>
      </c>
      <c r="O337" s="107">
        <f t="shared" si="97"/>
        <v>0</v>
      </c>
      <c r="P337" s="107">
        <f t="shared" si="97"/>
        <v>0</v>
      </c>
      <c r="Q337" s="107">
        <f t="shared" si="97"/>
        <v>0</v>
      </c>
      <c r="R337" s="107">
        <f t="shared" si="97"/>
        <v>0</v>
      </c>
      <c r="S337" s="107">
        <f t="shared" si="97"/>
        <v>0</v>
      </c>
      <c r="T337" s="107">
        <f t="shared" si="97"/>
        <v>0</v>
      </c>
      <c r="U337" s="107">
        <f t="shared" si="97"/>
        <v>0</v>
      </c>
      <c r="V337" s="107">
        <f t="shared" si="97"/>
        <v>0</v>
      </c>
      <c r="W337" s="107">
        <f t="shared" si="97"/>
        <v>0</v>
      </c>
      <c r="X337" s="107">
        <f t="shared" si="97"/>
        <v>0</v>
      </c>
      <c r="Y337" s="107">
        <f t="shared" si="97"/>
        <v>0</v>
      </c>
      <c r="Z337" s="107">
        <f t="shared" si="97"/>
        <v>0</v>
      </c>
      <c r="AA337" s="107">
        <f t="shared" si="97"/>
        <v>0</v>
      </c>
      <c r="AB337" s="107">
        <f t="shared" si="97"/>
        <v>0</v>
      </c>
      <c r="AC337" s="107">
        <f t="shared" si="97"/>
        <v>0</v>
      </c>
      <c r="AD337" s="107">
        <f t="shared" si="97"/>
        <v>2345.1999999999998</v>
      </c>
      <c r="AE337" s="107">
        <f t="shared" si="97"/>
        <v>0</v>
      </c>
      <c r="AF337" s="101"/>
      <c r="AG337" s="102">
        <f t="shared" si="37"/>
        <v>0</v>
      </c>
    </row>
    <row r="338" spans="1:33" x14ac:dyDescent="0.3">
      <c r="A338" s="146" t="s">
        <v>170</v>
      </c>
      <c r="B338" s="107">
        <f t="shared" si="96"/>
        <v>0</v>
      </c>
      <c r="C338" s="107">
        <f t="shared" si="96"/>
        <v>0</v>
      </c>
      <c r="D338" s="107">
        <f t="shared" si="96"/>
        <v>0</v>
      </c>
      <c r="E338" s="107">
        <f t="shared" si="96"/>
        <v>0</v>
      </c>
      <c r="F338" s="107"/>
      <c r="G338" s="107"/>
      <c r="H338" s="107">
        <f t="shared" si="97"/>
        <v>0</v>
      </c>
      <c r="I338" s="107">
        <f t="shared" si="97"/>
        <v>0</v>
      </c>
      <c r="J338" s="107">
        <f t="shared" si="97"/>
        <v>0</v>
      </c>
      <c r="K338" s="107">
        <f t="shared" si="97"/>
        <v>0</v>
      </c>
      <c r="L338" s="107">
        <f t="shared" si="97"/>
        <v>0</v>
      </c>
      <c r="M338" s="107">
        <f t="shared" si="97"/>
        <v>0</v>
      </c>
      <c r="N338" s="107">
        <f t="shared" si="97"/>
        <v>0</v>
      </c>
      <c r="O338" s="107">
        <f t="shared" si="97"/>
        <v>0</v>
      </c>
      <c r="P338" s="107">
        <f t="shared" si="97"/>
        <v>0</v>
      </c>
      <c r="Q338" s="107">
        <f t="shared" si="97"/>
        <v>0</v>
      </c>
      <c r="R338" s="107">
        <f t="shared" si="97"/>
        <v>0</v>
      </c>
      <c r="S338" s="107">
        <f t="shared" si="97"/>
        <v>0</v>
      </c>
      <c r="T338" s="107">
        <f t="shared" si="97"/>
        <v>0</v>
      </c>
      <c r="U338" s="107">
        <f t="shared" si="97"/>
        <v>0</v>
      </c>
      <c r="V338" s="107">
        <f t="shared" si="97"/>
        <v>0</v>
      </c>
      <c r="W338" s="107">
        <f t="shared" si="97"/>
        <v>0</v>
      </c>
      <c r="X338" s="107">
        <f t="shared" si="97"/>
        <v>0</v>
      </c>
      <c r="Y338" s="107">
        <f t="shared" si="97"/>
        <v>0</v>
      </c>
      <c r="Z338" s="107">
        <f t="shared" si="97"/>
        <v>0</v>
      </c>
      <c r="AA338" s="107">
        <f t="shared" si="97"/>
        <v>0</v>
      </c>
      <c r="AB338" s="107">
        <f t="shared" si="97"/>
        <v>0</v>
      </c>
      <c r="AC338" s="107">
        <f t="shared" si="97"/>
        <v>0</v>
      </c>
      <c r="AD338" s="107">
        <f t="shared" si="97"/>
        <v>0</v>
      </c>
      <c r="AE338" s="107">
        <f t="shared" si="97"/>
        <v>0</v>
      </c>
      <c r="AF338" s="101"/>
      <c r="AG338" s="102">
        <f t="shared" si="37"/>
        <v>0</v>
      </c>
    </row>
    <row r="339" spans="1:33" ht="40.5" customHeight="1" x14ac:dyDescent="0.3">
      <c r="A339" s="787" t="s">
        <v>312</v>
      </c>
      <c r="B339" s="109"/>
      <c r="C339" s="110"/>
      <c r="D339" s="110"/>
      <c r="E339" s="110"/>
      <c r="F339" s="110"/>
      <c r="G339" s="110"/>
      <c r="H339" s="111"/>
      <c r="I339" s="111"/>
      <c r="J339" s="111"/>
      <c r="K339" s="111"/>
      <c r="L339" s="111"/>
      <c r="M339" s="111"/>
      <c r="N339" s="111"/>
      <c r="O339" s="111"/>
      <c r="P339" s="111"/>
      <c r="Q339" s="111"/>
      <c r="R339" s="111"/>
      <c r="S339" s="111"/>
      <c r="T339" s="111"/>
      <c r="U339" s="111"/>
      <c r="V339" s="111"/>
      <c r="W339" s="111"/>
      <c r="X339" s="111"/>
      <c r="Y339" s="111"/>
      <c r="Z339" s="111"/>
      <c r="AA339" s="111"/>
      <c r="AB339" s="111"/>
      <c r="AC339" s="111"/>
      <c r="AD339" s="111"/>
      <c r="AE339" s="111"/>
      <c r="AF339" s="29"/>
      <c r="AG339" s="102">
        <f t="shared" si="37"/>
        <v>0</v>
      </c>
    </row>
    <row r="340" spans="1:33" x14ac:dyDescent="0.3">
      <c r="A340" s="112" t="s">
        <v>31</v>
      </c>
      <c r="B340" s="113">
        <f>B342+B343+B341+B344</f>
        <v>2189</v>
      </c>
      <c r="C340" s="113">
        <f>C342+C343+C341+C344</f>
        <v>1829</v>
      </c>
      <c r="D340" s="114">
        <f>D342+D343+D341+D344</f>
        <v>1549</v>
      </c>
      <c r="E340" s="113">
        <f>E342+E343+E341+E344</f>
        <v>1549</v>
      </c>
      <c r="F340" s="113">
        <f>IFERROR(E340/B340*100,0)</f>
        <v>70.762905436272277</v>
      </c>
      <c r="G340" s="113">
        <f>IFERROR(E340/C340*100,0)</f>
        <v>84.691088026243847</v>
      </c>
      <c r="H340" s="113">
        <f t="shared" ref="H340:AE340" si="99">H342+H343+H341+H344</f>
        <v>0</v>
      </c>
      <c r="I340" s="113">
        <f t="shared" si="99"/>
        <v>0</v>
      </c>
      <c r="J340" s="113">
        <f t="shared" si="99"/>
        <v>0</v>
      </c>
      <c r="K340" s="113">
        <f t="shared" si="99"/>
        <v>0</v>
      </c>
      <c r="L340" s="113">
        <f t="shared" si="99"/>
        <v>1829</v>
      </c>
      <c r="M340" s="113">
        <f t="shared" si="99"/>
        <v>824</v>
      </c>
      <c r="N340" s="113">
        <f t="shared" si="99"/>
        <v>0</v>
      </c>
      <c r="O340" s="113">
        <f t="shared" si="99"/>
        <v>725</v>
      </c>
      <c r="P340" s="113">
        <f t="shared" si="99"/>
        <v>0</v>
      </c>
      <c r="Q340" s="113">
        <f t="shared" si="99"/>
        <v>0</v>
      </c>
      <c r="R340" s="113">
        <f t="shared" si="99"/>
        <v>0</v>
      </c>
      <c r="S340" s="113">
        <f t="shared" si="99"/>
        <v>0</v>
      </c>
      <c r="T340" s="113">
        <f t="shared" si="99"/>
        <v>0</v>
      </c>
      <c r="U340" s="113">
        <f t="shared" si="99"/>
        <v>0</v>
      </c>
      <c r="V340" s="113">
        <f t="shared" si="99"/>
        <v>360</v>
      </c>
      <c r="W340" s="113">
        <f t="shared" si="99"/>
        <v>0</v>
      </c>
      <c r="X340" s="113">
        <f t="shared" si="99"/>
        <v>0</v>
      </c>
      <c r="Y340" s="113">
        <f t="shared" si="99"/>
        <v>0</v>
      </c>
      <c r="Z340" s="113">
        <f t="shared" si="99"/>
        <v>0</v>
      </c>
      <c r="AA340" s="113">
        <f t="shared" si="99"/>
        <v>0</v>
      </c>
      <c r="AB340" s="113">
        <f t="shared" si="99"/>
        <v>0</v>
      </c>
      <c r="AC340" s="113">
        <f t="shared" si="99"/>
        <v>0</v>
      </c>
      <c r="AD340" s="113">
        <f t="shared" si="99"/>
        <v>0</v>
      </c>
      <c r="AE340" s="113">
        <f t="shared" si="99"/>
        <v>0</v>
      </c>
      <c r="AF340" s="29"/>
      <c r="AG340" s="102">
        <f t="shared" si="37"/>
        <v>0</v>
      </c>
    </row>
    <row r="341" spans="1:33" x14ac:dyDescent="0.3">
      <c r="A341" s="115" t="s">
        <v>169</v>
      </c>
      <c r="B341" s="116">
        <f>J341+L341+N341+P341+R341+T341+V341+X341+Z341+AB341+AD341+H341</f>
        <v>0</v>
      </c>
      <c r="C341" s="117">
        <f>SUM(H341)</f>
        <v>0</v>
      </c>
      <c r="D341" s="118">
        <f>E341</f>
        <v>0</v>
      </c>
      <c r="E341" s="117">
        <f>SUM(I341,K341,M341,O341,Q341,S341,U341,W341,Y341,AA341,AC341,AE341)</f>
        <v>0</v>
      </c>
      <c r="F341" s="116">
        <f>IFERROR(E341/B341*100,0)</f>
        <v>0</v>
      </c>
      <c r="G341" s="116">
        <f>IFERROR(E341/C341*100,0)</f>
        <v>0</v>
      </c>
      <c r="H341" s="111"/>
      <c r="I341" s="111"/>
      <c r="J341" s="111"/>
      <c r="K341" s="111"/>
      <c r="L341" s="111"/>
      <c r="M341" s="111"/>
      <c r="N341" s="111"/>
      <c r="O341" s="111"/>
      <c r="P341" s="111"/>
      <c r="Q341" s="111"/>
      <c r="R341" s="111"/>
      <c r="S341" s="111"/>
      <c r="T341" s="111"/>
      <c r="U341" s="111"/>
      <c r="V341" s="111"/>
      <c r="W341" s="111"/>
      <c r="X341" s="111"/>
      <c r="Y341" s="111"/>
      <c r="Z341" s="111"/>
      <c r="AA341" s="111"/>
      <c r="AB341" s="111"/>
      <c r="AC341" s="111"/>
      <c r="AD341" s="111"/>
      <c r="AE341" s="111"/>
      <c r="AF341" s="29"/>
      <c r="AG341" s="102">
        <f t="shared" si="37"/>
        <v>0</v>
      </c>
    </row>
    <row r="342" spans="1:33" x14ac:dyDescent="0.3">
      <c r="A342" s="115" t="s">
        <v>32</v>
      </c>
      <c r="B342" s="116">
        <f>J342+L342+N342+P342+R342+T342+V342+X342+Z342+AB342+AD342+H342</f>
        <v>2189</v>
      </c>
      <c r="C342" s="117">
        <f>H342+J342+L342+N342</f>
        <v>1829</v>
      </c>
      <c r="D342" s="118">
        <f>E342</f>
        <v>1549</v>
      </c>
      <c r="E342" s="117">
        <f>SUM(I342,K342,M342,O342,Q342,S342,U342,W342,Y342,AA342,AC342,AE342)</f>
        <v>1549</v>
      </c>
      <c r="F342" s="116">
        <f>IFERROR(E342/B342*100,0)</f>
        <v>70.762905436272277</v>
      </c>
      <c r="G342" s="116">
        <f>IFERROR(E342/C342*100,0)</f>
        <v>84.691088026243847</v>
      </c>
      <c r="H342" s="111"/>
      <c r="I342" s="111"/>
      <c r="J342" s="111"/>
      <c r="K342" s="111"/>
      <c r="L342" s="111">
        <v>1829</v>
      </c>
      <c r="M342" s="111">
        <v>824</v>
      </c>
      <c r="N342" s="111"/>
      <c r="O342" s="111">
        <v>725</v>
      </c>
      <c r="P342" s="111"/>
      <c r="Q342" s="111"/>
      <c r="R342" s="111"/>
      <c r="S342" s="111"/>
      <c r="T342" s="111"/>
      <c r="U342" s="111"/>
      <c r="V342" s="111">
        <v>360</v>
      </c>
      <c r="W342" s="111"/>
      <c r="X342" s="111"/>
      <c r="Y342" s="111"/>
      <c r="Z342" s="111"/>
      <c r="AA342" s="111"/>
      <c r="AB342" s="111"/>
      <c r="AC342" s="111"/>
      <c r="AD342" s="111"/>
      <c r="AE342" s="111"/>
      <c r="AF342" s="29"/>
      <c r="AG342" s="102">
        <f t="shared" si="37"/>
        <v>0</v>
      </c>
    </row>
    <row r="343" spans="1:33" x14ac:dyDescent="0.3">
      <c r="A343" s="115" t="s">
        <v>33</v>
      </c>
      <c r="B343" s="116">
        <f>J343+L343+N343+P343+R343+T343+V343+X343+Z343+AB343+AD343+H343</f>
        <v>0</v>
      </c>
      <c r="C343" s="117">
        <f>SUM(H343)</f>
        <v>0</v>
      </c>
      <c r="D343" s="118">
        <f>E343</f>
        <v>0</v>
      </c>
      <c r="E343" s="117">
        <f>SUM(I343,K343,M343,O343,Q343,S343,U343,W343,Y343,AA343,AC343,AE343)</f>
        <v>0</v>
      </c>
      <c r="F343" s="116">
        <f>IFERROR(E343/B343*100,0)</f>
        <v>0</v>
      </c>
      <c r="G343" s="116">
        <f>IFERROR(E343/C343*100,0)</f>
        <v>0</v>
      </c>
      <c r="H343" s="111"/>
      <c r="I343" s="111"/>
      <c r="J343" s="111"/>
      <c r="K343" s="111"/>
      <c r="L343" s="111"/>
      <c r="M343" s="111"/>
      <c r="N343" s="111"/>
      <c r="O343" s="111"/>
      <c r="P343" s="111"/>
      <c r="Q343" s="111"/>
      <c r="R343" s="111"/>
      <c r="S343" s="111"/>
      <c r="T343" s="111"/>
      <c r="U343" s="111"/>
      <c r="V343" s="111"/>
      <c r="W343" s="111"/>
      <c r="X343" s="111"/>
      <c r="Y343" s="111"/>
      <c r="Z343" s="111"/>
      <c r="AA343" s="111"/>
      <c r="AB343" s="111"/>
      <c r="AC343" s="111"/>
      <c r="AD343" s="111"/>
      <c r="AE343" s="111"/>
      <c r="AF343" s="29"/>
      <c r="AG343" s="102">
        <f t="shared" si="37"/>
        <v>0</v>
      </c>
    </row>
    <row r="344" spans="1:33" x14ac:dyDescent="0.3">
      <c r="A344" s="115" t="s">
        <v>170</v>
      </c>
      <c r="B344" s="116"/>
      <c r="C344" s="117"/>
      <c r="D344" s="118"/>
      <c r="E344" s="117"/>
      <c r="F344" s="116"/>
      <c r="G344" s="116"/>
      <c r="H344" s="111"/>
      <c r="I344" s="111"/>
      <c r="J344" s="111"/>
      <c r="K344" s="111"/>
      <c r="L344" s="111"/>
      <c r="M344" s="111"/>
      <c r="N344" s="111"/>
      <c r="O344" s="111"/>
      <c r="P344" s="111"/>
      <c r="Q344" s="111"/>
      <c r="R344" s="111"/>
      <c r="S344" s="111"/>
      <c r="T344" s="111"/>
      <c r="U344" s="111"/>
      <c r="V344" s="111"/>
      <c r="W344" s="111"/>
      <c r="X344" s="111"/>
      <c r="Y344" s="111"/>
      <c r="Z344" s="111"/>
      <c r="AA344" s="111"/>
      <c r="AB344" s="111"/>
      <c r="AC344" s="111"/>
      <c r="AD344" s="111"/>
      <c r="AE344" s="111"/>
      <c r="AF344" s="29"/>
      <c r="AG344" s="102">
        <f t="shared" si="37"/>
        <v>0</v>
      </c>
    </row>
    <row r="345" spans="1:33" ht="40.5" customHeight="1" x14ac:dyDescent="0.3">
      <c r="A345" s="787" t="s">
        <v>548</v>
      </c>
      <c r="B345" s="109"/>
      <c r="C345" s="110"/>
      <c r="D345" s="110"/>
      <c r="E345" s="110"/>
      <c r="F345" s="110"/>
      <c r="G345" s="110"/>
      <c r="H345" s="111"/>
      <c r="I345" s="111"/>
      <c r="J345" s="111"/>
      <c r="K345" s="111"/>
      <c r="L345" s="111"/>
      <c r="M345" s="111"/>
      <c r="N345" s="111"/>
      <c r="O345" s="111"/>
      <c r="P345" s="111"/>
      <c r="Q345" s="111"/>
      <c r="R345" s="111"/>
      <c r="S345" s="111"/>
      <c r="T345" s="111"/>
      <c r="U345" s="111"/>
      <c r="V345" s="111"/>
      <c r="W345" s="111"/>
      <c r="X345" s="111"/>
      <c r="Y345" s="111"/>
      <c r="Z345" s="111"/>
      <c r="AA345" s="111"/>
      <c r="AB345" s="111"/>
      <c r="AC345" s="111"/>
      <c r="AD345" s="111"/>
      <c r="AE345" s="111"/>
      <c r="AF345" s="29"/>
      <c r="AG345" s="102">
        <f t="shared" si="37"/>
        <v>0</v>
      </c>
    </row>
    <row r="346" spans="1:33" x14ac:dyDescent="0.3">
      <c r="A346" s="112" t="s">
        <v>31</v>
      </c>
      <c r="B346" s="113">
        <f>B348+B349+B347+B350</f>
        <v>2345.1999999999998</v>
      </c>
      <c r="C346" s="113">
        <f>C348+C349+C347+C350</f>
        <v>0</v>
      </c>
      <c r="D346" s="114">
        <f>D348+D349+D347+D350</f>
        <v>0</v>
      </c>
      <c r="E346" s="113">
        <f>E348+E349+E347+E350</f>
        <v>0</v>
      </c>
      <c r="F346" s="113">
        <f>IFERROR(E346/B346*100,0)</f>
        <v>0</v>
      </c>
      <c r="G346" s="113">
        <f>IFERROR(E346/C346*100,0)</f>
        <v>0</v>
      </c>
      <c r="H346" s="113">
        <f t="shared" ref="H346:AE346" si="100">H348+H349+H347+H350</f>
        <v>0</v>
      </c>
      <c r="I346" s="113">
        <f t="shared" si="100"/>
        <v>0</v>
      </c>
      <c r="J346" s="113">
        <f t="shared" si="100"/>
        <v>0</v>
      </c>
      <c r="K346" s="113">
        <f t="shared" si="100"/>
        <v>0</v>
      </c>
      <c r="L346" s="113">
        <f t="shared" si="100"/>
        <v>0</v>
      </c>
      <c r="M346" s="113">
        <f t="shared" si="100"/>
        <v>0</v>
      </c>
      <c r="N346" s="113">
        <f t="shared" si="100"/>
        <v>0</v>
      </c>
      <c r="O346" s="113">
        <f t="shared" si="100"/>
        <v>0</v>
      </c>
      <c r="P346" s="113">
        <f t="shared" si="100"/>
        <v>0</v>
      </c>
      <c r="Q346" s="113">
        <f t="shared" si="100"/>
        <v>0</v>
      </c>
      <c r="R346" s="113">
        <f t="shared" si="100"/>
        <v>0</v>
      </c>
      <c r="S346" s="113">
        <f t="shared" si="100"/>
        <v>0</v>
      </c>
      <c r="T346" s="113">
        <f t="shared" si="100"/>
        <v>0</v>
      </c>
      <c r="U346" s="113">
        <f t="shared" si="100"/>
        <v>0</v>
      </c>
      <c r="V346" s="113">
        <f t="shared" si="100"/>
        <v>0</v>
      </c>
      <c r="W346" s="113">
        <f t="shared" si="100"/>
        <v>0</v>
      </c>
      <c r="X346" s="113">
        <f t="shared" si="100"/>
        <v>0</v>
      </c>
      <c r="Y346" s="113">
        <f t="shared" si="100"/>
        <v>0</v>
      </c>
      <c r="Z346" s="113">
        <f t="shared" si="100"/>
        <v>0</v>
      </c>
      <c r="AA346" s="113">
        <f t="shared" si="100"/>
        <v>0</v>
      </c>
      <c r="AB346" s="113">
        <f t="shared" si="100"/>
        <v>0</v>
      </c>
      <c r="AC346" s="113">
        <f t="shared" si="100"/>
        <v>0</v>
      </c>
      <c r="AD346" s="113">
        <f t="shared" si="100"/>
        <v>2345.1999999999998</v>
      </c>
      <c r="AE346" s="113">
        <f t="shared" si="100"/>
        <v>0</v>
      </c>
      <c r="AF346" s="29"/>
      <c r="AG346" s="102">
        <f t="shared" si="37"/>
        <v>0</v>
      </c>
    </row>
    <row r="347" spans="1:33" x14ac:dyDescent="0.3">
      <c r="A347" s="115" t="s">
        <v>169</v>
      </c>
      <c r="B347" s="116">
        <f>J347+L347+N347+P347+R347+T347+V347+X347+Z347+AB347+AD347+H347</f>
        <v>0</v>
      </c>
      <c r="C347" s="117">
        <f>SUM(H347)</f>
        <v>0</v>
      </c>
      <c r="D347" s="118">
        <f>E347</f>
        <v>0</v>
      </c>
      <c r="E347" s="117">
        <f>SUM(I347,K347,M347,O347,Q347,S347,U347,W347,Y347,AA347,AC347,AE347)</f>
        <v>0</v>
      </c>
      <c r="F347" s="116">
        <f>IFERROR(E347/B347*100,0)</f>
        <v>0</v>
      </c>
      <c r="G347" s="116">
        <f>IFERROR(E347/C347*100,0)</f>
        <v>0</v>
      </c>
      <c r="H347" s="111"/>
      <c r="I347" s="111"/>
      <c r="J347" s="111"/>
      <c r="K347" s="111"/>
      <c r="L347" s="111"/>
      <c r="M347" s="111"/>
      <c r="N347" s="111"/>
      <c r="O347" s="111"/>
      <c r="P347" s="111"/>
      <c r="Q347" s="111"/>
      <c r="R347" s="111"/>
      <c r="S347" s="111"/>
      <c r="T347" s="111"/>
      <c r="U347" s="111"/>
      <c r="V347" s="111"/>
      <c r="W347" s="111"/>
      <c r="X347" s="111"/>
      <c r="Y347" s="111"/>
      <c r="Z347" s="111"/>
      <c r="AA347" s="111"/>
      <c r="AB347" s="111"/>
      <c r="AC347" s="111"/>
      <c r="AD347" s="111"/>
      <c r="AE347" s="111"/>
      <c r="AF347" s="29"/>
      <c r="AG347" s="102">
        <f t="shared" si="37"/>
        <v>0</v>
      </c>
    </row>
    <row r="348" spans="1:33" x14ac:dyDescent="0.3">
      <c r="A348" s="115" t="s">
        <v>32</v>
      </c>
      <c r="B348" s="116">
        <f>J348+L348+N348+P348+R348+T348+V348+X348+Z348+AB348+AD348+H348</f>
        <v>0</v>
      </c>
      <c r="C348" s="117">
        <f>SUM(H348)</f>
        <v>0</v>
      </c>
      <c r="D348" s="118">
        <f>E348</f>
        <v>0</v>
      </c>
      <c r="E348" s="117">
        <f>SUM(I348,K348,M348,O348,Q348,S348,U348,W348,Y348,AA348,AC348,AE348)</f>
        <v>0</v>
      </c>
      <c r="F348" s="116">
        <f>IFERROR(E348/B348*100,0)</f>
        <v>0</v>
      </c>
      <c r="G348" s="116">
        <f>IFERROR(E348/C348*100,0)</f>
        <v>0</v>
      </c>
      <c r="H348" s="111"/>
      <c r="I348" s="111"/>
      <c r="J348" s="111"/>
      <c r="K348" s="111"/>
      <c r="L348" s="111"/>
      <c r="M348" s="111"/>
      <c r="N348" s="111"/>
      <c r="O348" s="111"/>
      <c r="P348" s="111"/>
      <c r="Q348" s="111"/>
      <c r="R348" s="111"/>
      <c r="S348" s="111"/>
      <c r="T348" s="111"/>
      <c r="U348" s="111"/>
      <c r="V348" s="111"/>
      <c r="W348" s="111"/>
      <c r="X348" s="111"/>
      <c r="Y348" s="111"/>
      <c r="Z348" s="111"/>
      <c r="AA348" s="111"/>
      <c r="AB348" s="111"/>
      <c r="AC348" s="111"/>
      <c r="AD348" s="111"/>
      <c r="AE348" s="111"/>
      <c r="AF348" s="29"/>
      <c r="AG348" s="102">
        <f t="shared" si="37"/>
        <v>0</v>
      </c>
    </row>
    <row r="349" spans="1:33" x14ac:dyDescent="0.3">
      <c r="A349" s="115" t="s">
        <v>33</v>
      </c>
      <c r="B349" s="627">
        <f>J349+L349+N349+P349+R349+T349+V349+X349+Z349+AB349+AD349+H349</f>
        <v>2345.1999999999998</v>
      </c>
      <c r="C349" s="117">
        <f>SUM(H349)</f>
        <v>0</v>
      </c>
      <c r="D349" s="118">
        <f>E349</f>
        <v>0</v>
      </c>
      <c r="E349" s="117">
        <f>SUM(I349,K349,M349,O349,Q349,S349,U349,W349,Y349,AA349,AC349,AE349)</f>
        <v>0</v>
      </c>
      <c r="F349" s="116">
        <f>IFERROR(E349/B349*100,0)</f>
        <v>0</v>
      </c>
      <c r="G349" s="116">
        <f>IFERROR(E349/C349*100,0)</f>
        <v>0</v>
      </c>
      <c r="H349" s="111"/>
      <c r="I349" s="111"/>
      <c r="J349" s="111"/>
      <c r="K349" s="111"/>
      <c r="L349" s="111"/>
      <c r="M349" s="111"/>
      <c r="N349" s="111"/>
      <c r="O349" s="111"/>
      <c r="P349" s="111"/>
      <c r="Q349" s="111"/>
      <c r="R349" s="111"/>
      <c r="S349" s="111"/>
      <c r="T349" s="111"/>
      <c r="U349" s="111"/>
      <c r="V349" s="111"/>
      <c r="W349" s="111"/>
      <c r="X349" s="111"/>
      <c r="Y349" s="111"/>
      <c r="Z349" s="111"/>
      <c r="AA349" s="111"/>
      <c r="AB349" s="111"/>
      <c r="AC349" s="111"/>
      <c r="AD349" s="111">
        <v>2345.1999999999998</v>
      </c>
      <c r="AE349" s="111"/>
      <c r="AF349" s="29"/>
      <c r="AG349" s="102">
        <f t="shared" si="37"/>
        <v>0</v>
      </c>
    </row>
    <row r="350" spans="1:33" x14ac:dyDescent="0.3">
      <c r="A350" s="115" t="s">
        <v>170</v>
      </c>
      <c r="B350" s="116"/>
      <c r="C350" s="117"/>
      <c r="D350" s="118"/>
      <c r="E350" s="117"/>
      <c r="F350" s="116"/>
      <c r="G350" s="116"/>
      <c r="H350" s="111"/>
      <c r="I350" s="111"/>
      <c r="J350" s="111"/>
      <c r="K350" s="111"/>
      <c r="L350" s="111"/>
      <c r="M350" s="111"/>
      <c r="N350" s="111"/>
      <c r="O350" s="111"/>
      <c r="P350" s="111"/>
      <c r="Q350" s="111"/>
      <c r="R350" s="111"/>
      <c r="S350" s="111"/>
      <c r="T350" s="111"/>
      <c r="U350" s="111"/>
      <c r="V350" s="111"/>
      <c r="W350" s="111"/>
      <c r="X350" s="111"/>
      <c r="Y350" s="111"/>
      <c r="Z350" s="111"/>
      <c r="AA350" s="111"/>
      <c r="AB350" s="111"/>
      <c r="AC350" s="111"/>
      <c r="AD350" s="111"/>
      <c r="AE350" s="111"/>
      <c r="AF350" s="29"/>
      <c r="AG350" s="102">
        <f t="shared" si="37"/>
        <v>0</v>
      </c>
    </row>
    <row r="351" spans="1:33" x14ac:dyDescent="0.3">
      <c r="A351" s="148" t="s">
        <v>217</v>
      </c>
      <c r="B351" s="149">
        <f>B352+B353+B354+B355</f>
        <v>4823732.5953899994</v>
      </c>
      <c r="C351" s="858">
        <f>C352+C353+C354</f>
        <v>1267467.88316</v>
      </c>
      <c r="D351" s="858">
        <f>D352+D353+D354</f>
        <v>1704420.62163</v>
      </c>
      <c r="E351" s="858">
        <f>E352+E353+E354</f>
        <v>1704368.6150000002</v>
      </c>
      <c r="F351" s="858">
        <f t="shared" ref="F351:F365" si="101">IFERROR(E351/B351*100,0)</f>
        <v>35.332982939992377</v>
      </c>
      <c r="G351" s="858">
        <f t="shared" ref="G351:G365" si="102">IFERROR(E351/C351*100,0)</f>
        <v>134.47035918186242</v>
      </c>
      <c r="H351" s="858">
        <f t="shared" ref="H351:AE351" si="103">H352+H353+H354+H355</f>
        <v>257831.14190999995</v>
      </c>
      <c r="I351" s="858">
        <f t="shared" si="103"/>
        <v>109716.07</v>
      </c>
      <c r="J351" s="858">
        <f t="shared" si="103"/>
        <v>340210.04240999999</v>
      </c>
      <c r="K351" s="858">
        <f t="shared" si="103"/>
        <v>311065.93700000003</v>
      </c>
      <c r="L351" s="858">
        <f t="shared" si="103"/>
        <v>299972.96004999999</v>
      </c>
      <c r="M351" s="858">
        <f t="shared" si="103"/>
        <v>256481.05800000002</v>
      </c>
      <c r="N351" s="858">
        <f t="shared" si="103"/>
        <v>335009.85444999998</v>
      </c>
      <c r="O351" s="858">
        <f t="shared" si="103"/>
        <v>267967.36999999994</v>
      </c>
      <c r="P351" s="858">
        <f t="shared" si="103"/>
        <v>493233.24200999993</v>
      </c>
      <c r="Q351" s="858">
        <f t="shared" si="103"/>
        <v>493174.10000000003</v>
      </c>
      <c r="R351" s="858">
        <f t="shared" si="103"/>
        <v>287669.64208000002</v>
      </c>
      <c r="S351" s="858">
        <f t="shared" si="103"/>
        <v>281704.90999999997</v>
      </c>
      <c r="T351" s="858">
        <f t="shared" si="103"/>
        <v>223981.31479999999</v>
      </c>
      <c r="U351" s="858">
        <f t="shared" si="103"/>
        <v>0</v>
      </c>
      <c r="V351" s="858">
        <f t="shared" si="103"/>
        <v>126347.27129999999</v>
      </c>
      <c r="W351" s="858">
        <f t="shared" si="103"/>
        <v>0</v>
      </c>
      <c r="X351" s="149">
        <f t="shared" si="103"/>
        <v>173137.47573999999</v>
      </c>
      <c r="Y351" s="149">
        <f t="shared" si="103"/>
        <v>0</v>
      </c>
      <c r="Z351" s="149">
        <f t="shared" si="103"/>
        <v>209483.90850999998</v>
      </c>
      <c r="AA351" s="149">
        <f t="shared" si="103"/>
        <v>0</v>
      </c>
      <c r="AB351" s="796">
        <f t="shared" si="103"/>
        <v>695938.88014999987</v>
      </c>
      <c r="AC351" s="149">
        <f t="shared" si="103"/>
        <v>0</v>
      </c>
      <c r="AD351" s="796">
        <f t="shared" si="103"/>
        <v>1380916.86198</v>
      </c>
      <c r="AE351" s="149">
        <f t="shared" si="103"/>
        <v>0</v>
      </c>
      <c r="AF351" s="149"/>
      <c r="AG351" s="102">
        <f>B351-H351-J351-L351-N351-P351-R351-T351-V351-X351-Z351-AB351-AD351</f>
        <v>0</v>
      </c>
    </row>
    <row r="352" spans="1:33" x14ac:dyDescent="0.3">
      <c r="A352" s="150" t="s">
        <v>169</v>
      </c>
      <c r="B352" s="151">
        <f t="shared" ref="B352:E354" si="104">B13+B25+B32+B62+B80+B128+B149+B163+B175+B188+B206+B236+B256+B268+B275+B299+B335</f>
        <v>305128.80637000001</v>
      </c>
      <c r="C352" s="855">
        <f>C13+C25+C32+C62+C80+C128+C149+C163+C175+C188+C206+C236+C256+C268+C275+C299+C335</f>
        <v>33556.188760000005</v>
      </c>
      <c r="D352" s="855">
        <f t="shared" si="104"/>
        <v>60171.572010000004</v>
      </c>
      <c r="E352" s="855">
        <f t="shared" si="104"/>
        <v>60151.270000000004</v>
      </c>
      <c r="F352" s="855">
        <f t="shared" si="101"/>
        <v>19.713402584173064</v>
      </c>
      <c r="G352" s="855">
        <f t="shared" si="102"/>
        <v>179.25536904745911</v>
      </c>
      <c r="H352" s="855">
        <f t="shared" ref="H352:AE352" si="105">H13+H25+H32+H62+H80+H128+H149+H163+H175+H188+H206+H236+H256+H268+H275+H299+H335</f>
        <v>5384.18</v>
      </c>
      <c r="I352" s="855">
        <f t="shared" si="105"/>
        <v>5314.2000000000007</v>
      </c>
      <c r="J352" s="855">
        <f t="shared" si="105"/>
        <v>6807.63</v>
      </c>
      <c r="K352" s="855">
        <f t="shared" si="105"/>
        <v>6685.9</v>
      </c>
      <c r="L352" s="855">
        <f t="shared" si="105"/>
        <v>7174.4</v>
      </c>
      <c r="M352" s="855">
        <f t="shared" si="105"/>
        <v>7158.7599999999993</v>
      </c>
      <c r="N352" s="855">
        <f t="shared" si="105"/>
        <v>14042.376749999999</v>
      </c>
      <c r="O352" s="855">
        <f t="shared" si="105"/>
        <v>13401.96</v>
      </c>
      <c r="P352" s="855">
        <f t="shared" si="105"/>
        <v>13168.085210000001</v>
      </c>
      <c r="Q352" s="855">
        <f t="shared" si="105"/>
        <v>13168.080000000002</v>
      </c>
      <c r="R352" s="855">
        <f t="shared" si="105"/>
        <v>14672.260199999999</v>
      </c>
      <c r="S352" s="855">
        <f t="shared" si="105"/>
        <v>14422.37</v>
      </c>
      <c r="T352" s="855">
        <f t="shared" si="105"/>
        <v>8908.7999999999993</v>
      </c>
      <c r="U352" s="855">
        <f t="shared" si="105"/>
        <v>0</v>
      </c>
      <c r="V352" s="855">
        <f t="shared" si="105"/>
        <v>32.28</v>
      </c>
      <c r="W352" s="855">
        <f t="shared" si="105"/>
        <v>0</v>
      </c>
      <c r="X352" s="151">
        <f t="shared" si="105"/>
        <v>3349.5748999999996</v>
      </c>
      <c r="Y352" s="151">
        <f t="shared" si="105"/>
        <v>0</v>
      </c>
      <c r="Z352" s="151">
        <f t="shared" si="105"/>
        <v>14555.5417</v>
      </c>
      <c r="AA352" s="151">
        <f t="shared" si="105"/>
        <v>0</v>
      </c>
      <c r="AB352" s="151">
        <f t="shared" si="105"/>
        <v>214338.86272</v>
      </c>
      <c r="AC352" s="151">
        <f t="shared" si="105"/>
        <v>0</v>
      </c>
      <c r="AD352" s="151">
        <f t="shared" si="105"/>
        <v>2694.8148900000001</v>
      </c>
      <c r="AE352" s="151">
        <f t="shared" si="105"/>
        <v>0</v>
      </c>
      <c r="AF352" s="151"/>
      <c r="AG352" s="102">
        <f t="shared" si="37"/>
        <v>8.6401996668428183E-12</v>
      </c>
    </row>
    <row r="353" spans="1:33" x14ac:dyDescent="0.3">
      <c r="A353" s="150" t="s">
        <v>32</v>
      </c>
      <c r="B353" s="151">
        <f t="shared" si="104"/>
        <v>3283274.4939899994</v>
      </c>
      <c r="C353" s="151">
        <f t="shared" si="104"/>
        <v>900832.15273999993</v>
      </c>
      <c r="D353" s="151">
        <f t="shared" si="104"/>
        <v>1221715.00462</v>
      </c>
      <c r="E353" s="151">
        <f t="shared" si="104"/>
        <v>1221683.3</v>
      </c>
      <c r="F353" s="151">
        <f t="shared" si="101"/>
        <v>37.209295239745529</v>
      </c>
      <c r="G353" s="151">
        <f t="shared" si="102"/>
        <v>135.6171953103682</v>
      </c>
      <c r="H353" s="151">
        <f t="shared" ref="H353:AE353" si="106">H14+H26+H33+H63+H81+H129+H150+H164+H176+H189+H207+H237+H257+H269+H276+H300+H336</f>
        <v>181751.87999999998</v>
      </c>
      <c r="I353" s="151">
        <f t="shared" si="106"/>
        <v>39614.799999999996</v>
      </c>
      <c r="J353" s="151">
        <f t="shared" si="106"/>
        <v>240841.75979000004</v>
      </c>
      <c r="K353" s="151">
        <f t="shared" si="106"/>
        <v>212218.7</v>
      </c>
      <c r="L353" s="151">
        <f t="shared" si="106"/>
        <v>218725.58578999998</v>
      </c>
      <c r="M353" s="151">
        <f t="shared" si="106"/>
        <v>177509.57</v>
      </c>
      <c r="N353" s="151">
        <f t="shared" si="106"/>
        <v>254832.07253999996</v>
      </c>
      <c r="O353" s="151">
        <f t="shared" si="106"/>
        <v>185180.93999999997</v>
      </c>
      <c r="P353" s="151">
        <f t="shared" si="106"/>
        <v>407674.29255999997</v>
      </c>
      <c r="Q353" s="151">
        <f t="shared" si="106"/>
        <v>409839</v>
      </c>
      <c r="R353" s="151">
        <f t="shared" si="106"/>
        <v>196665.73141000001</v>
      </c>
      <c r="S353" s="151">
        <f t="shared" si="106"/>
        <v>197320.28999999998</v>
      </c>
      <c r="T353" s="151">
        <f t="shared" si="106"/>
        <v>131101.06379000001</v>
      </c>
      <c r="U353" s="151">
        <f t="shared" si="106"/>
        <v>0</v>
      </c>
      <c r="V353" s="151">
        <f t="shared" si="106"/>
        <v>92570.265790000005</v>
      </c>
      <c r="W353" s="151">
        <f t="shared" si="106"/>
        <v>0</v>
      </c>
      <c r="X353" s="151">
        <f t="shared" si="106"/>
        <v>134118.90732</v>
      </c>
      <c r="Y353" s="151">
        <f t="shared" si="106"/>
        <v>0</v>
      </c>
      <c r="Z353" s="151">
        <f t="shared" si="106"/>
        <v>149253.84591999999</v>
      </c>
      <c r="AA353" s="151">
        <f t="shared" si="106"/>
        <v>0</v>
      </c>
      <c r="AB353" s="151">
        <f t="shared" si="106"/>
        <v>383639.38991999999</v>
      </c>
      <c r="AC353" s="151">
        <f t="shared" si="106"/>
        <v>0</v>
      </c>
      <c r="AD353" s="151">
        <f t="shared" si="106"/>
        <v>892099.69916000008</v>
      </c>
      <c r="AE353" s="151">
        <f t="shared" si="106"/>
        <v>0</v>
      </c>
      <c r="AF353" s="151"/>
      <c r="AG353" s="102">
        <f t="shared" si="37"/>
        <v>0</v>
      </c>
    </row>
    <row r="354" spans="1:33" x14ac:dyDescent="0.3">
      <c r="A354" s="150" t="s">
        <v>33</v>
      </c>
      <c r="B354" s="855">
        <f t="shared" si="104"/>
        <v>895140.46502999996</v>
      </c>
      <c r="C354" s="151">
        <f t="shared" si="104"/>
        <v>333079.54166000005</v>
      </c>
      <c r="D354" s="151">
        <f t="shared" si="104"/>
        <v>422534.04500000004</v>
      </c>
      <c r="E354" s="151">
        <f t="shared" si="104"/>
        <v>422534.04500000004</v>
      </c>
      <c r="F354" s="151">
        <f t="shared" si="101"/>
        <v>47.203099570058995</v>
      </c>
      <c r="G354" s="151">
        <f>IFERROR(E354/C354*100,0)</f>
        <v>126.85679909795033</v>
      </c>
      <c r="H354" s="151">
        <f t="shared" ref="H354:AE354" si="107">H15+H27+H34+H64+H82+H130+H151+H165+H177+H190+H208+H238+H258+H270+H277+H301+H337</f>
        <v>70695.081909999994</v>
      </c>
      <c r="I354" s="151">
        <f t="shared" si="107"/>
        <v>64787.07</v>
      </c>
      <c r="J354" s="151">
        <f t="shared" si="107"/>
        <v>92560.652619999979</v>
      </c>
      <c r="K354" s="151">
        <f t="shared" si="107"/>
        <v>92161.337</v>
      </c>
      <c r="L354" s="151">
        <f t="shared" si="107"/>
        <v>70842.974259999988</v>
      </c>
      <c r="M354" s="151">
        <f t="shared" si="107"/>
        <v>68582.728000000003</v>
      </c>
      <c r="N354" s="151">
        <f t="shared" si="107"/>
        <v>61842.905160000009</v>
      </c>
      <c r="O354" s="151">
        <f t="shared" si="107"/>
        <v>65273.469999999994</v>
      </c>
      <c r="P354" s="151">
        <f t="shared" si="107"/>
        <v>66690.864239999995</v>
      </c>
      <c r="Q354" s="151">
        <f t="shared" si="107"/>
        <v>64467.02</v>
      </c>
      <c r="R354" s="151">
        <f t="shared" si="107"/>
        <v>73631.820469999991</v>
      </c>
      <c r="S354" s="151">
        <f t="shared" si="107"/>
        <v>67262.42</v>
      </c>
      <c r="T354" s="151">
        <f t="shared" si="107"/>
        <v>83971.45100999999</v>
      </c>
      <c r="U354" s="151">
        <f t="shared" si="107"/>
        <v>0</v>
      </c>
      <c r="V354" s="151">
        <f t="shared" si="107"/>
        <v>33744.725509999989</v>
      </c>
      <c r="W354" s="151">
        <f t="shared" si="107"/>
        <v>0</v>
      </c>
      <c r="X354" s="151">
        <f t="shared" si="107"/>
        <v>35668.993519999996</v>
      </c>
      <c r="Y354" s="151">
        <f t="shared" si="107"/>
        <v>0</v>
      </c>
      <c r="Z354" s="151">
        <f t="shared" si="107"/>
        <v>45674.52089</v>
      </c>
      <c r="AA354" s="151">
        <f t="shared" si="107"/>
        <v>0</v>
      </c>
      <c r="AB354" s="151">
        <f t="shared" si="107"/>
        <v>87902.687509999989</v>
      </c>
      <c r="AC354" s="151">
        <f t="shared" si="107"/>
        <v>0</v>
      </c>
      <c r="AD354" s="151">
        <f t="shared" si="107"/>
        <v>171913.78792999999</v>
      </c>
      <c r="AE354" s="151">
        <f t="shared" si="107"/>
        <v>0</v>
      </c>
      <c r="AF354" s="151"/>
      <c r="AG354" s="102">
        <f t="shared" si="37"/>
        <v>0</v>
      </c>
    </row>
    <row r="355" spans="1:33" x14ac:dyDescent="0.3">
      <c r="A355" s="152" t="s">
        <v>170</v>
      </c>
      <c r="B355" s="855">
        <f>H355+J355+L355+N355+P355+R355+T355+V355+X355+AB355+AD355</f>
        <v>340188.83</v>
      </c>
      <c r="C355" s="151">
        <f>C16+C28+C35+C65+C83+C131+C152+C166+C178+C191+C209+C239+C259+C271+C278+C302+C338+C41</f>
        <v>15922.33</v>
      </c>
      <c r="D355" s="151">
        <f>D16+D28+D35+D65+D83+D131+D152+D166+D178+D191+D209+D239+D259+D271+D278+D302+D338</f>
        <v>15740.83</v>
      </c>
      <c r="E355" s="151">
        <f>E16+E28+E35+E65+E83+E131+E152+E166+E178+E191+E209+E239+E259+E271+E278+E302+E338</f>
        <v>15740.83</v>
      </c>
      <c r="F355" s="151">
        <f t="shared" si="101"/>
        <v>4.6270860803983478</v>
      </c>
      <c r="G355" s="151">
        <f t="shared" si="102"/>
        <v>98.860091456463977</v>
      </c>
      <c r="H355" s="151">
        <f t="shared" ref="H355:AE355" si="108">H16+H28+H35+H65+H83+H131+H152+H166+H178+H191+H209+H239+H259+H271+H278+H302+H338</f>
        <v>0</v>
      </c>
      <c r="I355" s="151">
        <f t="shared" si="108"/>
        <v>0</v>
      </c>
      <c r="J355" s="151">
        <f t="shared" si="108"/>
        <v>0</v>
      </c>
      <c r="K355" s="151">
        <f t="shared" si="108"/>
        <v>0</v>
      </c>
      <c r="L355" s="151">
        <f t="shared" si="108"/>
        <v>3230</v>
      </c>
      <c r="M355" s="151">
        <f t="shared" si="108"/>
        <v>3230</v>
      </c>
      <c r="N355" s="151">
        <f t="shared" si="108"/>
        <v>4292.5</v>
      </c>
      <c r="O355" s="151">
        <f t="shared" si="108"/>
        <v>4111</v>
      </c>
      <c r="P355" s="151">
        <f t="shared" si="108"/>
        <v>5700</v>
      </c>
      <c r="Q355" s="151">
        <f t="shared" si="108"/>
        <v>5700</v>
      </c>
      <c r="R355" s="151">
        <f t="shared" si="108"/>
        <v>2699.83</v>
      </c>
      <c r="S355" s="151">
        <f t="shared" si="108"/>
        <v>2699.83</v>
      </c>
      <c r="T355" s="151">
        <f t="shared" si="108"/>
        <v>0</v>
      </c>
      <c r="U355" s="151">
        <f t="shared" si="108"/>
        <v>0</v>
      </c>
      <c r="V355" s="151">
        <f t="shared" si="108"/>
        <v>0</v>
      </c>
      <c r="W355" s="151">
        <f t="shared" si="108"/>
        <v>0</v>
      </c>
      <c r="X355" s="151">
        <f t="shared" si="108"/>
        <v>0</v>
      </c>
      <c r="Y355" s="151">
        <f t="shared" si="108"/>
        <v>0</v>
      </c>
      <c r="Z355" s="151">
        <f t="shared" si="108"/>
        <v>0</v>
      </c>
      <c r="AA355" s="151">
        <f t="shared" si="108"/>
        <v>0</v>
      </c>
      <c r="AB355" s="151">
        <f t="shared" si="108"/>
        <v>10057.94</v>
      </c>
      <c r="AC355" s="151">
        <f t="shared" si="108"/>
        <v>0</v>
      </c>
      <c r="AD355" s="151">
        <f t="shared" si="108"/>
        <v>314208.56</v>
      </c>
      <c r="AE355" s="151">
        <f t="shared" si="108"/>
        <v>0</v>
      </c>
      <c r="AF355" s="151"/>
      <c r="AG355" s="102">
        <f t="shared" si="37"/>
        <v>0</v>
      </c>
    </row>
    <row r="356" spans="1:33" ht="37.5" x14ac:dyDescent="0.3">
      <c r="A356" s="148" t="s">
        <v>218</v>
      </c>
      <c r="B356" s="149">
        <f>B357+B358+B359+B360</f>
        <v>1652524.33134</v>
      </c>
      <c r="C356" s="149">
        <f>C357+C358+C359</f>
        <v>1020.1676299999999</v>
      </c>
      <c r="D356" s="149">
        <f>D357+D358+D359</f>
        <v>1017.3946299999999</v>
      </c>
      <c r="E356" s="149">
        <f>E357+E358+E359</f>
        <v>965.38800000000003</v>
      </c>
      <c r="F356" s="149">
        <f t="shared" si="101"/>
        <v>5.8418988555356738E-2</v>
      </c>
      <c r="G356" s="149">
        <f t="shared" si="102"/>
        <v>94.630330507546105</v>
      </c>
      <c r="H356" s="149">
        <f t="shared" ref="H356:AE356" si="109">H357+H358+H359+H360</f>
        <v>2</v>
      </c>
      <c r="I356" s="149">
        <f t="shared" si="109"/>
        <v>2</v>
      </c>
      <c r="J356" s="149">
        <f t="shared" si="109"/>
        <v>262.52300000000002</v>
      </c>
      <c r="K356" s="149">
        <f t="shared" si="109"/>
        <v>262.57</v>
      </c>
      <c r="L356" s="149">
        <f t="shared" si="109"/>
        <v>178.89000000000001</v>
      </c>
      <c r="M356" s="149">
        <f t="shared" si="109"/>
        <v>178.05799999999999</v>
      </c>
      <c r="N356" s="149">
        <f t="shared" si="109"/>
        <v>92.240000000000009</v>
      </c>
      <c r="O356" s="149">
        <f t="shared" si="109"/>
        <v>24.48</v>
      </c>
      <c r="P356" s="149">
        <f t="shared" si="109"/>
        <v>176.8364</v>
      </c>
      <c r="Q356" s="149">
        <f t="shared" si="109"/>
        <v>176.83</v>
      </c>
      <c r="R356" s="149">
        <f t="shared" si="109"/>
        <v>307.67823000000004</v>
      </c>
      <c r="S356" s="149">
        <f t="shared" si="109"/>
        <v>321.45</v>
      </c>
      <c r="T356" s="149">
        <f t="shared" si="109"/>
        <v>0.55500000000000005</v>
      </c>
      <c r="U356" s="149">
        <f t="shared" si="109"/>
        <v>0</v>
      </c>
      <c r="V356" s="149">
        <f t="shared" si="109"/>
        <v>33.122</v>
      </c>
      <c r="W356" s="149">
        <f t="shared" si="109"/>
        <v>0</v>
      </c>
      <c r="X356" s="149">
        <f t="shared" si="109"/>
        <v>75.910229999999999</v>
      </c>
      <c r="Y356" s="149">
        <f t="shared" si="109"/>
        <v>0</v>
      </c>
      <c r="Z356" s="149">
        <f t="shared" si="109"/>
        <v>25352.76023</v>
      </c>
      <c r="AA356" s="149">
        <f t="shared" si="109"/>
        <v>0</v>
      </c>
      <c r="AB356" s="149">
        <f t="shared" si="109"/>
        <v>532265.03224999993</v>
      </c>
      <c r="AC356" s="149">
        <f t="shared" si="109"/>
        <v>0</v>
      </c>
      <c r="AD356" s="149">
        <f t="shared" si="109"/>
        <v>1093776.7840000002</v>
      </c>
      <c r="AE356" s="149">
        <f t="shared" si="109"/>
        <v>0</v>
      </c>
      <c r="AF356" s="149"/>
      <c r="AG356" s="102">
        <f t="shared" si="37"/>
        <v>0</v>
      </c>
    </row>
    <row r="357" spans="1:33" x14ac:dyDescent="0.3">
      <c r="A357" s="150" t="s">
        <v>169</v>
      </c>
      <c r="B357" s="151">
        <f t="shared" ref="B357:E360" si="110">B13+B25+B163+B175+B256+B268</f>
        <v>222131.40402999998</v>
      </c>
      <c r="C357" s="151">
        <f>C13+C25+C163+C175+C256+C268</f>
        <v>296.99200999999999</v>
      </c>
      <c r="D357" s="151">
        <f t="shared" si="110"/>
        <v>296.99200999999999</v>
      </c>
      <c r="E357" s="151">
        <f t="shared" si="110"/>
        <v>276.69</v>
      </c>
      <c r="F357" s="151">
        <f t="shared" si="101"/>
        <v>0.1245614059877061</v>
      </c>
      <c r="G357" s="151">
        <f t="shared" si="102"/>
        <v>93.164122496090044</v>
      </c>
      <c r="H357" s="151">
        <f t="shared" ref="H357:AE357" si="111">H13+H25+H163+H175+H256+H268</f>
        <v>0</v>
      </c>
      <c r="I357" s="151">
        <f t="shared" si="111"/>
        <v>0</v>
      </c>
      <c r="J357" s="151">
        <f t="shared" si="111"/>
        <v>47.78</v>
      </c>
      <c r="K357" s="151">
        <f t="shared" si="111"/>
        <v>47.9</v>
      </c>
      <c r="L357" s="151">
        <f t="shared" si="111"/>
        <v>65.98</v>
      </c>
      <c r="M357" s="151">
        <f t="shared" si="111"/>
        <v>65.86</v>
      </c>
      <c r="N357" s="151">
        <f t="shared" si="111"/>
        <v>35.630000000000003</v>
      </c>
      <c r="O357" s="151">
        <f t="shared" si="111"/>
        <v>9.15</v>
      </c>
      <c r="P357" s="151">
        <f t="shared" si="111"/>
        <v>68.342010000000002</v>
      </c>
      <c r="Q357" s="151">
        <f t="shared" si="111"/>
        <v>68.34</v>
      </c>
      <c r="R357" s="151">
        <f t="shared" si="111"/>
        <v>79.260000000000005</v>
      </c>
      <c r="S357" s="151">
        <f t="shared" si="111"/>
        <v>85.44</v>
      </c>
      <c r="T357" s="151">
        <f t="shared" si="111"/>
        <v>0</v>
      </c>
      <c r="U357" s="151">
        <f t="shared" si="111"/>
        <v>0</v>
      </c>
      <c r="V357" s="151">
        <f t="shared" si="111"/>
        <v>32.28</v>
      </c>
      <c r="W357" s="151">
        <f t="shared" si="111"/>
        <v>0</v>
      </c>
      <c r="X357" s="151">
        <f t="shared" si="111"/>
        <v>15.489999999999998</v>
      </c>
      <c r="Y357" s="151">
        <f t="shared" si="111"/>
        <v>0</v>
      </c>
      <c r="Z357" s="151">
        <f t="shared" si="111"/>
        <v>10259.92</v>
      </c>
      <c r="AA357" s="151">
        <f t="shared" si="111"/>
        <v>0</v>
      </c>
      <c r="AB357" s="151">
        <f t="shared" si="111"/>
        <v>211492.41202000002</v>
      </c>
      <c r="AC357" s="151">
        <f t="shared" si="111"/>
        <v>0</v>
      </c>
      <c r="AD357" s="151">
        <f t="shared" si="111"/>
        <v>34.31</v>
      </c>
      <c r="AE357" s="151">
        <f t="shared" si="111"/>
        <v>0</v>
      </c>
      <c r="AF357" s="151"/>
      <c r="AG357" s="102">
        <f t="shared" si="37"/>
        <v>-6.0538241086760536E-11</v>
      </c>
    </row>
    <row r="358" spans="1:33" x14ac:dyDescent="0.3">
      <c r="A358" s="150" t="s">
        <v>32</v>
      </c>
      <c r="B358" s="151">
        <f t="shared" si="110"/>
        <v>931573.69530999998</v>
      </c>
      <c r="C358" s="151">
        <f t="shared" si="110"/>
        <v>464.46461999999997</v>
      </c>
      <c r="D358" s="151">
        <f t="shared" si="110"/>
        <v>464.46461999999997</v>
      </c>
      <c r="E358" s="151">
        <f t="shared" si="110"/>
        <v>432.76</v>
      </c>
      <c r="F358" s="151">
        <f t="shared" si="101"/>
        <v>4.6454725179417004E-2</v>
      </c>
      <c r="G358" s="151">
        <f t="shared" si="102"/>
        <v>93.173942936708514</v>
      </c>
      <c r="H358" s="151">
        <f t="shared" ref="H358:AE358" si="112">H14+H26+H164+H176+H257+H269</f>
        <v>0</v>
      </c>
      <c r="I358" s="151">
        <f t="shared" si="112"/>
        <v>0</v>
      </c>
      <c r="J358" s="151">
        <f t="shared" si="112"/>
        <v>74.73</v>
      </c>
      <c r="K358" s="151">
        <f t="shared" si="112"/>
        <v>74.7</v>
      </c>
      <c r="L358" s="151">
        <f t="shared" si="112"/>
        <v>103.2</v>
      </c>
      <c r="M358" s="151">
        <f t="shared" si="112"/>
        <v>103.21</v>
      </c>
      <c r="N358" s="151">
        <f t="shared" si="112"/>
        <v>55.68</v>
      </c>
      <c r="O358" s="151">
        <f t="shared" si="112"/>
        <v>14.34</v>
      </c>
      <c r="P358" s="151">
        <f t="shared" si="112"/>
        <v>106.77439</v>
      </c>
      <c r="Q358" s="151">
        <f t="shared" si="112"/>
        <v>106.77</v>
      </c>
      <c r="R358" s="151">
        <f t="shared" si="112"/>
        <v>124.08023</v>
      </c>
      <c r="S358" s="151">
        <f t="shared" si="112"/>
        <v>133.74</v>
      </c>
      <c r="T358" s="151">
        <f t="shared" si="112"/>
        <v>0</v>
      </c>
      <c r="U358" s="151">
        <f t="shared" si="112"/>
        <v>0</v>
      </c>
      <c r="V358" s="151">
        <f t="shared" si="112"/>
        <v>0.1</v>
      </c>
      <c r="W358" s="151">
        <f t="shared" si="112"/>
        <v>0</v>
      </c>
      <c r="X358" s="151">
        <f t="shared" si="112"/>
        <v>59.430230000000002</v>
      </c>
      <c r="Y358" s="151">
        <f t="shared" si="112"/>
        <v>0</v>
      </c>
      <c r="Z358" s="151">
        <f t="shared" si="112"/>
        <v>12567.92023</v>
      </c>
      <c r="AA358" s="151">
        <f t="shared" si="112"/>
        <v>0</v>
      </c>
      <c r="AB358" s="151">
        <f t="shared" si="112"/>
        <v>258503.70022999999</v>
      </c>
      <c r="AC358" s="151">
        <f t="shared" si="112"/>
        <v>0</v>
      </c>
      <c r="AD358" s="151">
        <f t="shared" si="112"/>
        <v>659978.08000000007</v>
      </c>
      <c r="AE358" s="151">
        <f t="shared" si="112"/>
        <v>0</v>
      </c>
      <c r="AF358" s="151"/>
      <c r="AG358" s="102">
        <f t="shared" si="37"/>
        <v>0</v>
      </c>
    </row>
    <row r="359" spans="1:33" x14ac:dyDescent="0.3">
      <c r="A359" s="150" t="s">
        <v>33</v>
      </c>
      <c r="B359" s="151">
        <f t="shared" si="110"/>
        <v>177030.23199999999</v>
      </c>
      <c r="C359" s="151">
        <f t="shared" si="110"/>
        <v>258.71100000000001</v>
      </c>
      <c r="D359" s="151">
        <f t="shared" si="110"/>
        <v>255.93800000000002</v>
      </c>
      <c r="E359" s="151">
        <f t="shared" si="110"/>
        <v>255.93800000000002</v>
      </c>
      <c r="F359" s="151">
        <f t="shared" si="101"/>
        <v>0.14457304670989757</v>
      </c>
      <c r="G359" s="151">
        <f t="shared" si="102"/>
        <v>98.928147624182969</v>
      </c>
      <c r="H359" s="151">
        <f t="shared" ref="H359:AE359" si="113">H15+H27+H165+H177+H258+H270</f>
        <v>2</v>
      </c>
      <c r="I359" s="151">
        <f t="shared" si="113"/>
        <v>2</v>
      </c>
      <c r="J359" s="151">
        <f t="shared" si="113"/>
        <v>140.01300000000001</v>
      </c>
      <c r="K359" s="151">
        <f t="shared" si="113"/>
        <v>139.97</v>
      </c>
      <c r="L359" s="151">
        <f t="shared" si="113"/>
        <v>9.7100000000000009</v>
      </c>
      <c r="M359" s="151">
        <f t="shared" si="113"/>
        <v>8.9879999999999995</v>
      </c>
      <c r="N359" s="151">
        <f t="shared" si="113"/>
        <v>0.93</v>
      </c>
      <c r="O359" s="151">
        <f t="shared" si="113"/>
        <v>0.99</v>
      </c>
      <c r="P359" s="151">
        <f t="shared" si="113"/>
        <v>1.72</v>
      </c>
      <c r="Q359" s="151">
        <f t="shared" si="113"/>
        <v>1.72</v>
      </c>
      <c r="R359" s="151">
        <f t="shared" si="113"/>
        <v>104.33800000000001</v>
      </c>
      <c r="S359" s="151">
        <f t="shared" si="113"/>
        <v>102.27</v>
      </c>
      <c r="T359" s="151">
        <f t="shared" si="113"/>
        <v>0.55500000000000005</v>
      </c>
      <c r="U359" s="151">
        <f t="shared" si="113"/>
        <v>0</v>
      </c>
      <c r="V359" s="151">
        <f t="shared" si="113"/>
        <v>0.74199999999999999</v>
      </c>
      <c r="W359" s="151">
        <f t="shared" si="113"/>
        <v>0</v>
      </c>
      <c r="X359" s="151">
        <f t="shared" si="113"/>
        <v>0.99</v>
      </c>
      <c r="Y359" s="151">
        <f t="shared" si="113"/>
        <v>0</v>
      </c>
      <c r="Z359" s="151">
        <f t="shared" si="113"/>
        <v>2524.92</v>
      </c>
      <c r="AA359" s="151">
        <f t="shared" si="113"/>
        <v>0</v>
      </c>
      <c r="AB359" s="151">
        <f t="shared" si="113"/>
        <v>52210.98</v>
      </c>
      <c r="AC359" s="151">
        <f t="shared" si="113"/>
        <v>0</v>
      </c>
      <c r="AD359" s="151">
        <f t="shared" si="113"/>
        <v>122033.334</v>
      </c>
      <c r="AE359" s="151">
        <f t="shared" si="113"/>
        <v>0</v>
      </c>
      <c r="AF359" s="151"/>
      <c r="AG359" s="102">
        <f t="shared" ref="AG359:AG370" si="114">B359-H359-J359-L359-N359-P359-R359-T359-V359-X359-Z359-AB359-AD359</f>
        <v>0</v>
      </c>
    </row>
    <row r="360" spans="1:33" x14ac:dyDescent="0.3">
      <c r="A360" s="152" t="s">
        <v>170</v>
      </c>
      <c r="B360" s="151">
        <f t="shared" si="110"/>
        <v>321789</v>
      </c>
      <c r="C360" s="151">
        <f t="shared" si="110"/>
        <v>0</v>
      </c>
      <c r="D360" s="151">
        <f t="shared" si="110"/>
        <v>0</v>
      </c>
      <c r="E360" s="151">
        <f t="shared" si="110"/>
        <v>0</v>
      </c>
      <c r="F360" s="151">
        <f t="shared" si="101"/>
        <v>0</v>
      </c>
      <c r="G360" s="151">
        <f t="shared" si="102"/>
        <v>0</v>
      </c>
      <c r="H360" s="151">
        <f t="shared" ref="H360:AE360" si="115">H16+H28+H166+H178+H259+H271</f>
        <v>0</v>
      </c>
      <c r="I360" s="151">
        <f t="shared" si="115"/>
        <v>0</v>
      </c>
      <c r="J360" s="151">
        <f t="shared" si="115"/>
        <v>0</v>
      </c>
      <c r="K360" s="151">
        <f t="shared" si="115"/>
        <v>0</v>
      </c>
      <c r="L360" s="151">
        <f t="shared" si="115"/>
        <v>0</v>
      </c>
      <c r="M360" s="151">
        <f t="shared" si="115"/>
        <v>0</v>
      </c>
      <c r="N360" s="151">
        <f t="shared" si="115"/>
        <v>0</v>
      </c>
      <c r="O360" s="151">
        <f t="shared" si="115"/>
        <v>0</v>
      </c>
      <c r="P360" s="151">
        <f t="shared" si="115"/>
        <v>0</v>
      </c>
      <c r="Q360" s="151">
        <f t="shared" si="115"/>
        <v>0</v>
      </c>
      <c r="R360" s="151">
        <f t="shared" si="115"/>
        <v>0</v>
      </c>
      <c r="S360" s="151">
        <f t="shared" si="115"/>
        <v>0</v>
      </c>
      <c r="T360" s="151">
        <f t="shared" si="115"/>
        <v>0</v>
      </c>
      <c r="U360" s="151">
        <f t="shared" si="115"/>
        <v>0</v>
      </c>
      <c r="V360" s="151">
        <f t="shared" si="115"/>
        <v>0</v>
      </c>
      <c r="W360" s="151">
        <f t="shared" si="115"/>
        <v>0</v>
      </c>
      <c r="X360" s="151">
        <f t="shared" si="115"/>
        <v>0</v>
      </c>
      <c r="Y360" s="151">
        <f t="shared" si="115"/>
        <v>0</v>
      </c>
      <c r="Z360" s="151">
        <f t="shared" si="115"/>
        <v>0</v>
      </c>
      <c r="AA360" s="151">
        <f t="shared" si="115"/>
        <v>0</v>
      </c>
      <c r="AB360" s="151">
        <f t="shared" si="115"/>
        <v>10057.94</v>
      </c>
      <c r="AC360" s="151">
        <f t="shared" si="115"/>
        <v>0</v>
      </c>
      <c r="AD360" s="151">
        <f t="shared" si="115"/>
        <v>311731.06</v>
      </c>
      <c r="AE360" s="151">
        <f t="shared" si="115"/>
        <v>0</v>
      </c>
      <c r="AF360" s="151"/>
      <c r="AG360" s="102">
        <f t="shared" si="114"/>
        <v>0</v>
      </c>
    </row>
    <row r="361" spans="1:33" ht="37.5" x14ac:dyDescent="0.3">
      <c r="A361" s="148" t="s">
        <v>219</v>
      </c>
      <c r="B361" s="149">
        <f>B362+B363+B364+B365</f>
        <v>3171208.2640499994</v>
      </c>
      <c r="C361" s="149">
        <f>C362+C363+C364</f>
        <v>1266447.7155299999</v>
      </c>
      <c r="D361" s="149">
        <f>D362+D363+D364</f>
        <v>1703403.2270000002</v>
      </c>
      <c r="E361" s="149">
        <f>E362+E363+E364</f>
        <v>1703403.2270000002</v>
      </c>
      <c r="F361" s="149">
        <f t="shared" si="101"/>
        <v>53.714643920123919</v>
      </c>
      <c r="G361" s="149">
        <f t="shared" si="102"/>
        <v>134.50245170896275</v>
      </c>
      <c r="H361" s="149">
        <f t="shared" ref="H361:AE361" si="116">H362+H363+H364+H365</f>
        <v>257829.14190999995</v>
      </c>
      <c r="I361" s="149">
        <f t="shared" si="116"/>
        <v>109714.07</v>
      </c>
      <c r="J361" s="149">
        <f t="shared" si="116"/>
        <v>339947.51941000001</v>
      </c>
      <c r="K361" s="149">
        <f t="shared" si="116"/>
        <v>310803.36699999997</v>
      </c>
      <c r="L361" s="149">
        <f t="shared" si="116"/>
        <v>299794.07004999998</v>
      </c>
      <c r="M361" s="149">
        <f t="shared" si="116"/>
        <v>256303</v>
      </c>
      <c r="N361" s="149">
        <f t="shared" si="116"/>
        <v>334917.61444999999</v>
      </c>
      <c r="O361" s="149">
        <f t="shared" si="116"/>
        <v>267942.88999999996</v>
      </c>
      <c r="P361" s="149">
        <f t="shared" si="116"/>
        <v>493056.40561000002</v>
      </c>
      <c r="Q361" s="149">
        <f t="shared" si="116"/>
        <v>492997.26999999996</v>
      </c>
      <c r="R361" s="149">
        <f t="shared" si="116"/>
        <v>287361.96385000006</v>
      </c>
      <c r="S361" s="149">
        <f t="shared" si="116"/>
        <v>281383.46000000002</v>
      </c>
      <c r="T361" s="149">
        <f t="shared" si="116"/>
        <v>223980.7598</v>
      </c>
      <c r="U361" s="149">
        <f t="shared" si="116"/>
        <v>0</v>
      </c>
      <c r="V361" s="149">
        <f t="shared" si="116"/>
        <v>126314.14929999999</v>
      </c>
      <c r="W361" s="149">
        <f t="shared" si="116"/>
        <v>0</v>
      </c>
      <c r="X361" s="149">
        <f t="shared" si="116"/>
        <v>173061.56550999999</v>
      </c>
      <c r="Y361" s="149">
        <f t="shared" si="116"/>
        <v>0</v>
      </c>
      <c r="Z361" s="149">
        <f t="shared" si="116"/>
        <v>184131.14827999999</v>
      </c>
      <c r="AA361" s="149">
        <f t="shared" si="116"/>
        <v>0</v>
      </c>
      <c r="AB361" s="149">
        <f t="shared" si="116"/>
        <v>163673.84789999999</v>
      </c>
      <c r="AC361" s="149">
        <f t="shared" si="116"/>
        <v>0</v>
      </c>
      <c r="AD361" s="149">
        <f t="shared" si="116"/>
        <v>287140.07798</v>
      </c>
      <c r="AE361" s="149">
        <f t="shared" si="116"/>
        <v>0</v>
      </c>
      <c r="AF361" s="149"/>
      <c r="AG361" s="102">
        <f t="shared" si="114"/>
        <v>-6.9849193096160889E-10</v>
      </c>
    </row>
    <row r="362" spans="1:33" x14ac:dyDescent="0.3">
      <c r="A362" s="150" t="s">
        <v>169</v>
      </c>
      <c r="B362" s="151">
        <f t="shared" ref="B362:E364" si="117">B32+B62+B80+B128+B149+B188+B206+B236+B275+B299+B335</f>
        <v>82997.402340000001</v>
      </c>
      <c r="C362" s="151">
        <f t="shared" si="117"/>
        <v>33259.196750000003</v>
      </c>
      <c r="D362" s="151">
        <f t="shared" si="117"/>
        <v>59874.58</v>
      </c>
      <c r="E362" s="151">
        <f t="shared" si="117"/>
        <v>59874.58</v>
      </c>
      <c r="F362" s="151">
        <f t="shared" si="101"/>
        <v>72.140305975749655</v>
      </c>
      <c r="G362" s="151">
        <f t="shared" si="102"/>
        <v>180.02413122018649</v>
      </c>
      <c r="H362" s="151">
        <f t="shared" ref="H362:AE362" si="118">H32+H62+H80+H128+H149+H188+H206+H236+H275+H299+H335</f>
        <v>5384.18</v>
      </c>
      <c r="I362" s="151">
        <f t="shared" si="118"/>
        <v>5314.2000000000007</v>
      </c>
      <c r="J362" s="151">
        <f t="shared" si="118"/>
        <v>6759.85</v>
      </c>
      <c r="K362" s="151">
        <f t="shared" si="118"/>
        <v>6638</v>
      </c>
      <c r="L362" s="151">
        <f t="shared" si="118"/>
        <v>7108.42</v>
      </c>
      <c r="M362" s="151">
        <f t="shared" si="118"/>
        <v>7092.9</v>
      </c>
      <c r="N362" s="151">
        <f t="shared" si="118"/>
        <v>14006.74675</v>
      </c>
      <c r="O362" s="151">
        <f t="shared" si="118"/>
        <v>13392.81</v>
      </c>
      <c r="P362" s="151">
        <f t="shared" si="118"/>
        <v>13099.743200000001</v>
      </c>
      <c r="Q362" s="151">
        <f t="shared" si="118"/>
        <v>13099.740000000002</v>
      </c>
      <c r="R362" s="151">
        <f t="shared" si="118"/>
        <v>14593.000199999999</v>
      </c>
      <c r="S362" s="151">
        <f t="shared" si="118"/>
        <v>14336.93</v>
      </c>
      <c r="T362" s="151">
        <f t="shared" si="118"/>
        <v>8908.7999999999993</v>
      </c>
      <c r="U362" s="151">
        <f t="shared" si="118"/>
        <v>0</v>
      </c>
      <c r="V362" s="151">
        <f t="shared" si="118"/>
        <v>0</v>
      </c>
      <c r="W362" s="151">
        <f t="shared" si="118"/>
        <v>0</v>
      </c>
      <c r="X362" s="151">
        <f t="shared" si="118"/>
        <v>3334.0848999999998</v>
      </c>
      <c r="Y362" s="151">
        <f t="shared" si="118"/>
        <v>0</v>
      </c>
      <c r="Z362" s="151">
        <f t="shared" si="118"/>
        <v>4295.6216999999997</v>
      </c>
      <c r="AA362" s="151">
        <f t="shared" si="118"/>
        <v>0</v>
      </c>
      <c r="AB362" s="151">
        <f t="shared" si="118"/>
        <v>2846.4506999999999</v>
      </c>
      <c r="AC362" s="151">
        <f t="shared" si="118"/>
        <v>0</v>
      </c>
      <c r="AD362" s="151">
        <f t="shared" si="118"/>
        <v>2660.5048900000002</v>
      </c>
      <c r="AE362" s="151">
        <f t="shared" si="118"/>
        <v>0</v>
      </c>
      <c r="AF362" s="151"/>
      <c r="AG362" s="102">
        <f t="shared" si="114"/>
        <v>0</v>
      </c>
    </row>
    <row r="363" spans="1:33" x14ac:dyDescent="0.3">
      <c r="A363" s="150" t="s">
        <v>32</v>
      </c>
      <c r="B363" s="151">
        <f t="shared" si="117"/>
        <v>2351700.7986799995</v>
      </c>
      <c r="C363" s="151">
        <f t="shared" si="117"/>
        <v>900367.68811999995</v>
      </c>
      <c r="D363" s="151">
        <f t="shared" si="117"/>
        <v>1221250.54</v>
      </c>
      <c r="E363" s="151">
        <f t="shared" si="117"/>
        <v>1221250.54</v>
      </c>
      <c r="F363" s="151">
        <f t="shared" si="101"/>
        <v>51.930523673993022</v>
      </c>
      <c r="G363" s="151">
        <f t="shared" si="102"/>
        <v>135.63909013105692</v>
      </c>
      <c r="H363" s="151">
        <f t="shared" ref="H363:AE363" si="119">H33+H63+H81+H129+H150+H189+H207+H237+H276+H300+H336</f>
        <v>181751.87999999998</v>
      </c>
      <c r="I363" s="151">
        <f t="shared" si="119"/>
        <v>39614.799999999996</v>
      </c>
      <c r="J363" s="151">
        <f t="shared" si="119"/>
        <v>240767.02979000003</v>
      </c>
      <c r="K363" s="151">
        <f t="shared" si="119"/>
        <v>212144</v>
      </c>
      <c r="L363" s="151">
        <f t="shared" si="119"/>
        <v>218622.38578999997</v>
      </c>
      <c r="M363" s="151">
        <f t="shared" si="119"/>
        <v>177406.36000000002</v>
      </c>
      <c r="N363" s="151">
        <f t="shared" si="119"/>
        <v>254776.39253999997</v>
      </c>
      <c r="O363" s="151">
        <f t="shared" si="119"/>
        <v>185166.59999999998</v>
      </c>
      <c r="P363" s="151">
        <f t="shared" si="119"/>
        <v>407567.51817</v>
      </c>
      <c r="Q363" s="151">
        <f t="shared" si="119"/>
        <v>409732.23</v>
      </c>
      <c r="R363" s="151">
        <f t="shared" si="119"/>
        <v>196541.65118000002</v>
      </c>
      <c r="S363" s="151">
        <f t="shared" si="119"/>
        <v>197186.55</v>
      </c>
      <c r="T363" s="151">
        <f t="shared" si="119"/>
        <v>131101.06379000001</v>
      </c>
      <c r="U363" s="151">
        <f t="shared" si="119"/>
        <v>0</v>
      </c>
      <c r="V363" s="151">
        <f t="shared" si="119"/>
        <v>92570.165789999999</v>
      </c>
      <c r="W363" s="151">
        <f t="shared" si="119"/>
        <v>0</v>
      </c>
      <c r="X363" s="151">
        <f t="shared" si="119"/>
        <v>134059.47709</v>
      </c>
      <c r="Y363" s="151">
        <f t="shared" si="119"/>
        <v>0</v>
      </c>
      <c r="Z363" s="151">
        <f t="shared" si="119"/>
        <v>136685.92569</v>
      </c>
      <c r="AA363" s="151">
        <f t="shared" si="119"/>
        <v>0</v>
      </c>
      <c r="AB363" s="151">
        <f t="shared" si="119"/>
        <v>125135.68969</v>
      </c>
      <c r="AC363" s="151">
        <f t="shared" si="119"/>
        <v>0</v>
      </c>
      <c r="AD363" s="151">
        <f t="shared" si="119"/>
        <v>232121.61916</v>
      </c>
      <c r="AE363" s="151">
        <f t="shared" si="119"/>
        <v>0</v>
      </c>
      <c r="AF363" s="151"/>
      <c r="AG363" s="102">
        <f t="shared" si="114"/>
        <v>-4.3655745685100555E-10</v>
      </c>
    </row>
    <row r="364" spans="1:33" x14ac:dyDescent="0.3">
      <c r="A364" s="150" t="s">
        <v>33</v>
      </c>
      <c r="B364" s="151">
        <f t="shared" si="117"/>
        <v>718110.23302999989</v>
      </c>
      <c r="C364" s="151">
        <f t="shared" si="117"/>
        <v>332820.83066000004</v>
      </c>
      <c r="D364" s="151">
        <f t="shared" si="117"/>
        <v>422278.10700000008</v>
      </c>
      <c r="E364" s="151">
        <f t="shared" si="117"/>
        <v>422278.10700000008</v>
      </c>
      <c r="F364" s="151">
        <f t="shared" si="101"/>
        <v>58.804078757969592</v>
      </c>
      <c r="G364" s="151">
        <f t="shared" si="102"/>
        <v>126.87850882488392</v>
      </c>
      <c r="H364" s="151">
        <f t="shared" ref="H364:AE364" si="120">H34+H64+H82+H130+H151+H190+H208+H238+H277+H301+H337</f>
        <v>70693.081909999994</v>
      </c>
      <c r="I364" s="151">
        <f t="shared" si="120"/>
        <v>64785.07</v>
      </c>
      <c r="J364" s="151">
        <f t="shared" si="120"/>
        <v>92420.639619999973</v>
      </c>
      <c r="K364" s="151">
        <f t="shared" si="120"/>
        <v>92021.366999999998</v>
      </c>
      <c r="L364" s="151">
        <f t="shared" si="120"/>
        <v>70833.264259999996</v>
      </c>
      <c r="M364" s="151">
        <f t="shared" si="120"/>
        <v>68573.740000000005</v>
      </c>
      <c r="N364" s="151">
        <f t="shared" si="120"/>
        <v>61841.975160000009</v>
      </c>
      <c r="O364" s="151">
        <f t="shared" si="120"/>
        <v>65272.480000000003</v>
      </c>
      <c r="P364" s="151">
        <f t="shared" si="120"/>
        <v>66689.144239999994</v>
      </c>
      <c r="Q364" s="151">
        <f t="shared" si="120"/>
        <v>64465.299999999996</v>
      </c>
      <c r="R364" s="151">
        <f t="shared" si="120"/>
        <v>73527.482470000003</v>
      </c>
      <c r="S364" s="151">
        <f t="shared" si="120"/>
        <v>67160.149999999994</v>
      </c>
      <c r="T364" s="151">
        <f t="shared" si="120"/>
        <v>83970.896009999997</v>
      </c>
      <c r="U364" s="151">
        <f t="shared" si="120"/>
        <v>0</v>
      </c>
      <c r="V364" s="151">
        <f t="shared" si="120"/>
        <v>33743.983509999991</v>
      </c>
      <c r="W364" s="151">
        <f t="shared" si="120"/>
        <v>0</v>
      </c>
      <c r="X364" s="151">
        <f t="shared" si="120"/>
        <v>35668.003520000006</v>
      </c>
      <c r="Y364" s="151">
        <f t="shared" si="120"/>
        <v>0</v>
      </c>
      <c r="Z364" s="151">
        <f t="shared" si="120"/>
        <v>43149.600890000002</v>
      </c>
      <c r="AA364" s="151">
        <f t="shared" si="120"/>
        <v>0</v>
      </c>
      <c r="AB364" s="151">
        <f t="shared" si="120"/>
        <v>35691.70751</v>
      </c>
      <c r="AC364" s="151">
        <f t="shared" si="120"/>
        <v>0</v>
      </c>
      <c r="AD364" s="151">
        <f t="shared" si="120"/>
        <v>49880.453929999996</v>
      </c>
      <c r="AE364" s="151">
        <f t="shared" si="120"/>
        <v>0</v>
      </c>
      <c r="AF364" s="151"/>
      <c r="AG364" s="102">
        <f t="shared" si="114"/>
        <v>5.8207660913467407E-11</v>
      </c>
    </row>
    <row r="365" spans="1:33" x14ac:dyDescent="0.3">
      <c r="A365" s="152" t="s">
        <v>170</v>
      </c>
      <c r="B365" s="151">
        <f>B35+B65+B83+B131+B152+B191+B209+B239+B278+B302+B338</f>
        <v>18399.830000000002</v>
      </c>
      <c r="C365" s="151">
        <f>C138+C101+C41</f>
        <v>15922.33</v>
      </c>
      <c r="D365" s="151">
        <f>D35+D65+D83+D131+D152+D191+D209+D239+D278+D302+D338</f>
        <v>15740.83</v>
      </c>
      <c r="E365" s="151">
        <f>E35+E65+E83+E131+E152+E191+E209+E239+E278+E302+E338</f>
        <v>15740.83</v>
      </c>
      <c r="F365" s="151">
        <f t="shared" si="101"/>
        <v>85.548779526767362</v>
      </c>
      <c r="G365" s="151">
        <f t="shared" si="102"/>
        <v>98.860091456463977</v>
      </c>
      <c r="H365" s="151">
        <f t="shared" ref="H365:AE365" si="121">H35+H65+H83+H131+H152+H191+H209+H239+H278+H302+H338</f>
        <v>0</v>
      </c>
      <c r="I365" s="151">
        <f t="shared" si="121"/>
        <v>0</v>
      </c>
      <c r="J365" s="151">
        <f t="shared" si="121"/>
        <v>0</v>
      </c>
      <c r="K365" s="151">
        <f t="shared" si="121"/>
        <v>0</v>
      </c>
      <c r="L365" s="151">
        <f t="shared" si="121"/>
        <v>3230</v>
      </c>
      <c r="M365" s="151">
        <f t="shared" si="121"/>
        <v>3230</v>
      </c>
      <c r="N365" s="151">
        <f t="shared" si="121"/>
        <v>4292.5</v>
      </c>
      <c r="O365" s="151">
        <f t="shared" si="121"/>
        <v>4111</v>
      </c>
      <c r="P365" s="151">
        <f t="shared" si="121"/>
        <v>5700</v>
      </c>
      <c r="Q365" s="151">
        <f t="shared" si="121"/>
        <v>5700</v>
      </c>
      <c r="R365" s="151">
        <f t="shared" si="121"/>
        <v>2699.83</v>
      </c>
      <c r="S365" s="151">
        <f t="shared" si="121"/>
        <v>2699.83</v>
      </c>
      <c r="T365" s="151">
        <f t="shared" si="121"/>
        <v>0</v>
      </c>
      <c r="U365" s="151">
        <f t="shared" si="121"/>
        <v>0</v>
      </c>
      <c r="V365" s="151">
        <f t="shared" si="121"/>
        <v>0</v>
      </c>
      <c r="W365" s="151">
        <f t="shared" si="121"/>
        <v>0</v>
      </c>
      <c r="X365" s="151">
        <f t="shared" si="121"/>
        <v>0</v>
      </c>
      <c r="Y365" s="151">
        <f t="shared" si="121"/>
        <v>0</v>
      </c>
      <c r="Z365" s="151">
        <f t="shared" si="121"/>
        <v>0</v>
      </c>
      <c r="AA365" s="151">
        <f t="shared" si="121"/>
        <v>0</v>
      </c>
      <c r="AB365" s="151">
        <f t="shared" si="121"/>
        <v>0</v>
      </c>
      <c r="AC365" s="151">
        <f t="shared" si="121"/>
        <v>0</v>
      </c>
      <c r="AD365" s="151">
        <f t="shared" si="121"/>
        <v>2477.5</v>
      </c>
      <c r="AE365" s="151">
        <f t="shared" si="121"/>
        <v>0</v>
      </c>
      <c r="AF365" s="151"/>
      <c r="AG365" s="102">
        <f t="shared" si="114"/>
        <v>0</v>
      </c>
    </row>
    <row r="366" spans="1:33" x14ac:dyDescent="0.3">
      <c r="B366" s="155">
        <f t="shared" ref="B366:E370" si="122">B351-B356-B361</f>
        <v>0</v>
      </c>
      <c r="C366" s="155">
        <f t="shared" si="122"/>
        <v>0</v>
      </c>
      <c r="D366" s="155">
        <f t="shared" si="122"/>
        <v>0</v>
      </c>
      <c r="E366" s="155">
        <f t="shared" si="122"/>
        <v>0</v>
      </c>
      <c r="F366" s="155"/>
      <c r="G366" s="155"/>
      <c r="H366" s="155">
        <f t="shared" ref="H366:AE370" si="123">H351-H356-H361</f>
        <v>0</v>
      </c>
      <c r="I366" s="155">
        <f t="shared" si="123"/>
        <v>0</v>
      </c>
      <c r="J366" s="155">
        <f t="shared" si="123"/>
        <v>0</v>
      </c>
      <c r="K366" s="155">
        <f t="shared" si="123"/>
        <v>0</v>
      </c>
      <c r="L366" s="155">
        <f t="shared" si="123"/>
        <v>0</v>
      </c>
      <c r="M366" s="155">
        <f t="shared" si="123"/>
        <v>0</v>
      </c>
      <c r="N366" s="155">
        <f t="shared" si="123"/>
        <v>0</v>
      </c>
      <c r="O366" s="155">
        <f t="shared" si="123"/>
        <v>0</v>
      </c>
      <c r="P366" s="155">
        <f t="shared" si="123"/>
        <v>0</v>
      </c>
      <c r="Q366" s="155">
        <f t="shared" si="123"/>
        <v>0</v>
      </c>
      <c r="R366" s="155">
        <f t="shared" si="123"/>
        <v>0</v>
      </c>
      <c r="S366" s="155">
        <f t="shared" si="123"/>
        <v>0</v>
      </c>
      <c r="T366" s="155">
        <f t="shared" si="123"/>
        <v>0</v>
      </c>
      <c r="U366" s="155">
        <f t="shared" si="123"/>
        <v>0</v>
      </c>
      <c r="V366" s="155">
        <f t="shared" si="123"/>
        <v>0</v>
      </c>
      <c r="W366" s="155">
        <f t="shared" si="123"/>
        <v>0</v>
      </c>
      <c r="X366" s="155">
        <f t="shared" si="123"/>
        <v>0</v>
      </c>
      <c r="Y366" s="155">
        <f t="shared" si="123"/>
        <v>0</v>
      </c>
      <c r="Z366" s="155">
        <f t="shared" si="123"/>
        <v>0</v>
      </c>
      <c r="AA366" s="155">
        <f t="shared" si="123"/>
        <v>0</v>
      </c>
      <c r="AB366" s="155">
        <f t="shared" si="123"/>
        <v>0</v>
      </c>
      <c r="AC366" s="155">
        <f t="shared" si="123"/>
        <v>0</v>
      </c>
      <c r="AD366" s="155">
        <f t="shared" si="123"/>
        <v>0</v>
      </c>
      <c r="AE366" s="155">
        <f t="shared" si="123"/>
        <v>0</v>
      </c>
      <c r="AG366" s="102">
        <f t="shared" si="114"/>
        <v>0</v>
      </c>
    </row>
    <row r="367" spans="1:33" x14ac:dyDescent="0.3">
      <c r="A367" s="156" t="s">
        <v>169</v>
      </c>
      <c r="B367" s="155">
        <f t="shared" si="122"/>
        <v>0</v>
      </c>
      <c r="C367" s="155">
        <f>C352-C357-C362</f>
        <v>0</v>
      </c>
      <c r="D367" s="155">
        <f t="shared" si="122"/>
        <v>0</v>
      </c>
      <c r="E367" s="155">
        <f t="shared" si="122"/>
        <v>0</v>
      </c>
      <c r="F367" s="155"/>
      <c r="G367" s="155"/>
      <c r="H367" s="155">
        <f t="shared" si="123"/>
        <v>0</v>
      </c>
      <c r="I367" s="155">
        <f t="shared" si="123"/>
        <v>0</v>
      </c>
      <c r="J367" s="155">
        <f t="shared" si="123"/>
        <v>0</v>
      </c>
      <c r="K367" s="155">
        <f t="shared" si="123"/>
        <v>0</v>
      </c>
      <c r="L367" s="155">
        <f t="shared" si="123"/>
        <v>0</v>
      </c>
      <c r="M367" s="155">
        <f t="shared" si="123"/>
        <v>0</v>
      </c>
      <c r="N367" s="155">
        <f t="shared" si="123"/>
        <v>0</v>
      </c>
      <c r="O367" s="155">
        <f t="shared" si="123"/>
        <v>0</v>
      </c>
      <c r="P367" s="155">
        <f t="shared" si="123"/>
        <v>0</v>
      </c>
      <c r="Q367" s="155">
        <f t="shared" si="123"/>
        <v>0</v>
      </c>
      <c r="R367" s="155">
        <f t="shared" si="123"/>
        <v>0</v>
      </c>
      <c r="S367" s="155">
        <f t="shared" si="123"/>
        <v>0</v>
      </c>
      <c r="T367" s="155">
        <f t="shared" si="123"/>
        <v>0</v>
      </c>
      <c r="U367" s="155">
        <f t="shared" si="123"/>
        <v>0</v>
      </c>
      <c r="V367" s="155">
        <f t="shared" si="123"/>
        <v>0</v>
      </c>
      <c r="W367" s="155">
        <f t="shared" si="123"/>
        <v>0</v>
      </c>
      <c r="X367" s="155">
        <f t="shared" si="123"/>
        <v>0</v>
      </c>
      <c r="Y367" s="155">
        <f t="shared" si="123"/>
        <v>0</v>
      </c>
      <c r="Z367" s="155">
        <f t="shared" si="123"/>
        <v>0</v>
      </c>
      <c r="AA367" s="155">
        <f t="shared" si="123"/>
        <v>0</v>
      </c>
      <c r="AB367" s="155">
        <f t="shared" si="123"/>
        <v>-1.3187673175707459E-11</v>
      </c>
      <c r="AC367" s="155">
        <f t="shared" si="123"/>
        <v>0</v>
      </c>
      <c r="AD367" s="155">
        <f t="shared" si="123"/>
        <v>0</v>
      </c>
      <c r="AE367" s="155">
        <f t="shared" si="123"/>
        <v>0</v>
      </c>
      <c r="AG367" s="102">
        <f t="shared" si="114"/>
        <v>1.3187673175707459E-11</v>
      </c>
    </row>
    <row r="368" spans="1:33" x14ac:dyDescent="0.3">
      <c r="A368" s="156" t="s">
        <v>32</v>
      </c>
      <c r="B368" s="155">
        <f t="shared" si="122"/>
        <v>0</v>
      </c>
      <c r="C368" s="155">
        <f t="shared" si="122"/>
        <v>0</v>
      </c>
      <c r="D368" s="155">
        <f t="shared" si="122"/>
        <v>0</v>
      </c>
      <c r="E368" s="155">
        <f t="shared" si="122"/>
        <v>0</v>
      </c>
      <c r="F368" s="155"/>
      <c r="G368" s="155"/>
      <c r="H368" s="155">
        <f t="shared" si="123"/>
        <v>0</v>
      </c>
      <c r="I368" s="155">
        <f t="shared" si="123"/>
        <v>0</v>
      </c>
      <c r="J368" s="155">
        <f t="shared" si="123"/>
        <v>0</v>
      </c>
      <c r="K368" s="155">
        <f t="shared" si="123"/>
        <v>0</v>
      </c>
      <c r="L368" s="155">
        <f t="shared" si="123"/>
        <v>0</v>
      </c>
      <c r="M368" s="155">
        <f t="shared" si="123"/>
        <v>0</v>
      </c>
      <c r="N368" s="155">
        <f t="shared" si="123"/>
        <v>0</v>
      </c>
      <c r="O368" s="155">
        <f t="shared" si="123"/>
        <v>0</v>
      </c>
      <c r="P368" s="155">
        <f t="shared" si="123"/>
        <v>0</v>
      </c>
      <c r="Q368" s="155">
        <f t="shared" si="123"/>
        <v>0</v>
      </c>
      <c r="R368" s="155">
        <f t="shared" si="123"/>
        <v>0</v>
      </c>
      <c r="S368" s="155">
        <f t="shared" si="123"/>
        <v>0</v>
      </c>
      <c r="T368" s="155">
        <f t="shared" si="123"/>
        <v>0</v>
      </c>
      <c r="U368" s="155">
        <f t="shared" si="123"/>
        <v>0</v>
      </c>
      <c r="V368" s="155">
        <f t="shared" si="123"/>
        <v>0</v>
      </c>
      <c r="W368" s="155">
        <f t="shared" si="123"/>
        <v>0</v>
      </c>
      <c r="X368" s="155">
        <f t="shared" si="123"/>
        <v>0</v>
      </c>
      <c r="Y368" s="155">
        <f t="shared" si="123"/>
        <v>0</v>
      </c>
      <c r="Z368" s="155">
        <f t="shared" si="123"/>
        <v>0</v>
      </c>
      <c r="AA368" s="155">
        <f t="shared" si="123"/>
        <v>0</v>
      </c>
      <c r="AB368" s="155">
        <f t="shared" si="123"/>
        <v>0</v>
      </c>
      <c r="AC368" s="155">
        <f t="shared" si="123"/>
        <v>0</v>
      </c>
      <c r="AD368" s="155">
        <f t="shared" si="123"/>
        <v>0</v>
      </c>
      <c r="AE368" s="155">
        <f t="shared" si="123"/>
        <v>0</v>
      </c>
      <c r="AG368" s="102">
        <f t="shared" si="114"/>
        <v>0</v>
      </c>
    </row>
    <row r="369" spans="1:33" x14ac:dyDescent="0.3">
      <c r="A369" s="156" t="s">
        <v>33</v>
      </c>
      <c r="B369" s="155">
        <f t="shared" si="122"/>
        <v>0</v>
      </c>
      <c r="C369" s="155">
        <f>C354-C359-C364</f>
        <v>0</v>
      </c>
      <c r="D369" s="155">
        <f t="shared" si="122"/>
        <v>0</v>
      </c>
      <c r="E369" s="155">
        <f t="shared" si="122"/>
        <v>0</v>
      </c>
      <c r="F369" s="155"/>
      <c r="G369" s="155"/>
      <c r="H369" s="155">
        <f t="shared" si="123"/>
        <v>0</v>
      </c>
      <c r="I369" s="155">
        <f t="shared" si="123"/>
        <v>0</v>
      </c>
      <c r="J369" s="155">
        <f t="shared" si="123"/>
        <v>0</v>
      </c>
      <c r="K369" s="155">
        <f t="shared" si="123"/>
        <v>0</v>
      </c>
      <c r="L369" s="155">
        <f t="shared" si="123"/>
        <v>0</v>
      </c>
      <c r="M369" s="155">
        <f t="shared" si="123"/>
        <v>0</v>
      </c>
      <c r="N369" s="155">
        <f t="shared" si="123"/>
        <v>0</v>
      </c>
      <c r="O369" s="155">
        <f t="shared" si="123"/>
        <v>0</v>
      </c>
      <c r="P369" s="155">
        <f t="shared" si="123"/>
        <v>0</v>
      </c>
      <c r="Q369" s="155">
        <f t="shared" si="123"/>
        <v>0</v>
      </c>
      <c r="R369" s="155">
        <f t="shared" si="123"/>
        <v>0</v>
      </c>
      <c r="S369" s="155">
        <f t="shared" si="123"/>
        <v>0</v>
      </c>
      <c r="T369" s="155">
        <f t="shared" si="123"/>
        <v>0</v>
      </c>
      <c r="U369" s="155">
        <f t="shared" si="123"/>
        <v>0</v>
      </c>
      <c r="V369" s="155">
        <f t="shared" si="123"/>
        <v>0</v>
      </c>
      <c r="W369" s="155">
        <f t="shared" si="123"/>
        <v>0</v>
      </c>
      <c r="X369" s="155">
        <f t="shared" si="123"/>
        <v>0</v>
      </c>
      <c r="Y369" s="155">
        <f t="shared" si="123"/>
        <v>0</v>
      </c>
      <c r="Z369" s="155">
        <f t="shared" si="123"/>
        <v>0</v>
      </c>
      <c r="AA369" s="155">
        <f t="shared" si="123"/>
        <v>0</v>
      </c>
      <c r="AB369" s="155">
        <f t="shared" si="123"/>
        <v>0</v>
      </c>
      <c r="AC369" s="155">
        <f t="shared" si="123"/>
        <v>0</v>
      </c>
      <c r="AD369" s="155">
        <f t="shared" si="123"/>
        <v>0</v>
      </c>
      <c r="AE369" s="155">
        <f t="shared" si="123"/>
        <v>0</v>
      </c>
      <c r="AG369" s="102">
        <f t="shared" si="114"/>
        <v>0</v>
      </c>
    </row>
    <row r="370" spans="1:33" x14ac:dyDescent="0.3">
      <c r="A370" s="156" t="s">
        <v>170</v>
      </c>
      <c r="B370" s="155">
        <f t="shared" si="122"/>
        <v>0</v>
      </c>
      <c r="C370" s="155">
        <f>C355-C360-C365</f>
        <v>0</v>
      </c>
      <c r="D370" s="155">
        <f t="shared" si="122"/>
        <v>0</v>
      </c>
      <c r="E370" s="155">
        <f t="shared" si="122"/>
        <v>0</v>
      </c>
      <c r="F370" s="155"/>
      <c r="G370" s="155"/>
      <c r="H370" s="155">
        <f t="shared" si="123"/>
        <v>0</v>
      </c>
      <c r="I370" s="155">
        <f t="shared" si="123"/>
        <v>0</v>
      </c>
      <c r="J370" s="155">
        <f t="shared" si="123"/>
        <v>0</v>
      </c>
      <c r="K370" s="155">
        <f t="shared" si="123"/>
        <v>0</v>
      </c>
      <c r="L370" s="155">
        <f t="shared" si="123"/>
        <v>0</v>
      </c>
      <c r="M370" s="155">
        <f t="shared" si="123"/>
        <v>0</v>
      </c>
      <c r="N370" s="155">
        <f t="shared" si="123"/>
        <v>0</v>
      </c>
      <c r="O370" s="155">
        <f t="shared" si="123"/>
        <v>0</v>
      </c>
      <c r="P370" s="155">
        <f t="shared" si="123"/>
        <v>0</v>
      </c>
      <c r="Q370" s="155">
        <f t="shared" si="123"/>
        <v>0</v>
      </c>
      <c r="R370" s="155">
        <f t="shared" si="123"/>
        <v>0</v>
      </c>
      <c r="S370" s="155">
        <f t="shared" si="123"/>
        <v>0</v>
      </c>
      <c r="T370" s="155">
        <f t="shared" si="123"/>
        <v>0</v>
      </c>
      <c r="U370" s="155">
        <f t="shared" si="123"/>
        <v>0</v>
      </c>
      <c r="V370" s="155">
        <f t="shared" si="123"/>
        <v>0</v>
      </c>
      <c r="W370" s="155">
        <f t="shared" si="123"/>
        <v>0</v>
      </c>
      <c r="X370" s="155">
        <f t="shared" si="123"/>
        <v>0</v>
      </c>
      <c r="Y370" s="155">
        <f t="shared" si="123"/>
        <v>0</v>
      </c>
      <c r="Z370" s="155">
        <f t="shared" si="123"/>
        <v>0</v>
      </c>
      <c r="AA370" s="155">
        <f t="shared" si="123"/>
        <v>0</v>
      </c>
      <c r="AB370" s="155">
        <f t="shared" si="123"/>
        <v>0</v>
      </c>
      <c r="AC370" s="155">
        <f t="shared" si="123"/>
        <v>0</v>
      </c>
      <c r="AD370" s="155">
        <f t="shared" si="123"/>
        <v>0</v>
      </c>
      <c r="AE370" s="155">
        <f t="shared" si="123"/>
        <v>0</v>
      </c>
      <c r="AG370" s="102">
        <f t="shared" si="114"/>
        <v>0</v>
      </c>
    </row>
    <row r="372" spans="1:33" x14ac:dyDescent="0.3">
      <c r="B372" s="155">
        <f t="shared" ref="B372:AE372" si="124">B19+B25+B38+B44+B50+B68+B74+B92+B98+B104+B110+B116+B122+B134+B141+B155+B169+B181+B194+B200+B212+B218+B224+B230+B242+B248+B262+B268+B281+B287+B293+B305+B317+B323+B329+B341+B347-B352</f>
        <v>0</v>
      </c>
      <c r="C372" s="155">
        <f>C19+C25+C38+C44+C50+C68+C74+C92+C98+C104+C110+C116+C122+C134+C141+C155+C169+C181+C194+C200+C212+C218+C224+C230+C242+C248+C262+C268+C281+C287+C293+C305+C317+C323+C329+C341+C347-C352</f>
        <v>27692.743399999999</v>
      </c>
      <c r="D372" s="155">
        <f t="shared" si="124"/>
        <v>0</v>
      </c>
      <c r="E372" s="155">
        <f t="shared" si="124"/>
        <v>0</v>
      </c>
      <c r="F372" s="155">
        <f t="shared" si="124"/>
        <v>171.12070306711277</v>
      </c>
      <c r="G372" s="155">
        <f t="shared" si="124"/>
        <v>109.70101159625244</v>
      </c>
      <c r="H372" s="155">
        <f t="shared" si="124"/>
        <v>0</v>
      </c>
      <c r="I372" s="155">
        <f t="shared" si="124"/>
        <v>0</v>
      </c>
      <c r="J372" s="155">
        <f t="shared" si="124"/>
        <v>0</v>
      </c>
      <c r="K372" s="155">
        <f t="shared" si="124"/>
        <v>0</v>
      </c>
      <c r="L372" s="155">
        <f t="shared" si="124"/>
        <v>0</v>
      </c>
      <c r="M372" s="155">
        <f t="shared" si="124"/>
        <v>0</v>
      </c>
      <c r="N372" s="155">
        <f t="shared" si="124"/>
        <v>0</v>
      </c>
      <c r="O372" s="155">
        <f t="shared" si="124"/>
        <v>0</v>
      </c>
      <c r="P372" s="155">
        <f t="shared" si="124"/>
        <v>0</v>
      </c>
      <c r="Q372" s="155">
        <f t="shared" si="124"/>
        <v>0</v>
      </c>
      <c r="R372" s="155">
        <f t="shared" si="124"/>
        <v>0</v>
      </c>
      <c r="S372" s="155">
        <f t="shared" si="124"/>
        <v>0</v>
      </c>
      <c r="T372" s="155">
        <f t="shared" si="124"/>
        <v>0</v>
      </c>
      <c r="U372" s="155">
        <f t="shared" si="124"/>
        <v>0</v>
      </c>
      <c r="V372" s="155">
        <f t="shared" si="124"/>
        <v>0</v>
      </c>
      <c r="W372" s="155">
        <f t="shared" si="124"/>
        <v>0</v>
      </c>
      <c r="X372" s="155">
        <f t="shared" si="124"/>
        <v>0</v>
      </c>
      <c r="Y372" s="155">
        <f t="shared" si="124"/>
        <v>0</v>
      </c>
      <c r="Z372" s="155">
        <f t="shared" si="124"/>
        <v>0</v>
      </c>
      <c r="AA372" s="155">
        <f t="shared" si="124"/>
        <v>0</v>
      </c>
      <c r="AB372" s="155">
        <f t="shared" si="124"/>
        <v>0</v>
      </c>
      <c r="AC372" s="155">
        <f t="shared" si="124"/>
        <v>0</v>
      </c>
      <c r="AD372" s="155">
        <f t="shared" si="124"/>
        <v>0</v>
      </c>
      <c r="AE372" s="155">
        <f t="shared" si="124"/>
        <v>0</v>
      </c>
    </row>
    <row r="373" spans="1:33" x14ac:dyDescent="0.3">
      <c r="B373" s="155">
        <f t="shared" ref="B373:AE373" si="125">B20+B26+B39+B45+B51+B69+B75+B93+B99+B105+B111+B117+B123+B135+B142+B156+B170+B182+B195+B201+B213+B219+B225+B231+B243+B249+B263+B269+B282+B288+B294+B306+B318+B324+B330+B342+B348-B353</f>
        <v>0</v>
      </c>
      <c r="C373" s="155">
        <f t="shared" si="125"/>
        <v>599659.16934999998</v>
      </c>
      <c r="D373" s="155">
        <f t="shared" si="125"/>
        <v>0</v>
      </c>
      <c r="E373" s="155">
        <f t="shared" si="125"/>
        <v>0</v>
      </c>
      <c r="F373" s="155">
        <f t="shared" si="125"/>
        <v>391.98479036645659</v>
      </c>
      <c r="G373" s="155">
        <f t="shared" si="125"/>
        <v>610.40377243275771</v>
      </c>
      <c r="H373" s="155">
        <f t="shared" si="125"/>
        <v>0</v>
      </c>
      <c r="I373" s="155">
        <f t="shared" si="125"/>
        <v>0</v>
      </c>
      <c r="J373" s="155">
        <f t="shared" si="125"/>
        <v>0</v>
      </c>
      <c r="K373" s="155">
        <f t="shared" si="125"/>
        <v>0</v>
      </c>
      <c r="L373" s="155">
        <f t="shared" si="125"/>
        <v>0</v>
      </c>
      <c r="M373" s="155">
        <f t="shared" si="125"/>
        <v>0</v>
      </c>
      <c r="N373" s="155">
        <f t="shared" si="125"/>
        <v>0</v>
      </c>
      <c r="O373" s="155">
        <f t="shared" si="125"/>
        <v>0</v>
      </c>
      <c r="P373" s="155">
        <f t="shared" si="125"/>
        <v>0</v>
      </c>
      <c r="Q373" s="155">
        <f t="shared" si="125"/>
        <v>0</v>
      </c>
      <c r="R373" s="155">
        <f t="shared" si="125"/>
        <v>0</v>
      </c>
      <c r="S373" s="155">
        <f t="shared" si="125"/>
        <v>0</v>
      </c>
      <c r="T373" s="155">
        <f t="shared" si="125"/>
        <v>0</v>
      </c>
      <c r="U373" s="155">
        <f t="shared" si="125"/>
        <v>0</v>
      </c>
      <c r="V373" s="155">
        <f t="shared" si="125"/>
        <v>0</v>
      </c>
      <c r="W373" s="155">
        <f t="shared" si="125"/>
        <v>0</v>
      </c>
      <c r="X373" s="155">
        <f t="shared" si="125"/>
        <v>0</v>
      </c>
      <c r="Y373" s="155">
        <f t="shared" si="125"/>
        <v>0</v>
      </c>
      <c r="Z373" s="155">
        <f t="shared" si="125"/>
        <v>0</v>
      </c>
      <c r="AA373" s="155">
        <f t="shared" si="125"/>
        <v>0</v>
      </c>
      <c r="AB373" s="155">
        <f t="shared" si="125"/>
        <v>0</v>
      </c>
      <c r="AC373" s="155">
        <f t="shared" si="125"/>
        <v>0</v>
      </c>
      <c r="AD373" s="155">
        <f t="shared" si="125"/>
        <v>0</v>
      </c>
      <c r="AE373" s="155">
        <f t="shared" si="125"/>
        <v>0</v>
      </c>
    </row>
    <row r="374" spans="1:33" x14ac:dyDescent="0.3">
      <c r="B374" s="155">
        <f>B21+B27+B40+B46+B52+B70+B76+B94+B100+B106+B112+B118+B124+B136+B143+B157+B171+B183+B196+B202+B214+B220+B226+B232+B244+B250+B264+B270+B283+B289+B295+B307+B319+B325+B331+B343+B349+B55-B354</f>
        <v>0</v>
      </c>
      <c r="C374" s="155">
        <f>C21+C27+C40+C46+C52+C70+C76+C94+C100+C106+C112+C118+C124+C136+C143+C157+C171+C183+C196+C202+C214+C220+C226+C232+C244+C250+C264+C270+C283+C289+C295+C307+C319+C325+C331+C343+C349-C354</f>
        <v>103184.75699999993</v>
      </c>
      <c r="D374" s="155">
        <f t="shared" ref="D374:S374" si="126">D21+D27+D40+D46+D52+D70+D76+D94+D100+D106+D112+D118+D124+D136+D143+D157+D171+D183+D196+D202+D214+D220+D226+D232+D244+D250+D264+D270+D283+D289+D295+D307+D319+D325+D331+D343+D349-D354</f>
        <v>0</v>
      </c>
      <c r="E374" s="155">
        <f t="shared" si="126"/>
        <v>0</v>
      </c>
      <c r="F374" s="155">
        <f t="shared" si="126"/>
        <v>1426.6695318313584</v>
      </c>
      <c r="G374" s="155">
        <f t="shared" si="126"/>
        <v>1992.1489598414191</v>
      </c>
      <c r="H374" s="155">
        <f t="shared" si="126"/>
        <v>0</v>
      </c>
      <c r="I374" s="155">
        <f t="shared" si="126"/>
        <v>0</v>
      </c>
      <c r="J374" s="155">
        <f t="shared" si="126"/>
        <v>0</v>
      </c>
      <c r="K374" s="155">
        <f t="shared" si="126"/>
        <v>0</v>
      </c>
      <c r="L374" s="155">
        <f t="shared" si="126"/>
        <v>0</v>
      </c>
      <c r="M374" s="155">
        <f t="shared" si="126"/>
        <v>0</v>
      </c>
      <c r="N374" s="155">
        <f t="shared" si="126"/>
        <v>0</v>
      </c>
      <c r="O374" s="155">
        <f t="shared" si="126"/>
        <v>0</v>
      </c>
      <c r="P374" s="155">
        <f t="shared" si="126"/>
        <v>0</v>
      </c>
      <c r="Q374" s="155">
        <f t="shared" si="126"/>
        <v>0</v>
      </c>
      <c r="R374" s="155">
        <f t="shared" si="126"/>
        <v>0</v>
      </c>
      <c r="S374" s="155">
        <f t="shared" si="126"/>
        <v>0</v>
      </c>
      <c r="T374" s="155">
        <f>T21+T27+T40+T46+T52+T70+T76+T94+T100+T106+T112+T118+T124+T136+T143+T157+T171+T183+T196+T202+T214+T220+T226+T232+T244+T250+T264+T270+T283+T289+T295+T307+T319+T325+T331+T343+T349+T58-T354</f>
        <v>0</v>
      </c>
      <c r="U374" s="155">
        <f t="shared" ref="U374:AE374" si="127">U21+U27+U40+U46+U52+U70+U76+U94+U100+U106+U112+U118+U124+U136+U143+U157+U171+U183+U196+U202+U214+U220+U226+U232+U244+U250+U264+U270+U283+U289+U295+U307+U319+U325+U331+U343+U349-U354</f>
        <v>0</v>
      </c>
      <c r="V374" s="155">
        <f t="shared" si="127"/>
        <v>0</v>
      </c>
      <c r="W374" s="155">
        <f t="shared" si="127"/>
        <v>0</v>
      </c>
      <c r="X374" s="155">
        <f t="shared" si="127"/>
        <v>0</v>
      </c>
      <c r="Y374" s="155">
        <f t="shared" si="127"/>
        <v>0</v>
      </c>
      <c r="Z374" s="155">
        <f t="shared" si="127"/>
        <v>0</v>
      </c>
      <c r="AA374" s="155">
        <f t="shared" si="127"/>
        <v>0</v>
      </c>
      <c r="AB374" s="155">
        <f t="shared" si="127"/>
        <v>0</v>
      </c>
      <c r="AC374" s="155">
        <f t="shared" si="127"/>
        <v>0</v>
      </c>
      <c r="AD374" s="155">
        <f t="shared" si="127"/>
        <v>0</v>
      </c>
      <c r="AE374" s="155">
        <f t="shared" si="127"/>
        <v>0</v>
      </c>
    </row>
    <row r="375" spans="1:33" x14ac:dyDescent="0.3">
      <c r="B375" s="155">
        <f>B22+B28+B41+B47+B53+B71+B77+B95+B101+B107+B113+B119+B125+B138+B144+B158+B172+B184+B197+B203+B215+B221+B227+B233+B245+B251+B265+B271+B284+B290+B296+B308+B320+B326+B332+B344+B350-B355</f>
        <v>0</v>
      </c>
      <c r="C375" s="155">
        <f>C22+C28+C41+C47+C53+C71+C77+C95+C101+C107+C113+C119+C125+C138+C144+C158+C172+C184+C197+C203+C215+C221+C227+C233+C245+C251+C265+C271+C284+C290+C296+C308+C320+C326+C332+C344+C350-C355</f>
        <v>0</v>
      </c>
      <c r="D375" s="155">
        <f>D22+D28+D41+D47+D53+D71+D77+D95+D101+D107+D113+D119+D125+D138+D144+D158+D172+D184+D197+D203+D215+D221+D227+D233+D245+D251+D265+D271+D284+D290+D296+D308+D320+D326+D332+D344+D350-D355</f>
        <v>0</v>
      </c>
      <c r="E375" s="155">
        <f>E22+E28+E41+E47+E53+E71+E77+E95+E101+E107+E113+E119+E125+E138+E144+E158+E172+E184+E197+E203+E215+E221+E227+E233+E245+E251+E265+E271+E284+E290+E296+E308+E320+E326+E332+E344+E350-E355</f>
        <v>0</v>
      </c>
      <c r="F375" s="155">
        <f>F22+F28+F41+F47+F53+F71+F77+F95+F101+F107+F113+F119+F125+F138+F144+F158+F172+F184+F197+F203+F215+F221+F227+F233+F245+F251+F265+F271+F284+F290+F296+F308+F320+F326+F332+F344+F350-F355</f>
        <v>268.78291391960164</v>
      </c>
      <c r="G375" s="155">
        <f>G22+G28+G41+G47+G53+G71+G77+G95+G101+G107+G113+G119+G125+G138+G144+G158+G172+G184+G197+G203+G215+G221+G227+G233+G245+G251+G265+G271+G284+G290+G296+G308+G320+G326+G332+G344+G350+G89-G355</f>
        <v>296.31438511382515</v>
      </c>
      <c r="H375" s="155">
        <f t="shared" ref="H375:AE375" si="128">H22+H28+H41+H47+H53+H71+H77+H95+H101+H107+H113+H119+H125+H138+H144+H158+H172+H184+H197+H203+H215+H221+H227+H233+H245+H251+H265+H271+H284+H290+H296+H308+H320+H326+H332+H344+H350-H355</f>
        <v>0</v>
      </c>
      <c r="I375" s="155">
        <f t="shared" si="128"/>
        <v>0</v>
      </c>
      <c r="J375" s="155">
        <f t="shared" si="128"/>
        <v>0</v>
      </c>
      <c r="K375" s="155">
        <f t="shared" si="128"/>
        <v>0</v>
      </c>
      <c r="L375" s="155">
        <f t="shared" si="128"/>
        <v>0</v>
      </c>
      <c r="M375" s="155">
        <f t="shared" si="128"/>
        <v>0</v>
      </c>
      <c r="N375" s="155">
        <f t="shared" si="128"/>
        <v>0</v>
      </c>
      <c r="O375" s="155">
        <f t="shared" si="128"/>
        <v>0</v>
      </c>
      <c r="P375" s="155">
        <f t="shared" si="128"/>
        <v>0</v>
      </c>
      <c r="Q375" s="155">
        <f t="shared" si="128"/>
        <v>0</v>
      </c>
      <c r="R375" s="155">
        <f t="shared" si="128"/>
        <v>0</v>
      </c>
      <c r="S375" s="155">
        <f t="shared" si="128"/>
        <v>0</v>
      </c>
      <c r="T375" s="155">
        <f t="shared" si="128"/>
        <v>0</v>
      </c>
      <c r="U375" s="155">
        <f t="shared" si="128"/>
        <v>0</v>
      </c>
      <c r="V375" s="155">
        <f t="shared" si="128"/>
        <v>0</v>
      </c>
      <c r="W375" s="155">
        <f t="shared" si="128"/>
        <v>0</v>
      </c>
      <c r="X375" s="155">
        <f t="shared" si="128"/>
        <v>0</v>
      </c>
      <c r="Y375" s="155">
        <f t="shared" si="128"/>
        <v>0</v>
      </c>
      <c r="Z375" s="155">
        <f t="shared" si="128"/>
        <v>0</v>
      </c>
      <c r="AA375" s="155">
        <f t="shared" si="128"/>
        <v>0</v>
      </c>
      <c r="AB375" s="155">
        <f t="shared" si="128"/>
        <v>0</v>
      </c>
      <c r="AC375" s="155">
        <f t="shared" si="128"/>
        <v>0</v>
      </c>
      <c r="AD375" s="155">
        <f t="shared" si="128"/>
        <v>0</v>
      </c>
      <c r="AE375" s="155">
        <f t="shared" si="128"/>
        <v>0</v>
      </c>
    </row>
    <row r="376" spans="1:33" x14ac:dyDescent="0.3">
      <c r="B376" s="155"/>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c r="AA376" s="155"/>
      <c r="AB376" s="155"/>
      <c r="AC376" s="155"/>
      <c r="AD376" s="155"/>
      <c r="AE376" s="155"/>
    </row>
    <row r="377" spans="1:33" x14ac:dyDescent="0.3">
      <c r="A377" s="697"/>
      <c r="B377" s="155"/>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c r="AA377" s="155"/>
      <c r="AB377" s="155"/>
      <c r="AC377" s="155"/>
      <c r="AD377" s="155"/>
      <c r="AE377" s="155"/>
    </row>
    <row r="378" spans="1:33" ht="37.5" x14ac:dyDescent="0.3">
      <c r="A378" s="651" t="s">
        <v>71</v>
      </c>
      <c r="B378" s="698"/>
      <c r="C378" s="698"/>
      <c r="D378" s="705" t="s">
        <v>511</v>
      </c>
      <c r="E378" s="704"/>
      <c r="F378" s="155"/>
      <c r="G378" s="155"/>
      <c r="H378" s="155"/>
      <c r="I378" s="155"/>
      <c r="J378" s="155"/>
      <c r="K378" s="155"/>
      <c r="L378" s="155"/>
      <c r="M378" s="155"/>
      <c r="N378" s="155"/>
      <c r="O378" s="155"/>
      <c r="P378" s="155"/>
      <c r="Q378" s="155"/>
      <c r="R378" s="155"/>
      <c r="S378" s="155"/>
      <c r="T378" s="155"/>
      <c r="U378" s="155"/>
      <c r="V378" s="155"/>
      <c r="W378" s="155"/>
      <c r="X378" s="155"/>
      <c r="Y378" s="155"/>
      <c r="Z378" s="155"/>
      <c r="AA378" s="155"/>
      <c r="AB378" s="155"/>
      <c r="AC378" s="155"/>
      <c r="AD378" s="155"/>
      <c r="AE378" s="155"/>
    </row>
    <row r="379" spans="1:33" x14ac:dyDescent="0.3">
      <c r="A379" s="651"/>
      <c r="B379" s="699" t="s">
        <v>68</v>
      </c>
      <c r="C379" s="699"/>
      <c r="D379" s="700"/>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c r="AA379" s="155"/>
      <c r="AB379" s="155"/>
      <c r="AC379" s="155"/>
      <c r="AD379" s="155"/>
      <c r="AE379" s="155"/>
    </row>
    <row r="380" spans="1:33" ht="37.5" x14ac:dyDescent="0.3">
      <c r="A380" s="650" t="s">
        <v>506</v>
      </c>
      <c r="B380" s="650"/>
      <c r="C380" s="650"/>
      <c r="D380" s="651"/>
    </row>
  </sheetData>
  <customSheetViews>
    <customSheetView guid="{7C130984-112A-4861-AA43-E2940708E3DC}" scale="55" state="hidden">
      <pane xSplit="2" ySplit="11" topLeftCell="N171" activePane="bottomRight" state="frozen"/>
      <selection pane="bottomRight" activeCell="AF179" sqref="AF179"/>
      <pageMargins left="0.7" right="0.7" top="0.75" bottom="0.75" header="0.3" footer="0.3"/>
      <pageSetup paperSize="9" orientation="portrait" r:id="rId1"/>
    </customSheetView>
    <customSheetView guid="{4F41B9CC-959D-442C-80B0-1F0DB2C76D27}" scale="55">
      <pane xSplit="2" ySplit="11" topLeftCell="C344" activePane="bottomRight" state="frozen"/>
      <selection pane="bottomRight" activeCell="C374" sqref="C374"/>
      <pageMargins left="0.7" right="0.7" top="0.75" bottom="0.75" header="0.3" footer="0.3"/>
      <pageSetup paperSize="9" orientation="portrait" r:id="rId2"/>
    </customSheetView>
    <customSheetView guid="{391AB76E-B386-49C1-800F-016A48AA1A46}" scale="55">
      <pane xSplit="2" ySplit="11" topLeftCell="C354" activePane="bottomRight" state="frozen"/>
      <selection pane="bottomRight" activeCell="C374" sqref="C374"/>
      <pageMargins left="0.7" right="0.7" top="0.75" bottom="0.75" header="0.3" footer="0.3"/>
      <pageSetup paperSize="9" orientation="portrait" r:id="rId3"/>
    </customSheetView>
    <customSheetView guid="{D01FA037-9AEC-4167-ADB8-2F327C01ECE6}" scale="55">
      <pane xSplit="2" ySplit="11" topLeftCell="C337" activePane="bottomRight" state="frozen"/>
      <selection pane="bottomRight" activeCell="B351" sqref="B351"/>
      <pageMargins left="0.7" right="0.7" top="0.75" bottom="0.75" header="0.3" footer="0.3"/>
      <pageSetup paperSize="9" orientation="portrait" r:id="rId4"/>
    </customSheetView>
    <customSheetView guid="{6A602CB8-B24C-4ED4-B378-B27354BE0A1A}" scale="55">
      <pane xSplit="2" ySplit="11" topLeftCell="C337" activePane="bottomRight" state="frozen"/>
      <selection pane="bottomRight" activeCell="B351" sqref="B351"/>
      <pageMargins left="0.7" right="0.7" top="0.75" bottom="0.75" header="0.3" footer="0.3"/>
      <pageSetup paperSize="9" orientation="portrait" r:id="rId5"/>
    </customSheetView>
    <customSheetView guid="{DAA8A688-7558-4B5B-8DBD-E2629BD9E9A8}" scale="55">
      <pane xSplit="2" ySplit="11" topLeftCell="C12" activePane="bottomRight" state="frozen"/>
      <selection pane="bottomRight" activeCell="A18" sqref="A18:XFD21"/>
      <pageMargins left="0.7" right="0.7" top="0.75" bottom="0.75" header="0.3" footer="0.3"/>
      <pageSetup paperSize="9" orientation="portrait" r:id="rId6"/>
    </customSheetView>
    <customSheetView guid="{0C2B9C2A-7B94-41EF-A2E6-F8AC9A67DE25}" scale="55">
      <pane xSplit="2" ySplit="11" topLeftCell="C12" activePane="bottomRight" state="frozen"/>
      <selection pane="bottomRight" activeCell="A18" sqref="A18:XFD21"/>
      <pageMargins left="0.7" right="0.7" top="0.75" bottom="0.75" header="0.3" footer="0.3"/>
      <pageSetup paperSize="9" orientation="portrait" r:id="rId7"/>
    </customSheetView>
    <customSheetView guid="{87218168-6C8E-4D5B-A5E5-DCCC26803AA3}" scale="55">
      <pane xSplit="2" ySplit="11" topLeftCell="C12" activePane="bottomRight" state="frozen"/>
      <selection pane="bottomRight" activeCell="A18" sqref="A18:XFD21"/>
      <pageMargins left="0.7" right="0.7" top="0.75" bottom="0.75" header="0.3" footer="0.3"/>
      <pageSetup paperSize="9" orientation="portrait" r:id="rId8"/>
    </customSheetView>
    <customSheetView guid="{533DC55B-6AD4-4674-9488-685EF2039F3E}" scale="55">
      <pane xSplit="2" ySplit="11" topLeftCell="C12" activePane="bottomRight" state="frozen"/>
      <selection pane="bottomRight" activeCell="A18" sqref="A18:XFD21"/>
      <pageMargins left="0.7" right="0.7" top="0.75" bottom="0.75" header="0.3" footer="0.3"/>
      <pageSetup paperSize="9" orientation="portrait" r:id="rId9"/>
    </customSheetView>
    <customSheetView guid="{69DABE6F-6182-4403-A4A2-969F10F1C13A}" scale="55">
      <pane xSplit="2" ySplit="11" topLeftCell="C12" activePane="bottomRight" state="frozen"/>
      <selection pane="bottomRight" activeCell="A18" sqref="A18:XFD21"/>
      <pageMargins left="0.7" right="0.7" top="0.75" bottom="0.75" header="0.3" footer="0.3"/>
      <pageSetup paperSize="9" orientation="portrait" r:id="rId10"/>
    </customSheetView>
    <customSheetView guid="{84867370-1F3E-4368-AF79-FBCE46FFFE92}" scale="55">
      <pane xSplit="2" ySplit="11" topLeftCell="C12" activePane="bottomRight" state="frozen"/>
      <selection pane="bottomRight" activeCell="A18" sqref="A18:XFD21"/>
      <pageMargins left="0.7" right="0.7" top="0.75" bottom="0.75" header="0.3" footer="0.3"/>
      <pageSetup paperSize="9" orientation="portrait" r:id="rId11"/>
    </customSheetView>
    <customSheetView guid="{47B983AB-FE5F-4725-860C-A2F29420596D}" scale="55">
      <pane xSplit="2" ySplit="11" topLeftCell="C304" activePane="bottomRight" state="frozen"/>
      <selection pane="bottomRight" activeCell="N321" sqref="N321"/>
      <pageMargins left="0.7" right="0.7" top="0.75" bottom="0.75" header="0.3" footer="0.3"/>
      <pageSetup paperSize="9" orientation="portrait" r:id="rId12"/>
    </customSheetView>
    <customSheetView guid="{959E901C-5DDE-42EE-AE94-AB8976B5E00B}" scale="55">
      <pane xSplit="2" ySplit="11" topLeftCell="C45" activePane="bottomRight" state="frozen"/>
      <selection pane="bottomRight" activeCell="AH54" sqref="AH54"/>
      <pageMargins left="0.7" right="0.7" top="0.75" bottom="0.75" header="0.3" footer="0.3"/>
      <pageSetup paperSize="9" orientation="portrait" r:id="rId13"/>
    </customSheetView>
    <customSheetView guid="{F679EF4A-C5FD-4B86-B87B-D85968E0F2CA}" scale="55">
      <pane xSplit="2" ySplit="11" topLeftCell="C127" activePane="bottomRight" state="frozen"/>
      <selection pane="bottomRight" activeCell="R138" sqref="R138"/>
      <pageMargins left="0.7" right="0.7" top="0.75" bottom="0.75" header="0.3" footer="0.3"/>
      <pageSetup paperSize="9" orientation="portrait" r:id="rId14"/>
    </customSheetView>
    <customSheetView guid="{009B3074-D8EC-4952-BF50-43CD64449612}" scale="55">
      <pane xSplit="2" ySplit="11" topLeftCell="C363" activePane="bottomRight" state="frozen"/>
      <selection pane="bottomRight" activeCell="P333" sqref="P333"/>
      <pageMargins left="0.7" right="0.7" top="0.75" bottom="0.75" header="0.3" footer="0.3"/>
      <pageSetup paperSize="9" orientation="portrait" r:id="rId15"/>
    </customSheetView>
    <customSheetView guid="{770624BF-07F3-44B6-94C3-4CC447CDD45C}" scale="70">
      <pane xSplit="2" ySplit="11" topLeftCell="C35" activePane="bottomRight" state="frozen"/>
      <selection pane="bottomRight" activeCell="G42" sqref="G42"/>
      <pageMargins left="0.7" right="0.7" top="0.75" bottom="0.75" header="0.3" footer="0.3"/>
      <pageSetup paperSize="9" orientation="portrait" r:id="rId16"/>
    </customSheetView>
    <customSheetView guid="{B82BA08A-1A30-4F4D-A478-74A6BD09EA97}" scale="70">
      <pane xSplit="2" ySplit="11" topLeftCell="C102" activePane="bottomRight" state="frozen"/>
      <selection pane="bottomRight" activeCell="K106" sqref="K106"/>
      <pageMargins left="0.7" right="0.7" top="0.75" bottom="0.75" header="0.3" footer="0.3"/>
      <pageSetup paperSize="9" orientation="portrait" r:id="rId17"/>
    </customSheetView>
    <customSheetView guid="{874882D1-E741-4CCA-BF0D-E72FA60B771D}" scale="70">
      <pane xSplit="2" ySplit="11" topLeftCell="H349" activePane="bottomRight" state="frozen"/>
      <selection pane="bottomRight" activeCell="J313" sqref="J313"/>
      <pageMargins left="0.7" right="0.7" top="0.75" bottom="0.75" header="0.3" footer="0.3"/>
      <pageSetup paperSize="9" orientation="portrait" r:id="rId18"/>
    </customSheetView>
    <customSheetView guid="{C236B307-BD63-48C4-A75F-B3F3717BF55C}" scale="70">
      <pane xSplit="2" ySplit="11" topLeftCell="C360" activePane="bottomRight" state="frozen"/>
      <selection pane="bottomRight" activeCell="A4" sqref="A4:AF4"/>
      <pageMargins left="0.7" right="0.7" top="0.75" bottom="0.75" header="0.3" footer="0.3"/>
    </customSheetView>
    <customSheetView guid="{BCD82A82-B724-4763-8580-D765356E09BA}" scale="70">
      <pane xSplit="2" ySplit="11" topLeftCell="C12" activePane="bottomRight" state="frozen"/>
      <selection pane="bottomRight" activeCell="A4" sqref="A4:AF4"/>
      <pageMargins left="0.7" right="0.7" top="0.75" bottom="0.75" header="0.3" footer="0.3"/>
    </customSheetView>
    <customSheetView guid="{B1BF08D1-D416-4B47-ADD0-4F59132DC9E8}" scale="55">
      <pane xSplit="2" ySplit="11" topLeftCell="C45" activePane="bottomRight" state="frozen"/>
      <selection pane="bottomRight" activeCell="AH54" sqref="AH54"/>
      <pageMargins left="0.7" right="0.7" top="0.75" bottom="0.75" header="0.3" footer="0.3"/>
      <pageSetup paperSize="9" orientation="portrait" r:id="rId19"/>
    </customSheetView>
    <customSheetView guid="{85F4575B-DBC5-482A-9916-255D8F0BC94E}" scale="55">
      <pane xSplit="2" ySplit="11" topLeftCell="C45" activePane="bottomRight" state="frozen"/>
      <selection pane="bottomRight" activeCell="AH54" sqref="AH54"/>
      <pageMargins left="0.7" right="0.7" top="0.75" bottom="0.75" header="0.3" footer="0.3"/>
      <pageSetup paperSize="9" orientation="portrait" r:id="rId20"/>
    </customSheetView>
    <customSheetView guid="{74870EE6-26B9-40F7-9DC9-260EF16D8959}" scale="55">
      <pane xSplit="2" ySplit="11" topLeftCell="C12" activePane="bottomRight" state="frozen"/>
      <selection pane="bottomRight" activeCell="A18" sqref="A18:XFD21"/>
      <pageMargins left="0.7" right="0.7" top="0.75" bottom="0.75" header="0.3" footer="0.3"/>
      <pageSetup paperSize="9" orientation="portrait" r:id="rId21"/>
    </customSheetView>
    <customSheetView guid="{E508E171-4ED9-4B07-84DF-DA28C60E1969}" scale="55">
      <pane xSplit="2" ySplit="11" topLeftCell="C12" activePane="bottomRight" state="frozen"/>
      <selection pane="bottomRight" activeCell="A18" sqref="A18:XFD21"/>
      <pageMargins left="0.7" right="0.7" top="0.75" bottom="0.75" header="0.3" footer="0.3"/>
      <pageSetup paperSize="9" orientation="portrait" r:id="rId22"/>
    </customSheetView>
    <customSheetView guid="{4D0DFB57-2CBA-42F2-9A97-C453A6851FBA}" scale="55">
      <pane xSplit="2" ySplit="11" topLeftCell="C12" activePane="bottomRight" state="frozen"/>
      <selection pane="bottomRight" activeCell="A18" sqref="A18:XFD21"/>
      <pageMargins left="0.7" right="0.7" top="0.75" bottom="0.75" header="0.3" footer="0.3"/>
      <pageSetup paperSize="9" orientation="portrait" r:id="rId23"/>
    </customSheetView>
    <customSheetView guid="{CE1CCA00-200D-4EAA-9FBE-F8EE7C5F82FE}" scale="55">
      <pane xSplit="2" ySplit="11" topLeftCell="C12" activePane="bottomRight" state="frozen"/>
      <selection pane="bottomRight" activeCell="A18" sqref="A18:XFD21"/>
      <pageMargins left="0.7" right="0.7" top="0.75" bottom="0.75" header="0.3" footer="0.3"/>
      <pageSetup paperSize="9" orientation="portrait" r:id="rId24"/>
    </customSheetView>
    <customSheetView guid="{442F2C94-DD1B-4A01-8694-513D4D6F3BD9}" scale="55">
      <pane xSplit="2" ySplit="11" topLeftCell="C12" activePane="bottomRight" state="frozen"/>
      <selection pane="bottomRight" activeCell="A18" sqref="A18:XFD21"/>
      <pageMargins left="0.7" right="0.7" top="0.75" bottom="0.75" header="0.3" footer="0.3"/>
      <pageSetup paperSize="9" orientation="portrait" r:id="rId25"/>
    </customSheetView>
    <customSheetView guid="{AC2D5927-4079-4C74-AF69-1BFAC505648F}" scale="55">
      <pane xSplit="2" ySplit="11" topLeftCell="C354" activePane="bottomRight" state="frozen"/>
      <selection pane="bottomRight" activeCell="C374" sqref="C374"/>
      <pageMargins left="0.7" right="0.7" top="0.75" bottom="0.75" header="0.3" footer="0.3"/>
      <pageSetup paperSize="9" orientation="portrait" r:id="rId26"/>
    </customSheetView>
    <customSheetView guid="{602C8EDB-B9EF-4C85-B0D5-0558C3A0ABAB}" scale="55">
      <pane xSplit="2" ySplit="11" topLeftCell="C354" activePane="bottomRight" state="frozen"/>
      <selection pane="bottomRight" activeCell="C374" sqref="C374"/>
      <pageMargins left="0.7" right="0.7" top="0.75" bottom="0.75" header="0.3" footer="0.3"/>
      <pageSetup paperSize="9" orientation="portrait" r:id="rId27"/>
    </customSheetView>
    <customSheetView guid="{09C3E205-981E-4A4E-BE89-8B7044192060}" scale="55">
      <pane xSplit="2" ySplit="11" topLeftCell="N171" activePane="bottomRight" state="frozen"/>
      <selection pane="bottomRight" activeCell="AH183" sqref="AH183"/>
      <pageMargins left="0.7" right="0.7" top="0.75" bottom="0.75" header="0.3" footer="0.3"/>
      <pageSetup paperSize="9" orientation="portrait" r:id="rId28"/>
    </customSheetView>
  </customSheetViews>
  <mergeCells count="27">
    <mergeCell ref="A160:AF160"/>
    <mergeCell ref="A185:AF185"/>
    <mergeCell ref="A252:AF252"/>
    <mergeCell ref="A253:AF253"/>
    <mergeCell ref="A272:AF272"/>
    <mergeCell ref="A159:AF159"/>
    <mergeCell ref="V6:W6"/>
    <mergeCell ref="X6:Y6"/>
    <mergeCell ref="Z6:AA6"/>
    <mergeCell ref="AB6:AC6"/>
    <mergeCell ref="AD6:AE6"/>
    <mergeCell ref="AF6:AF7"/>
    <mergeCell ref="A9:AF9"/>
    <mergeCell ref="A10:AF10"/>
    <mergeCell ref="A29:AF29"/>
    <mergeCell ref="A145:AF145"/>
    <mergeCell ref="A146:AF146"/>
    <mergeCell ref="A4:AF4"/>
    <mergeCell ref="A6:A7"/>
    <mergeCell ref="F6:G6"/>
    <mergeCell ref="H6:I6"/>
    <mergeCell ref="J6:K6"/>
    <mergeCell ref="L6:M6"/>
    <mergeCell ref="N6:O6"/>
    <mergeCell ref="P6:Q6"/>
    <mergeCell ref="R6:S6"/>
    <mergeCell ref="T6:U6"/>
  </mergeCells>
  <hyperlinks>
    <hyperlink ref="A4:AF4" location="Оглавление!A1" display="Комплексный план (сетевой график) по реализации муниципальной программы  &quot;Развитие образования в городе Когалыме&quot;"/>
  </hyperlinks>
  <pageMargins left="0.7" right="0.7" top="0.75" bottom="0.75" header="0.3" footer="0.3"/>
  <pageSetup paperSize="9" orientation="portrait" r:id="rId29"/>
  <legacyDrawing r:id="rId3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89"/>
  <sheetViews>
    <sheetView zoomScale="70" zoomScaleNormal="70" zoomScaleSheetLayoutView="70" workbookViewId="0">
      <pane xSplit="2" ySplit="9" topLeftCell="C16" activePane="bottomRight" state="frozen"/>
      <selection activeCell="F284" sqref="F284:G284"/>
      <selection pane="topRight" activeCell="F284" sqref="F284:G284"/>
      <selection pane="bottomLeft" activeCell="F284" sqref="F284:G284"/>
      <selection pane="bottomRight" activeCell="E31" sqref="E31"/>
    </sheetView>
  </sheetViews>
  <sheetFormatPr defaultColWidth="9.140625" defaultRowHeight="18.75" x14ac:dyDescent="0.3"/>
  <cols>
    <col min="1" max="1" width="67.5703125" style="10" customWidth="1"/>
    <col min="2" max="5" width="15.140625" style="10" customWidth="1"/>
    <col min="6" max="6" width="16.140625" style="10" customWidth="1"/>
    <col min="7" max="7" width="19.42578125" style="10" customWidth="1"/>
    <col min="8" max="31" width="13.85546875" style="10" customWidth="1"/>
    <col min="32" max="32" width="34.7109375" style="10" customWidth="1"/>
    <col min="33" max="33" width="9.140625" style="159"/>
    <col min="34" max="16384" width="9.140625" style="10"/>
  </cols>
  <sheetData>
    <row r="1" spans="1:34" ht="18.75" customHeight="1" x14ac:dyDescent="0.3">
      <c r="A1" s="1035"/>
      <c r="B1" s="1035"/>
      <c r="C1" s="1035"/>
      <c r="D1" s="1035"/>
      <c r="E1" s="1035"/>
      <c r="F1" s="1035"/>
      <c r="G1" s="1035"/>
      <c r="H1" s="1035"/>
      <c r="I1" s="1035"/>
      <c r="J1" s="1035"/>
      <c r="K1" s="1035"/>
      <c r="L1" s="1035"/>
      <c r="M1" s="1035"/>
      <c r="N1" s="1035"/>
      <c r="O1" s="1035"/>
      <c r="P1" s="1035"/>
      <c r="Q1" s="1035"/>
      <c r="R1" s="1035"/>
      <c r="S1" s="1035"/>
      <c r="T1" s="1035"/>
      <c r="U1" s="1035"/>
      <c r="V1" s="1035"/>
      <c r="W1" s="1035"/>
      <c r="X1" s="1035"/>
      <c r="Y1" s="1035"/>
      <c r="Z1" s="1035"/>
      <c r="AA1" s="1035"/>
      <c r="AB1" s="1035"/>
      <c r="AC1" s="1035"/>
      <c r="AD1" s="1035"/>
      <c r="AE1" s="157"/>
      <c r="AF1" s="158"/>
    </row>
    <row r="2" spans="1:34" ht="18.75" customHeight="1" x14ac:dyDescent="0.3">
      <c r="A2" s="1035"/>
      <c r="B2" s="1035"/>
      <c r="C2" s="1035"/>
      <c r="D2" s="1035"/>
      <c r="E2" s="1035"/>
      <c r="F2" s="1035"/>
      <c r="G2" s="1035"/>
      <c r="H2" s="1035"/>
      <c r="I2" s="1035"/>
      <c r="J2" s="1035"/>
      <c r="K2" s="1035"/>
      <c r="L2" s="1035"/>
      <c r="M2" s="1035"/>
      <c r="N2" s="1035"/>
      <c r="O2" s="1035"/>
      <c r="P2" s="1035"/>
      <c r="Q2" s="1035"/>
      <c r="R2" s="1035"/>
      <c r="S2" s="1035"/>
      <c r="T2" s="1035"/>
      <c r="U2" s="1035"/>
      <c r="V2" s="1035"/>
      <c r="W2" s="1035"/>
      <c r="X2" s="1035"/>
      <c r="Y2" s="1035"/>
      <c r="Z2" s="1035"/>
      <c r="AA2" s="1035"/>
      <c r="AB2" s="1035"/>
      <c r="AC2" s="1035"/>
      <c r="AD2" s="1035"/>
      <c r="AE2" s="157"/>
      <c r="AF2" s="158"/>
    </row>
    <row r="3" spans="1:34" ht="18.75" customHeight="1" x14ac:dyDescent="0.3">
      <c r="A3" s="1035"/>
      <c r="B3" s="1035"/>
      <c r="C3" s="1035"/>
      <c r="D3" s="1035"/>
      <c r="E3" s="1035"/>
      <c r="F3" s="1035"/>
      <c r="G3" s="1035"/>
      <c r="H3" s="1035"/>
      <c r="I3" s="1035"/>
      <c r="J3" s="1035"/>
      <c r="K3" s="1035"/>
      <c r="L3" s="1035"/>
      <c r="M3" s="1035"/>
      <c r="N3" s="1035"/>
      <c r="O3" s="1035"/>
      <c r="P3" s="1035"/>
      <c r="Q3" s="1035"/>
      <c r="R3" s="1035"/>
      <c r="S3" s="1035"/>
      <c r="T3" s="1035"/>
      <c r="U3" s="1035"/>
      <c r="V3" s="1035"/>
      <c r="W3" s="1035"/>
      <c r="X3" s="1035"/>
      <c r="Y3" s="1035"/>
      <c r="Z3" s="1035"/>
      <c r="AA3" s="1035"/>
      <c r="AB3" s="1035"/>
      <c r="AC3" s="1035"/>
      <c r="AD3" s="1035"/>
      <c r="AE3" s="157"/>
      <c r="AF3" s="158"/>
    </row>
    <row r="4" spans="1:34" s="163" customFormat="1" ht="18.75" customHeight="1" x14ac:dyDescent="0.25">
      <c r="A4" s="1036" t="s">
        <v>313</v>
      </c>
      <c r="B4" s="1036"/>
      <c r="C4" s="1036"/>
      <c r="D4" s="1036"/>
      <c r="E4" s="1036"/>
      <c r="F4" s="1036"/>
      <c r="G4" s="1036"/>
      <c r="H4" s="1036"/>
      <c r="I4" s="1036"/>
      <c r="J4" s="1036"/>
      <c r="K4" s="1036"/>
      <c r="L4" s="1036"/>
      <c r="M4" s="1036"/>
      <c r="N4" s="1036"/>
      <c r="O4" s="1036"/>
      <c r="P4" s="1036"/>
      <c r="Q4" s="1036"/>
      <c r="R4" s="1036"/>
      <c r="S4" s="1036"/>
      <c r="T4" s="1036"/>
      <c r="U4" s="1036"/>
      <c r="V4" s="1036"/>
      <c r="W4" s="1036"/>
      <c r="X4" s="1036"/>
      <c r="Y4" s="1036"/>
      <c r="Z4" s="1036"/>
      <c r="AA4" s="1036"/>
      <c r="AB4" s="1036"/>
      <c r="AC4" s="1036"/>
      <c r="AD4" s="1036"/>
      <c r="AE4" s="160"/>
      <c r="AF4" s="161"/>
      <c r="AG4" s="162"/>
    </row>
    <row r="5" spans="1:34" ht="18.75" customHeight="1" x14ac:dyDescent="0.3">
      <c r="A5" s="164"/>
      <c r="B5" s="160"/>
      <c r="C5" s="160"/>
      <c r="D5" s="160"/>
      <c r="E5" s="160"/>
      <c r="F5" s="160"/>
      <c r="G5" s="160"/>
      <c r="H5" s="160"/>
      <c r="I5" s="160"/>
      <c r="J5" s="160"/>
      <c r="K5" s="160"/>
      <c r="L5" s="160"/>
      <c r="M5" s="160"/>
      <c r="N5" s="160"/>
      <c r="O5" s="160"/>
      <c r="P5" s="160"/>
      <c r="Q5" s="160"/>
      <c r="R5" s="160"/>
      <c r="S5" s="160"/>
      <c r="T5" s="160"/>
      <c r="U5" s="160"/>
      <c r="V5" s="160"/>
      <c r="W5" s="160"/>
      <c r="X5" s="160"/>
      <c r="Y5" s="160"/>
      <c r="Z5" s="160"/>
      <c r="AA5" s="160"/>
      <c r="AB5" s="1037"/>
      <c r="AC5" s="1037"/>
      <c r="AD5" s="1037"/>
      <c r="AE5" s="165"/>
      <c r="AF5" s="656" t="s">
        <v>1</v>
      </c>
    </row>
    <row r="6" spans="1:34" ht="37.5" customHeight="1" x14ac:dyDescent="0.3">
      <c r="A6" s="1027" t="s">
        <v>163</v>
      </c>
      <c r="B6" s="95" t="s">
        <v>3</v>
      </c>
      <c r="C6" s="95" t="s">
        <v>3</v>
      </c>
      <c r="D6" s="95" t="s">
        <v>4</v>
      </c>
      <c r="E6" s="95" t="s">
        <v>5</v>
      </c>
      <c r="F6" s="1028" t="s">
        <v>6</v>
      </c>
      <c r="G6" s="1029"/>
      <c r="H6" s="1045" t="s">
        <v>7</v>
      </c>
      <c r="I6" s="1046"/>
      <c r="J6" s="1045" t="s">
        <v>8</v>
      </c>
      <c r="K6" s="1046"/>
      <c r="L6" s="1045" t="s">
        <v>9</v>
      </c>
      <c r="M6" s="1046"/>
      <c r="N6" s="1045" t="s">
        <v>10</v>
      </c>
      <c r="O6" s="1046"/>
      <c r="P6" s="1045" t="s">
        <v>11</v>
      </c>
      <c r="Q6" s="1046"/>
      <c r="R6" s="1045" t="s">
        <v>12</v>
      </c>
      <c r="S6" s="1046"/>
      <c r="T6" s="1028" t="s">
        <v>13</v>
      </c>
      <c r="U6" s="1030"/>
      <c r="V6" s="1028" t="s">
        <v>14</v>
      </c>
      <c r="W6" s="1030"/>
      <c r="X6" s="1028" t="s">
        <v>15</v>
      </c>
      <c r="Y6" s="1030"/>
      <c r="Z6" s="1028" t="s">
        <v>16</v>
      </c>
      <c r="AA6" s="1030"/>
      <c r="AB6" s="1028" t="s">
        <v>17</v>
      </c>
      <c r="AC6" s="1030"/>
      <c r="AD6" s="1031" t="s">
        <v>18</v>
      </c>
      <c r="AE6" s="1031"/>
      <c r="AF6" s="1019" t="s">
        <v>19</v>
      </c>
    </row>
    <row r="7" spans="1:34" ht="37.5" x14ac:dyDescent="0.3">
      <c r="A7" s="1027"/>
      <c r="B7" s="3">
        <v>2024</v>
      </c>
      <c r="C7" s="4">
        <v>45474</v>
      </c>
      <c r="D7" s="4">
        <v>45474</v>
      </c>
      <c r="E7" s="4">
        <v>45474</v>
      </c>
      <c r="F7" s="5" t="s">
        <v>20</v>
      </c>
      <c r="G7" s="5" t="s">
        <v>21</v>
      </c>
      <c r="H7" s="512" t="s">
        <v>22</v>
      </c>
      <c r="I7" s="96" t="s">
        <v>164</v>
      </c>
      <c r="J7" s="512" t="s">
        <v>22</v>
      </c>
      <c r="K7" s="96" t="s">
        <v>164</v>
      </c>
      <c r="L7" s="512" t="s">
        <v>22</v>
      </c>
      <c r="M7" s="96" t="s">
        <v>164</v>
      </c>
      <c r="N7" s="512" t="s">
        <v>22</v>
      </c>
      <c r="O7" s="96" t="s">
        <v>164</v>
      </c>
      <c r="P7" s="512" t="s">
        <v>22</v>
      </c>
      <c r="Q7" s="96" t="s">
        <v>164</v>
      </c>
      <c r="R7" s="512" t="s">
        <v>22</v>
      </c>
      <c r="S7" s="96" t="s">
        <v>164</v>
      </c>
      <c r="T7" s="512" t="s">
        <v>22</v>
      </c>
      <c r="U7" s="96" t="s">
        <v>164</v>
      </c>
      <c r="V7" s="512" t="s">
        <v>22</v>
      </c>
      <c r="W7" s="96" t="s">
        <v>164</v>
      </c>
      <c r="X7" s="512" t="s">
        <v>22</v>
      </c>
      <c r="Y7" s="96" t="s">
        <v>164</v>
      </c>
      <c r="Z7" s="512" t="s">
        <v>22</v>
      </c>
      <c r="AA7" s="96" t="s">
        <v>164</v>
      </c>
      <c r="AB7" s="512" t="s">
        <v>22</v>
      </c>
      <c r="AC7" s="96" t="s">
        <v>164</v>
      </c>
      <c r="AD7" s="512" t="s">
        <v>22</v>
      </c>
      <c r="AE7" s="96" t="s">
        <v>164</v>
      </c>
      <c r="AF7" s="1020"/>
    </row>
    <row r="8" spans="1:34" x14ac:dyDescent="0.3">
      <c r="A8" s="167">
        <v>1</v>
      </c>
      <c r="B8" s="6">
        <v>2</v>
      </c>
      <c r="C8" s="6">
        <v>3</v>
      </c>
      <c r="D8" s="6">
        <v>4</v>
      </c>
      <c r="E8" s="6">
        <v>5</v>
      </c>
      <c r="F8" s="6">
        <v>6</v>
      </c>
      <c r="G8" s="6">
        <v>7</v>
      </c>
      <c r="H8" s="6">
        <v>8</v>
      </c>
      <c r="I8" s="6">
        <v>9</v>
      </c>
      <c r="J8" s="6">
        <v>10</v>
      </c>
      <c r="K8" s="6">
        <v>11</v>
      </c>
      <c r="L8" s="6">
        <v>12</v>
      </c>
      <c r="M8" s="6">
        <v>13</v>
      </c>
      <c r="N8" s="6">
        <v>14</v>
      </c>
      <c r="O8" s="6">
        <v>15</v>
      </c>
      <c r="P8" s="6">
        <v>16</v>
      </c>
      <c r="Q8" s="6">
        <v>17</v>
      </c>
      <c r="R8" s="6">
        <v>18</v>
      </c>
      <c r="S8" s="6">
        <v>19</v>
      </c>
      <c r="T8" s="6">
        <v>20</v>
      </c>
      <c r="U8" s="6">
        <v>21</v>
      </c>
      <c r="V8" s="6">
        <v>22</v>
      </c>
      <c r="W8" s="6">
        <v>23</v>
      </c>
      <c r="X8" s="6">
        <v>24</v>
      </c>
      <c r="Y8" s="6">
        <v>25</v>
      </c>
      <c r="Z8" s="6">
        <v>26</v>
      </c>
      <c r="AA8" s="6">
        <v>27</v>
      </c>
      <c r="AB8" s="6">
        <v>28</v>
      </c>
      <c r="AC8" s="6">
        <v>29</v>
      </c>
      <c r="AD8" s="6">
        <v>30</v>
      </c>
      <c r="AE8" s="6">
        <v>31</v>
      </c>
      <c r="AF8" s="6">
        <v>32</v>
      </c>
    </row>
    <row r="9" spans="1:34" s="168" customFormat="1" x14ac:dyDescent="0.3">
      <c r="A9" s="1041" t="s">
        <v>54</v>
      </c>
      <c r="B9" s="1042"/>
      <c r="C9" s="1042"/>
      <c r="D9" s="1042"/>
      <c r="E9" s="1042"/>
      <c r="F9" s="1042"/>
      <c r="G9" s="1042"/>
      <c r="H9" s="1042"/>
      <c r="I9" s="1042"/>
      <c r="J9" s="1042"/>
      <c r="K9" s="1042"/>
      <c r="L9" s="1042"/>
      <c r="M9" s="1042"/>
      <c r="N9" s="1042"/>
      <c r="O9" s="1042"/>
      <c r="P9" s="1042"/>
      <c r="Q9" s="1042"/>
      <c r="R9" s="1042"/>
      <c r="S9" s="1042"/>
      <c r="T9" s="1042"/>
      <c r="U9" s="1042"/>
      <c r="V9" s="1042"/>
      <c r="W9" s="1042"/>
      <c r="X9" s="1042"/>
      <c r="Y9" s="1042"/>
      <c r="Z9" s="1042"/>
      <c r="AA9" s="1042"/>
      <c r="AB9" s="1042"/>
      <c r="AC9" s="1042"/>
      <c r="AD9" s="1042"/>
      <c r="AE9" s="1042"/>
      <c r="AF9" s="1043"/>
    </row>
    <row r="10" spans="1:34" ht="37.5" x14ac:dyDescent="0.3">
      <c r="A10" s="217" t="s">
        <v>314</v>
      </c>
      <c r="B10" s="679">
        <f t="shared" ref="B10:J10" si="0">B11</f>
        <v>55648.490000000005</v>
      </c>
      <c r="C10" s="928">
        <f>C11</f>
        <v>28551.279999999999</v>
      </c>
      <c r="D10" s="928">
        <f>D11</f>
        <v>26013.94</v>
      </c>
      <c r="E10" s="197">
        <f t="shared" si="0"/>
        <v>26013.94</v>
      </c>
      <c r="F10" s="929">
        <f t="shared" si="0"/>
        <v>46.746892862681442</v>
      </c>
      <c r="G10" s="219">
        <f t="shared" si="0"/>
        <v>91.113042917865684</v>
      </c>
      <c r="H10" s="198">
        <f>H11</f>
        <v>7203.19</v>
      </c>
      <c r="I10" s="198">
        <f t="shared" si="0"/>
        <v>4094.7</v>
      </c>
      <c r="J10" s="198">
        <f t="shared" si="0"/>
        <v>3409</v>
      </c>
      <c r="K10" s="219">
        <f t="shared" ref="K10:AE10" si="1">K11</f>
        <v>4844.8900000000003</v>
      </c>
      <c r="L10" s="198">
        <f t="shared" si="1"/>
        <v>3344.3</v>
      </c>
      <c r="M10" s="219">
        <f t="shared" si="1"/>
        <v>3569.98</v>
      </c>
      <c r="N10" s="198">
        <f t="shared" si="1"/>
        <v>5012.5</v>
      </c>
      <c r="O10" s="219">
        <f t="shared" si="1"/>
        <v>3332.26</v>
      </c>
      <c r="P10" s="198">
        <f t="shared" si="1"/>
        <v>4749.29</v>
      </c>
      <c r="Q10" s="219">
        <f t="shared" si="1"/>
        <v>5408.95</v>
      </c>
      <c r="R10" s="198">
        <f t="shared" si="1"/>
        <v>4833</v>
      </c>
      <c r="S10" s="219">
        <f t="shared" si="1"/>
        <v>4763.16</v>
      </c>
      <c r="T10" s="198">
        <f t="shared" si="1"/>
        <v>5228.58</v>
      </c>
      <c r="U10" s="219">
        <f t="shared" si="1"/>
        <v>0</v>
      </c>
      <c r="V10" s="198">
        <f t="shared" si="1"/>
        <v>4550</v>
      </c>
      <c r="W10" s="219">
        <f t="shared" si="1"/>
        <v>0</v>
      </c>
      <c r="X10" s="198">
        <f t="shared" si="1"/>
        <v>3777.8</v>
      </c>
      <c r="Y10" s="219">
        <f t="shared" si="1"/>
        <v>0</v>
      </c>
      <c r="Z10" s="198">
        <f t="shared" si="1"/>
        <v>4299.1000000000004</v>
      </c>
      <c r="AA10" s="219">
        <f t="shared" si="1"/>
        <v>0</v>
      </c>
      <c r="AB10" s="198">
        <f t="shared" si="1"/>
        <v>3308</v>
      </c>
      <c r="AC10" s="219">
        <f t="shared" si="1"/>
        <v>0</v>
      </c>
      <c r="AD10" s="198">
        <f t="shared" si="1"/>
        <v>5933.73</v>
      </c>
      <c r="AE10" s="220">
        <f t="shared" si="1"/>
        <v>0</v>
      </c>
      <c r="AF10" s="195"/>
      <c r="AG10" s="175">
        <f>AD10+AB10+Z10+X10+V10+T10+R10+P10+N10+L10+J10+H10-B10</f>
        <v>0</v>
      </c>
      <c r="AH10" s="654"/>
    </row>
    <row r="11" spans="1:34" s="177" customFormat="1" x14ac:dyDescent="0.3">
      <c r="A11" s="221" t="s">
        <v>31</v>
      </c>
      <c r="B11" s="198">
        <f t="shared" ref="B11:G11" si="2">B12+B13+B14+B15</f>
        <v>55648.490000000005</v>
      </c>
      <c r="C11" s="198">
        <f t="shared" si="2"/>
        <v>28551.279999999999</v>
      </c>
      <c r="D11" s="198">
        <f t="shared" si="2"/>
        <v>26013.94</v>
      </c>
      <c r="E11" s="198">
        <f t="shared" si="2"/>
        <v>26013.94</v>
      </c>
      <c r="F11" s="198">
        <f t="shared" si="2"/>
        <v>46.746892862681442</v>
      </c>
      <c r="G11" s="198">
        <f t="shared" si="2"/>
        <v>91.113042917865684</v>
      </c>
      <c r="H11" s="198">
        <f>H14</f>
        <v>7203.19</v>
      </c>
      <c r="I11" s="198">
        <f t="shared" ref="I11:AE11" si="3">I14</f>
        <v>4094.7</v>
      </c>
      <c r="J11" s="198">
        <f t="shared" si="3"/>
        <v>3409</v>
      </c>
      <c r="K11" s="198">
        <f t="shared" si="3"/>
        <v>4844.8900000000003</v>
      </c>
      <c r="L11" s="198">
        <f t="shared" si="3"/>
        <v>3344.3</v>
      </c>
      <c r="M11" s="198">
        <f t="shared" si="3"/>
        <v>3569.98</v>
      </c>
      <c r="N11" s="198">
        <f t="shared" si="3"/>
        <v>5012.5</v>
      </c>
      <c r="O11" s="198">
        <f t="shared" si="3"/>
        <v>3332.26</v>
      </c>
      <c r="P11" s="198">
        <f t="shared" si="3"/>
        <v>4749.29</v>
      </c>
      <c r="Q11" s="198">
        <f t="shared" si="3"/>
        <v>5408.95</v>
      </c>
      <c r="R11" s="198">
        <f t="shared" si="3"/>
        <v>4833</v>
      </c>
      <c r="S11" s="198">
        <f t="shared" si="3"/>
        <v>4763.16</v>
      </c>
      <c r="T11" s="198">
        <f t="shared" si="3"/>
        <v>5228.58</v>
      </c>
      <c r="U11" s="198">
        <f t="shared" si="3"/>
        <v>0</v>
      </c>
      <c r="V11" s="198">
        <f t="shared" si="3"/>
        <v>4550</v>
      </c>
      <c r="W11" s="198">
        <f t="shared" si="3"/>
        <v>0</v>
      </c>
      <c r="X11" s="198">
        <f t="shared" si="3"/>
        <v>3777.8</v>
      </c>
      <c r="Y11" s="198">
        <f t="shared" si="3"/>
        <v>0</v>
      </c>
      <c r="Z11" s="198">
        <f t="shared" si="3"/>
        <v>4299.1000000000004</v>
      </c>
      <c r="AA11" s="198">
        <f t="shared" si="3"/>
        <v>0</v>
      </c>
      <c r="AB11" s="198">
        <f t="shared" si="3"/>
        <v>3308</v>
      </c>
      <c r="AC11" s="198">
        <f t="shared" si="3"/>
        <v>0</v>
      </c>
      <c r="AD11" s="198">
        <f t="shared" si="3"/>
        <v>5933.73</v>
      </c>
      <c r="AE11" s="198">
        <f t="shared" si="3"/>
        <v>0</v>
      </c>
      <c r="AF11" s="195"/>
      <c r="AG11" s="175">
        <f t="shared" ref="AG11:AG31" si="4">AD11+AB11+Z11+X11+V11+T11+R11+P11+N11+L11+J11+H11-B11</f>
        <v>0</v>
      </c>
      <c r="AH11" s="654"/>
    </row>
    <row r="12" spans="1:34" x14ac:dyDescent="0.3">
      <c r="A12" s="222" t="s">
        <v>169</v>
      </c>
      <c r="B12" s="193">
        <f>H12+J12+L12+N12+P12+R12+T12+V12+X12+Z12+AB12+AD12</f>
        <v>0</v>
      </c>
      <c r="C12" s="223">
        <f>H12+J12</f>
        <v>0</v>
      </c>
      <c r="D12" s="223">
        <f>I12</f>
        <v>0</v>
      </c>
      <c r="E12" s="193">
        <v>0</v>
      </c>
      <c r="F12" s="224">
        <v>0</v>
      </c>
      <c r="G12" s="193">
        <v>0</v>
      </c>
      <c r="H12" s="193">
        <v>0</v>
      </c>
      <c r="I12" s="193">
        <v>0</v>
      </c>
      <c r="J12" s="193">
        <v>0</v>
      </c>
      <c r="K12" s="193">
        <v>0</v>
      </c>
      <c r="L12" s="193">
        <v>0</v>
      </c>
      <c r="M12" s="193">
        <v>0</v>
      </c>
      <c r="N12" s="193">
        <v>0</v>
      </c>
      <c r="O12" s="193">
        <v>0</v>
      </c>
      <c r="P12" s="193">
        <v>0</v>
      </c>
      <c r="Q12" s="193">
        <v>0</v>
      </c>
      <c r="R12" s="193">
        <v>0</v>
      </c>
      <c r="S12" s="193">
        <v>0</v>
      </c>
      <c r="T12" s="193">
        <v>0</v>
      </c>
      <c r="U12" s="193">
        <v>0</v>
      </c>
      <c r="V12" s="193">
        <v>0</v>
      </c>
      <c r="W12" s="193">
        <v>0</v>
      </c>
      <c r="X12" s="193">
        <v>0</v>
      </c>
      <c r="Y12" s="193">
        <v>0</v>
      </c>
      <c r="Z12" s="193">
        <v>0</v>
      </c>
      <c r="AA12" s="193">
        <v>0</v>
      </c>
      <c r="AB12" s="193">
        <v>0</v>
      </c>
      <c r="AC12" s="193">
        <v>0</v>
      </c>
      <c r="AD12" s="193">
        <v>0</v>
      </c>
      <c r="AE12" s="193">
        <v>0</v>
      </c>
      <c r="AF12" s="225"/>
      <c r="AG12" s="175">
        <f t="shared" si="4"/>
        <v>0</v>
      </c>
      <c r="AH12" s="654"/>
    </row>
    <row r="13" spans="1:34" x14ac:dyDescent="0.3">
      <c r="A13" s="222" t="s">
        <v>32</v>
      </c>
      <c r="B13" s="193">
        <f>H13+J13+L13+N13+P13+R13+T13+V13+X13+Z13+AB13+AD13</f>
        <v>0</v>
      </c>
      <c r="C13" s="223">
        <f>H13+J13</f>
        <v>0</v>
      </c>
      <c r="D13" s="223">
        <f>I13</f>
        <v>0</v>
      </c>
      <c r="E13" s="193">
        <v>0</v>
      </c>
      <c r="F13" s="224">
        <v>0</v>
      </c>
      <c r="G13" s="193">
        <v>0</v>
      </c>
      <c r="H13" s="193">
        <v>0</v>
      </c>
      <c r="I13" s="193">
        <v>0</v>
      </c>
      <c r="J13" s="193">
        <v>0</v>
      </c>
      <c r="K13" s="193">
        <v>0</v>
      </c>
      <c r="L13" s="193">
        <v>0</v>
      </c>
      <c r="M13" s="193">
        <v>0</v>
      </c>
      <c r="N13" s="193">
        <v>0</v>
      </c>
      <c r="O13" s="193">
        <v>0</v>
      </c>
      <c r="P13" s="193">
        <v>0</v>
      </c>
      <c r="Q13" s="193">
        <v>0</v>
      </c>
      <c r="R13" s="193">
        <v>0</v>
      </c>
      <c r="S13" s="193">
        <v>0</v>
      </c>
      <c r="T13" s="193">
        <v>0</v>
      </c>
      <c r="U13" s="193">
        <v>0</v>
      </c>
      <c r="V13" s="193">
        <v>0</v>
      </c>
      <c r="W13" s="193">
        <v>0</v>
      </c>
      <c r="X13" s="193">
        <v>0</v>
      </c>
      <c r="Y13" s="193">
        <v>0</v>
      </c>
      <c r="Z13" s="193">
        <v>0</v>
      </c>
      <c r="AA13" s="193">
        <v>0</v>
      </c>
      <c r="AB13" s="193">
        <v>0</v>
      </c>
      <c r="AC13" s="193">
        <v>0</v>
      </c>
      <c r="AD13" s="193">
        <v>0</v>
      </c>
      <c r="AE13" s="193">
        <v>0</v>
      </c>
      <c r="AF13" s="225"/>
      <c r="AG13" s="175">
        <f t="shared" si="4"/>
        <v>0</v>
      </c>
      <c r="AH13" s="654"/>
    </row>
    <row r="14" spans="1:34" ht="78" customHeight="1" x14ac:dyDescent="0.3">
      <c r="A14" s="222" t="s">
        <v>33</v>
      </c>
      <c r="B14" s="193">
        <f>H14+J14+L14+N14+P14+R14+T14+V14+X14+Z14+AB14+AD14</f>
        <v>55648.490000000005</v>
      </c>
      <c r="C14" s="223">
        <f>H14+J14+L14+N14+P14+R14</f>
        <v>28551.279999999999</v>
      </c>
      <c r="D14" s="223">
        <f>I14+K14+M14+O14+Q14+S14</f>
        <v>26013.94</v>
      </c>
      <c r="E14" s="224">
        <f>I14+K14+M14+O14+Q14+S14</f>
        <v>26013.94</v>
      </c>
      <c r="F14" s="224">
        <f>E14/B14*100</f>
        <v>46.746892862681442</v>
      </c>
      <c r="G14" s="224">
        <f>E14/C14*100</f>
        <v>91.113042917865684</v>
      </c>
      <c r="H14" s="193">
        <v>7203.19</v>
      </c>
      <c r="I14" s="193">
        <v>4094.7</v>
      </c>
      <c r="J14" s="193">
        <v>3409</v>
      </c>
      <c r="K14" s="193">
        <v>4844.8900000000003</v>
      </c>
      <c r="L14" s="193">
        <v>3344.3</v>
      </c>
      <c r="M14" s="193">
        <v>3569.98</v>
      </c>
      <c r="N14" s="193">
        <v>5012.5</v>
      </c>
      <c r="O14" s="193">
        <v>3332.26</v>
      </c>
      <c r="P14" s="193">
        <v>4749.29</v>
      </c>
      <c r="Q14" s="193">
        <v>5408.95</v>
      </c>
      <c r="R14" s="193">
        <v>4833</v>
      </c>
      <c r="S14" s="193">
        <v>4763.16</v>
      </c>
      <c r="T14" s="193">
        <v>5228.58</v>
      </c>
      <c r="U14" s="193">
        <v>0</v>
      </c>
      <c r="V14" s="193">
        <v>4550</v>
      </c>
      <c r="W14" s="193">
        <v>0</v>
      </c>
      <c r="X14" s="193">
        <v>3777.8</v>
      </c>
      <c r="Y14" s="193">
        <v>0</v>
      </c>
      <c r="Z14" s="193">
        <v>4299.1000000000004</v>
      </c>
      <c r="AA14" s="193">
        <v>0</v>
      </c>
      <c r="AB14" s="193">
        <v>3308</v>
      </c>
      <c r="AC14" s="193">
        <v>0</v>
      </c>
      <c r="AD14" s="193">
        <v>5933.73</v>
      </c>
      <c r="AE14" s="193">
        <v>0</v>
      </c>
      <c r="AF14" s="655" t="s">
        <v>601</v>
      </c>
      <c r="AG14" s="175">
        <f t="shared" si="4"/>
        <v>0</v>
      </c>
      <c r="AH14" s="654">
        <f>C14-E14</f>
        <v>2537.34</v>
      </c>
    </row>
    <row r="15" spans="1:34" x14ac:dyDescent="0.3">
      <c r="A15" s="222" t="s">
        <v>221</v>
      </c>
      <c r="B15" s="193">
        <f>H15+J15+L15+N15+P15+R15+T15+V15+X15+Z15+AB15+AD15</f>
        <v>0</v>
      </c>
      <c r="C15" s="223">
        <f>H15</f>
        <v>0</v>
      </c>
      <c r="D15" s="223">
        <f>I15</f>
        <v>0</v>
      </c>
      <c r="E15" s="193">
        <v>0</v>
      </c>
      <c r="F15" s="224">
        <v>0</v>
      </c>
      <c r="G15" s="193">
        <v>0</v>
      </c>
      <c r="H15" s="193">
        <v>0</v>
      </c>
      <c r="I15" s="193">
        <v>0</v>
      </c>
      <c r="J15" s="193">
        <v>0</v>
      </c>
      <c r="K15" s="193">
        <v>0</v>
      </c>
      <c r="L15" s="193">
        <v>0</v>
      </c>
      <c r="M15" s="193">
        <v>0</v>
      </c>
      <c r="N15" s="193">
        <v>0</v>
      </c>
      <c r="O15" s="193">
        <v>0</v>
      </c>
      <c r="P15" s="193">
        <v>0</v>
      </c>
      <c r="Q15" s="193">
        <v>0</v>
      </c>
      <c r="R15" s="193">
        <v>0</v>
      </c>
      <c r="S15" s="193">
        <v>0</v>
      </c>
      <c r="T15" s="193">
        <v>0</v>
      </c>
      <c r="U15" s="193">
        <v>0</v>
      </c>
      <c r="V15" s="193">
        <v>0</v>
      </c>
      <c r="W15" s="193">
        <v>0</v>
      </c>
      <c r="X15" s="193">
        <v>0</v>
      </c>
      <c r="Y15" s="193">
        <v>0</v>
      </c>
      <c r="Z15" s="193">
        <v>0</v>
      </c>
      <c r="AA15" s="193">
        <v>0</v>
      </c>
      <c r="AB15" s="193">
        <v>0</v>
      </c>
      <c r="AC15" s="193">
        <v>0</v>
      </c>
      <c r="AD15" s="193">
        <v>0</v>
      </c>
      <c r="AE15" s="193">
        <v>0</v>
      </c>
      <c r="AF15" s="225"/>
      <c r="AG15" s="175">
        <f t="shared" si="4"/>
        <v>0</v>
      </c>
      <c r="AH15" s="654"/>
    </row>
    <row r="16" spans="1:34" ht="93.75" x14ac:dyDescent="0.3">
      <c r="A16" s="217" t="s">
        <v>315</v>
      </c>
      <c r="B16" s="198">
        <f t="shared" ref="B16:I16" si="5">B17</f>
        <v>55.7</v>
      </c>
      <c r="C16" s="218">
        <f t="shared" si="5"/>
        <v>55.7</v>
      </c>
      <c r="D16" s="218">
        <f>D17</f>
        <v>55.65</v>
      </c>
      <c r="E16" s="198">
        <f t="shared" si="5"/>
        <v>55.65</v>
      </c>
      <c r="F16" s="219">
        <f>F17</f>
        <v>99.910233393177734</v>
      </c>
      <c r="G16" s="219">
        <f>G17</f>
        <v>99.910233393177734</v>
      </c>
      <c r="H16" s="198">
        <f>H17</f>
        <v>55.7</v>
      </c>
      <c r="I16" s="198">
        <f t="shared" si="5"/>
        <v>55.65</v>
      </c>
      <c r="J16" s="198">
        <f>J17</f>
        <v>0</v>
      </c>
      <c r="K16" s="219">
        <f>K17</f>
        <v>0</v>
      </c>
      <c r="L16" s="198">
        <f>L17</f>
        <v>0</v>
      </c>
      <c r="M16" s="198">
        <f t="shared" ref="M16:AE16" si="6">M17</f>
        <v>0</v>
      </c>
      <c r="N16" s="198">
        <f t="shared" si="6"/>
        <v>0</v>
      </c>
      <c r="O16" s="198">
        <f t="shared" si="6"/>
        <v>0</v>
      </c>
      <c r="P16" s="198">
        <f t="shared" si="6"/>
        <v>0</v>
      </c>
      <c r="Q16" s="198">
        <f t="shared" si="6"/>
        <v>0</v>
      </c>
      <c r="R16" s="198">
        <f t="shared" si="6"/>
        <v>0</v>
      </c>
      <c r="S16" s="198">
        <f t="shared" si="6"/>
        <v>0</v>
      </c>
      <c r="T16" s="198">
        <f t="shared" si="6"/>
        <v>0</v>
      </c>
      <c r="U16" s="198">
        <f t="shared" si="6"/>
        <v>0</v>
      </c>
      <c r="V16" s="198">
        <f t="shared" si="6"/>
        <v>0</v>
      </c>
      <c r="W16" s="198">
        <f t="shared" si="6"/>
        <v>0</v>
      </c>
      <c r="X16" s="198">
        <f t="shared" si="6"/>
        <v>0</v>
      </c>
      <c r="Y16" s="198">
        <f t="shared" si="6"/>
        <v>0</v>
      </c>
      <c r="Z16" s="198">
        <f t="shared" si="6"/>
        <v>0</v>
      </c>
      <c r="AA16" s="198">
        <f t="shared" si="6"/>
        <v>0</v>
      </c>
      <c r="AB16" s="198">
        <f t="shared" si="6"/>
        <v>0</v>
      </c>
      <c r="AC16" s="198">
        <f t="shared" si="6"/>
        <v>0</v>
      </c>
      <c r="AD16" s="198">
        <f t="shared" si="6"/>
        <v>0</v>
      </c>
      <c r="AE16" s="198">
        <f t="shared" si="6"/>
        <v>0</v>
      </c>
      <c r="AF16" s="195"/>
      <c r="AG16" s="175">
        <f t="shared" si="4"/>
        <v>0</v>
      </c>
      <c r="AH16" s="654">
        <f t="shared" ref="AH16:AH31" si="7">C16-E16</f>
        <v>5.0000000000004263E-2</v>
      </c>
    </row>
    <row r="17" spans="1:34" s="177" customFormat="1" x14ac:dyDescent="0.3">
      <c r="A17" s="221" t="s">
        <v>31</v>
      </c>
      <c r="B17" s="197">
        <f t="shared" ref="B17:I17" si="8">B18+B19+B20+B21</f>
        <v>55.7</v>
      </c>
      <c r="C17" s="197">
        <f t="shared" si="8"/>
        <v>55.7</v>
      </c>
      <c r="D17" s="197">
        <f t="shared" si="8"/>
        <v>55.65</v>
      </c>
      <c r="E17" s="197">
        <f t="shared" si="8"/>
        <v>55.65</v>
      </c>
      <c r="F17" s="198">
        <f t="shared" si="8"/>
        <v>99.910233393177734</v>
      </c>
      <c r="G17" s="198">
        <f t="shared" si="8"/>
        <v>99.910233393177734</v>
      </c>
      <c r="H17" s="198">
        <f t="shared" si="8"/>
        <v>55.7</v>
      </c>
      <c r="I17" s="198">
        <f t="shared" si="8"/>
        <v>55.65</v>
      </c>
      <c r="J17" s="198">
        <f t="shared" ref="J17:AE17" si="9">J18+J19+J20+J21</f>
        <v>0</v>
      </c>
      <c r="K17" s="198">
        <f t="shared" si="9"/>
        <v>0</v>
      </c>
      <c r="L17" s="198">
        <f t="shared" si="9"/>
        <v>0</v>
      </c>
      <c r="M17" s="198">
        <f t="shared" si="9"/>
        <v>0</v>
      </c>
      <c r="N17" s="198">
        <f t="shared" si="9"/>
        <v>0</v>
      </c>
      <c r="O17" s="198">
        <f t="shared" si="9"/>
        <v>0</v>
      </c>
      <c r="P17" s="198">
        <f t="shared" si="9"/>
        <v>0</v>
      </c>
      <c r="Q17" s="198">
        <f t="shared" si="9"/>
        <v>0</v>
      </c>
      <c r="R17" s="198">
        <f t="shared" si="9"/>
        <v>0</v>
      </c>
      <c r="S17" s="198">
        <f t="shared" si="9"/>
        <v>0</v>
      </c>
      <c r="T17" s="198">
        <f t="shared" si="9"/>
        <v>0</v>
      </c>
      <c r="U17" s="198">
        <f t="shared" si="9"/>
        <v>0</v>
      </c>
      <c r="V17" s="198">
        <f t="shared" si="9"/>
        <v>0</v>
      </c>
      <c r="W17" s="198">
        <f t="shared" si="9"/>
        <v>0</v>
      </c>
      <c r="X17" s="198">
        <f t="shared" si="9"/>
        <v>0</v>
      </c>
      <c r="Y17" s="198">
        <f t="shared" si="9"/>
        <v>0</v>
      </c>
      <c r="Z17" s="198">
        <f t="shared" si="9"/>
        <v>0</v>
      </c>
      <c r="AA17" s="198">
        <f t="shared" si="9"/>
        <v>0</v>
      </c>
      <c r="AB17" s="198">
        <f t="shared" si="9"/>
        <v>0</v>
      </c>
      <c r="AC17" s="198">
        <f t="shared" si="9"/>
        <v>0</v>
      </c>
      <c r="AD17" s="198">
        <f t="shared" si="9"/>
        <v>0</v>
      </c>
      <c r="AE17" s="198">
        <f t="shared" si="9"/>
        <v>0</v>
      </c>
      <c r="AF17" s="195"/>
      <c r="AG17" s="175">
        <f t="shared" si="4"/>
        <v>0</v>
      </c>
      <c r="AH17" s="654">
        <f t="shared" si="7"/>
        <v>5.0000000000004263E-2</v>
      </c>
    </row>
    <row r="18" spans="1:34" x14ac:dyDescent="0.3">
      <c r="A18" s="222" t="s">
        <v>169</v>
      </c>
      <c r="B18" s="193">
        <f>H18+J18+L18+N18+P18+R18+T18+V18+X18+Z18+AB18+AD18</f>
        <v>0</v>
      </c>
      <c r="C18" s="223">
        <f>H18+J18</f>
        <v>0</v>
      </c>
      <c r="D18" s="223">
        <f>I18</f>
        <v>0</v>
      </c>
      <c r="E18" s="193">
        <v>0</v>
      </c>
      <c r="F18" s="224">
        <v>0</v>
      </c>
      <c r="G18" s="193">
        <v>0</v>
      </c>
      <c r="H18" s="193">
        <v>0</v>
      </c>
      <c r="I18" s="193">
        <v>0</v>
      </c>
      <c r="J18" s="193">
        <v>0</v>
      </c>
      <c r="K18" s="193">
        <v>0</v>
      </c>
      <c r="L18" s="193">
        <v>0</v>
      </c>
      <c r="M18" s="193">
        <v>0</v>
      </c>
      <c r="N18" s="193">
        <v>0</v>
      </c>
      <c r="O18" s="193">
        <v>0</v>
      </c>
      <c r="P18" s="193">
        <v>0</v>
      </c>
      <c r="Q18" s="193">
        <v>0</v>
      </c>
      <c r="R18" s="193">
        <v>0</v>
      </c>
      <c r="S18" s="193">
        <v>0</v>
      </c>
      <c r="T18" s="193">
        <v>0</v>
      </c>
      <c r="U18" s="193">
        <v>0</v>
      </c>
      <c r="V18" s="193">
        <v>0</v>
      </c>
      <c r="W18" s="193">
        <v>0</v>
      </c>
      <c r="X18" s="193">
        <v>0</v>
      </c>
      <c r="Y18" s="193">
        <v>0</v>
      </c>
      <c r="Z18" s="193">
        <v>0</v>
      </c>
      <c r="AA18" s="193">
        <v>0</v>
      </c>
      <c r="AB18" s="193">
        <v>0</v>
      </c>
      <c r="AC18" s="193">
        <v>0</v>
      </c>
      <c r="AD18" s="193">
        <v>0</v>
      </c>
      <c r="AE18" s="193">
        <v>0</v>
      </c>
      <c r="AF18" s="225"/>
      <c r="AG18" s="175">
        <f t="shared" si="4"/>
        <v>0</v>
      </c>
      <c r="AH18" s="654">
        <f t="shared" si="7"/>
        <v>0</v>
      </c>
    </row>
    <row r="19" spans="1:34" x14ac:dyDescent="0.3">
      <c r="A19" s="222" t="s">
        <v>32</v>
      </c>
      <c r="B19" s="193">
        <f>H19+J19+L19+N19+P19+R19+T19+V19+X19+Z19+AB19+AD19</f>
        <v>0</v>
      </c>
      <c r="C19" s="223">
        <f>H19+J19</f>
        <v>0</v>
      </c>
      <c r="D19" s="223">
        <f>I19</f>
        <v>0</v>
      </c>
      <c r="E19" s="193">
        <v>0</v>
      </c>
      <c r="F19" s="224">
        <v>0</v>
      </c>
      <c r="G19" s="193">
        <v>0</v>
      </c>
      <c r="H19" s="193">
        <v>0</v>
      </c>
      <c r="I19" s="193">
        <v>0</v>
      </c>
      <c r="J19" s="193">
        <v>0</v>
      </c>
      <c r="K19" s="193">
        <v>0</v>
      </c>
      <c r="L19" s="193">
        <v>0</v>
      </c>
      <c r="M19" s="193">
        <v>0</v>
      </c>
      <c r="N19" s="193">
        <v>0</v>
      </c>
      <c r="O19" s="193">
        <v>0</v>
      </c>
      <c r="P19" s="193">
        <v>0</v>
      </c>
      <c r="Q19" s="193">
        <v>0</v>
      </c>
      <c r="R19" s="193">
        <v>0</v>
      </c>
      <c r="S19" s="193">
        <v>0</v>
      </c>
      <c r="T19" s="193">
        <v>0</v>
      </c>
      <c r="U19" s="193">
        <v>0</v>
      </c>
      <c r="V19" s="193">
        <v>0</v>
      </c>
      <c r="W19" s="193">
        <v>0</v>
      </c>
      <c r="X19" s="193">
        <v>0</v>
      </c>
      <c r="Y19" s="193">
        <v>0</v>
      </c>
      <c r="Z19" s="193">
        <v>0</v>
      </c>
      <c r="AA19" s="193">
        <v>0</v>
      </c>
      <c r="AB19" s="193">
        <v>0</v>
      </c>
      <c r="AC19" s="193">
        <v>0</v>
      </c>
      <c r="AD19" s="193">
        <v>0</v>
      </c>
      <c r="AE19" s="193">
        <v>0</v>
      </c>
      <c r="AF19" s="225"/>
      <c r="AG19" s="175">
        <f t="shared" si="4"/>
        <v>0</v>
      </c>
      <c r="AH19" s="654">
        <f t="shared" si="7"/>
        <v>0</v>
      </c>
    </row>
    <row r="20" spans="1:34" x14ac:dyDescent="0.3">
      <c r="A20" s="222" t="s">
        <v>33</v>
      </c>
      <c r="B20" s="193">
        <f>H20+J20+L20+N20+P20+R20+T20+V20+X20+Z20+AB20+AD20</f>
        <v>55.7</v>
      </c>
      <c r="C20" s="223">
        <f>H20+J20</f>
        <v>55.7</v>
      </c>
      <c r="D20" s="223">
        <f>I20+K20</f>
        <v>55.65</v>
      </c>
      <c r="E20" s="224">
        <f>I20+K20</f>
        <v>55.65</v>
      </c>
      <c r="F20" s="224">
        <f>E20/B20*100</f>
        <v>99.910233393177734</v>
      </c>
      <c r="G20" s="224">
        <f>E20/C20*100</f>
        <v>99.910233393177734</v>
      </c>
      <c r="H20" s="193">
        <v>55.7</v>
      </c>
      <c r="I20" s="193">
        <v>55.65</v>
      </c>
      <c r="J20" s="193">
        <v>0</v>
      </c>
      <c r="K20" s="193">
        <v>0</v>
      </c>
      <c r="L20" s="193">
        <v>0</v>
      </c>
      <c r="M20" s="193">
        <v>0</v>
      </c>
      <c r="N20" s="193">
        <v>0</v>
      </c>
      <c r="O20" s="193">
        <v>0</v>
      </c>
      <c r="P20" s="193">
        <v>0</v>
      </c>
      <c r="Q20" s="193">
        <v>0</v>
      </c>
      <c r="R20" s="193">
        <v>0</v>
      </c>
      <c r="S20" s="193">
        <v>0</v>
      </c>
      <c r="T20" s="193">
        <v>0</v>
      </c>
      <c r="U20" s="193">
        <v>0</v>
      </c>
      <c r="V20" s="193">
        <v>0</v>
      </c>
      <c r="W20" s="193">
        <v>0</v>
      </c>
      <c r="X20" s="193">
        <v>0</v>
      </c>
      <c r="Y20" s="193">
        <v>0</v>
      </c>
      <c r="Z20" s="193">
        <v>0</v>
      </c>
      <c r="AA20" s="193">
        <v>0</v>
      </c>
      <c r="AB20" s="193">
        <v>0</v>
      </c>
      <c r="AC20" s="193">
        <v>0</v>
      </c>
      <c r="AD20" s="193">
        <v>0</v>
      </c>
      <c r="AE20" s="193">
        <v>0</v>
      </c>
      <c r="AF20" s="225"/>
      <c r="AG20" s="175">
        <f t="shared" si="4"/>
        <v>0</v>
      </c>
      <c r="AH20" s="654">
        <f t="shared" si="7"/>
        <v>5.0000000000004263E-2</v>
      </c>
    </row>
    <row r="21" spans="1:34" x14ac:dyDescent="0.3">
      <c r="A21" s="222" t="s">
        <v>221</v>
      </c>
      <c r="B21" s="193">
        <f>H21+J21+L21+N21+P21+R21+T21+V21+X21+Z21+AB21+AD21</f>
        <v>0</v>
      </c>
      <c r="C21" s="223">
        <f>H21+J21</f>
        <v>0</v>
      </c>
      <c r="D21" s="223">
        <f>I21</f>
        <v>0</v>
      </c>
      <c r="E21" s="193">
        <v>0</v>
      </c>
      <c r="F21" s="224">
        <v>0</v>
      </c>
      <c r="G21" s="193">
        <v>0</v>
      </c>
      <c r="H21" s="193">
        <v>0</v>
      </c>
      <c r="I21" s="193">
        <v>0</v>
      </c>
      <c r="J21" s="193">
        <v>0</v>
      </c>
      <c r="K21" s="193">
        <v>0</v>
      </c>
      <c r="L21" s="193">
        <v>0</v>
      </c>
      <c r="M21" s="193">
        <v>0</v>
      </c>
      <c r="N21" s="193">
        <v>0</v>
      </c>
      <c r="O21" s="193">
        <v>0</v>
      </c>
      <c r="P21" s="193">
        <v>0</v>
      </c>
      <c r="Q21" s="193">
        <v>0</v>
      </c>
      <c r="R21" s="193">
        <v>0</v>
      </c>
      <c r="S21" s="193">
        <v>0</v>
      </c>
      <c r="T21" s="193">
        <v>0</v>
      </c>
      <c r="U21" s="193">
        <v>0</v>
      </c>
      <c r="V21" s="193">
        <v>0</v>
      </c>
      <c r="W21" s="193">
        <v>0</v>
      </c>
      <c r="X21" s="193">
        <v>0</v>
      </c>
      <c r="Y21" s="193">
        <v>0</v>
      </c>
      <c r="Z21" s="193">
        <v>0</v>
      </c>
      <c r="AA21" s="193">
        <v>0</v>
      </c>
      <c r="AB21" s="193">
        <v>0</v>
      </c>
      <c r="AC21" s="193">
        <v>0</v>
      </c>
      <c r="AD21" s="193">
        <v>0</v>
      </c>
      <c r="AE21" s="193">
        <v>0</v>
      </c>
      <c r="AF21" s="225"/>
      <c r="AG21" s="175">
        <f t="shared" si="4"/>
        <v>0</v>
      </c>
      <c r="AH21" s="654">
        <f t="shared" si="7"/>
        <v>0</v>
      </c>
    </row>
    <row r="22" spans="1:34" s="177" customFormat="1" x14ac:dyDescent="0.3">
      <c r="A22" s="148" t="s">
        <v>233</v>
      </c>
      <c r="B22" s="206">
        <f t="shared" ref="B22:G22" si="10">B23+B24+B25+B26</f>
        <v>55704.19</v>
      </c>
      <c r="C22" s="206">
        <f t="shared" si="10"/>
        <v>28606.98</v>
      </c>
      <c r="D22" s="206">
        <f t="shared" si="10"/>
        <v>26069.59</v>
      </c>
      <c r="E22" s="206">
        <f t="shared" si="10"/>
        <v>26069.59</v>
      </c>
      <c r="F22" s="206">
        <f t="shared" si="10"/>
        <v>46.800052204331486</v>
      </c>
      <c r="G22" s="206">
        <f t="shared" si="10"/>
        <v>91.130171727319691</v>
      </c>
      <c r="H22" s="206">
        <f t="shared" ref="H22:AE22" si="11">H23+H24+H25+H26</f>
        <v>7258.8899999999994</v>
      </c>
      <c r="I22" s="206">
        <f t="shared" si="11"/>
        <v>4150.3499999999995</v>
      </c>
      <c r="J22" s="206">
        <f t="shared" si="11"/>
        <v>3409</v>
      </c>
      <c r="K22" s="206">
        <f t="shared" si="11"/>
        <v>4844.8900000000003</v>
      </c>
      <c r="L22" s="206">
        <f t="shared" si="11"/>
        <v>3344.3</v>
      </c>
      <c r="M22" s="206">
        <f t="shared" si="11"/>
        <v>3569.98</v>
      </c>
      <c r="N22" s="206">
        <f t="shared" si="11"/>
        <v>5012.5</v>
      </c>
      <c r="O22" s="206">
        <f t="shared" si="11"/>
        <v>3332.26</v>
      </c>
      <c r="P22" s="206">
        <f t="shared" si="11"/>
        <v>4749.29</v>
      </c>
      <c r="Q22" s="206">
        <f t="shared" si="11"/>
        <v>5408.95</v>
      </c>
      <c r="R22" s="206">
        <f t="shared" si="11"/>
        <v>4833</v>
      </c>
      <c r="S22" s="206">
        <f t="shared" si="11"/>
        <v>4763.16</v>
      </c>
      <c r="T22" s="206">
        <f t="shared" si="11"/>
        <v>5228.58</v>
      </c>
      <c r="U22" s="206">
        <f t="shared" si="11"/>
        <v>0</v>
      </c>
      <c r="V22" s="206">
        <f t="shared" si="11"/>
        <v>4550</v>
      </c>
      <c r="W22" s="206">
        <f t="shared" si="11"/>
        <v>0</v>
      </c>
      <c r="X22" s="206">
        <f t="shared" si="11"/>
        <v>3777.8</v>
      </c>
      <c r="Y22" s="206">
        <f t="shared" si="11"/>
        <v>0</v>
      </c>
      <c r="Z22" s="206">
        <f t="shared" si="11"/>
        <v>4299.1000000000004</v>
      </c>
      <c r="AA22" s="206">
        <f t="shared" si="11"/>
        <v>0</v>
      </c>
      <c r="AB22" s="206">
        <f t="shared" si="11"/>
        <v>3308</v>
      </c>
      <c r="AC22" s="206">
        <f t="shared" si="11"/>
        <v>0</v>
      </c>
      <c r="AD22" s="206">
        <f t="shared" si="11"/>
        <v>5933.73</v>
      </c>
      <c r="AE22" s="206">
        <f t="shared" si="11"/>
        <v>0</v>
      </c>
      <c r="AF22" s="207"/>
      <c r="AG22" s="175">
        <f t="shared" si="4"/>
        <v>0</v>
      </c>
      <c r="AH22" s="654">
        <f t="shared" si="7"/>
        <v>2537.3899999999994</v>
      </c>
    </row>
    <row r="23" spans="1:34" s="177" customFormat="1" x14ac:dyDescent="0.3">
      <c r="A23" s="150" t="s">
        <v>169</v>
      </c>
      <c r="B23" s="208">
        <f>B12+B18</f>
        <v>0</v>
      </c>
      <c r="C23" s="208">
        <f>C12+C18</f>
        <v>0</v>
      </c>
      <c r="D23" s="208">
        <f>D12+D18</f>
        <v>0</v>
      </c>
      <c r="E23" s="208">
        <f>E12+E18</f>
        <v>0</v>
      </c>
      <c r="F23" s="208">
        <f t="shared" ref="F23:AE23" si="12">F12+F18</f>
        <v>0</v>
      </c>
      <c r="G23" s="208">
        <f t="shared" si="12"/>
        <v>0</v>
      </c>
      <c r="H23" s="208">
        <f t="shared" si="12"/>
        <v>0</v>
      </c>
      <c r="I23" s="208">
        <f t="shared" si="12"/>
        <v>0</v>
      </c>
      <c r="J23" s="208">
        <f t="shared" si="12"/>
        <v>0</v>
      </c>
      <c r="K23" s="208">
        <f t="shared" si="12"/>
        <v>0</v>
      </c>
      <c r="L23" s="208">
        <f t="shared" si="12"/>
        <v>0</v>
      </c>
      <c r="M23" s="208">
        <f t="shared" si="12"/>
        <v>0</v>
      </c>
      <c r="N23" s="208">
        <f t="shared" si="12"/>
        <v>0</v>
      </c>
      <c r="O23" s="208">
        <f t="shared" si="12"/>
        <v>0</v>
      </c>
      <c r="P23" s="208">
        <f t="shared" si="12"/>
        <v>0</v>
      </c>
      <c r="Q23" s="208">
        <f t="shared" si="12"/>
        <v>0</v>
      </c>
      <c r="R23" s="208">
        <f t="shared" si="12"/>
        <v>0</v>
      </c>
      <c r="S23" s="208">
        <f t="shared" si="12"/>
        <v>0</v>
      </c>
      <c r="T23" s="208">
        <f t="shared" si="12"/>
        <v>0</v>
      </c>
      <c r="U23" s="208">
        <f t="shared" si="12"/>
        <v>0</v>
      </c>
      <c r="V23" s="208">
        <f t="shared" si="12"/>
        <v>0</v>
      </c>
      <c r="W23" s="208">
        <f t="shared" si="12"/>
        <v>0</v>
      </c>
      <c r="X23" s="208">
        <f t="shared" si="12"/>
        <v>0</v>
      </c>
      <c r="Y23" s="208">
        <f t="shared" si="12"/>
        <v>0</v>
      </c>
      <c r="Z23" s="208">
        <f t="shared" si="12"/>
        <v>0</v>
      </c>
      <c r="AA23" s="208">
        <f t="shared" si="12"/>
        <v>0</v>
      </c>
      <c r="AB23" s="208">
        <f t="shared" si="12"/>
        <v>0</v>
      </c>
      <c r="AC23" s="208">
        <f t="shared" si="12"/>
        <v>0</v>
      </c>
      <c r="AD23" s="208">
        <f t="shared" si="12"/>
        <v>0</v>
      </c>
      <c r="AE23" s="208">
        <f t="shared" si="12"/>
        <v>0</v>
      </c>
      <c r="AF23" s="209"/>
      <c r="AG23" s="175">
        <f t="shared" si="4"/>
        <v>0</v>
      </c>
      <c r="AH23" s="654">
        <f t="shared" si="7"/>
        <v>0</v>
      </c>
    </row>
    <row r="24" spans="1:34" s="177" customFormat="1" x14ac:dyDescent="0.3">
      <c r="A24" s="150" t="s">
        <v>32</v>
      </c>
      <c r="B24" s="208">
        <f t="shared" ref="B24:E26" si="13">B13+B19</f>
        <v>0</v>
      </c>
      <c r="C24" s="208">
        <f t="shared" si="13"/>
        <v>0</v>
      </c>
      <c r="D24" s="208">
        <f t="shared" si="13"/>
        <v>0</v>
      </c>
      <c r="E24" s="208">
        <f>E13+E19</f>
        <v>0</v>
      </c>
      <c r="F24" s="208">
        <f t="shared" ref="F24:AE24" si="14">F13+F19</f>
        <v>0</v>
      </c>
      <c r="G24" s="208">
        <f t="shared" si="14"/>
        <v>0</v>
      </c>
      <c r="H24" s="208">
        <f t="shared" si="14"/>
        <v>0</v>
      </c>
      <c r="I24" s="208">
        <f t="shared" si="14"/>
        <v>0</v>
      </c>
      <c r="J24" s="208">
        <f t="shared" si="14"/>
        <v>0</v>
      </c>
      <c r="K24" s="208">
        <f t="shared" si="14"/>
        <v>0</v>
      </c>
      <c r="L24" s="208">
        <f t="shared" si="14"/>
        <v>0</v>
      </c>
      <c r="M24" s="208">
        <f t="shared" si="14"/>
        <v>0</v>
      </c>
      <c r="N24" s="208">
        <f t="shared" si="14"/>
        <v>0</v>
      </c>
      <c r="O24" s="208">
        <f t="shared" si="14"/>
        <v>0</v>
      </c>
      <c r="P24" s="208">
        <f t="shared" si="14"/>
        <v>0</v>
      </c>
      <c r="Q24" s="208">
        <f t="shared" si="14"/>
        <v>0</v>
      </c>
      <c r="R24" s="208">
        <f t="shared" si="14"/>
        <v>0</v>
      </c>
      <c r="S24" s="208">
        <f t="shared" si="14"/>
        <v>0</v>
      </c>
      <c r="T24" s="208">
        <f t="shared" si="14"/>
        <v>0</v>
      </c>
      <c r="U24" s="208">
        <f t="shared" si="14"/>
        <v>0</v>
      </c>
      <c r="V24" s="208">
        <f t="shared" si="14"/>
        <v>0</v>
      </c>
      <c r="W24" s="208">
        <f t="shared" si="14"/>
        <v>0</v>
      </c>
      <c r="X24" s="208">
        <f t="shared" si="14"/>
        <v>0</v>
      </c>
      <c r="Y24" s="208">
        <f t="shared" si="14"/>
        <v>0</v>
      </c>
      <c r="Z24" s="208">
        <f t="shared" si="14"/>
        <v>0</v>
      </c>
      <c r="AA24" s="208">
        <f t="shared" si="14"/>
        <v>0</v>
      </c>
      <c r="AB24" s="208">
        <f t="shared" si="14"/>
        <v>0</v>
      </c>
      <c r="AC24" s="208">
        <f t="shared" si="14"/>
        <v>0</v>
      </c>
      <c r="AD24" s="208">
        <f t="shared" si="14"/>
        <v>0</v>
      </c>
      <c r="AE24" s="208">
        <f t="shared" si="14"/>
        <v>0</v>
      </c>
      <c r="AF24" s="210"/>
      <c r="AG24" s="175">
        <f t="shared" si="4"/>
        <v>0</v>
      </c>
      <c r="AH24" s="654">
        <f t="shared" si="7"/>
        <v>0</v>
      </c>
    </row>
    <row r="25" spans="1:34" s="177" customFormat="1" x14ac:dyDescent="0.3">
      <c r="A25" s="150" t="s">
        <v>33</v>
      </c>
      <c r="B25" s="208">
        <f>B14+B20</f>
        <v>55704.19</v>
      </c>
      <c r="C25" s="208">
        <f t="shared" si="13"/>
        <v>28606.98</v>
      </c>
      <c r="D25" s="208">
        <f t="shared" si="13"/>
        <v>26069.59</v>
      </c>
      <c r="E25" s="208">
        <f t="shared" si="13"/>
        <v>26069.59</v>
      </c>
      <c r="F25" s="208">
        <f>E25/B25*100</f>
        <v>46.800052204331486</v>
      </c>
      <c r="G25" s="208">
        <f>E25/C25*100</f>
        <v>91.130171727319691</v>
      </c>
      <c r="H25" s="208">
        <f t="shared" ref="H25:AE26" si="15">H14+H20</f>
        <v>7258.8899999999994</v>
      </c>
      <c r="I25" s="208">
        <f t="shared" si="15"/>
        <v>4150.3499999999995</v>
      </c>
      <c r="J25" s="208">
        <f t="shared" si="15"/>
        <v>3409</v>
      </c>
      <c r="K25" s="208">
        <f t="shared" si="15"/>
        <v>4844.8900000000003</v>
      </c>
      <c r="L25" s="208">
        <f t="shared" si="15"/>
        <v>3344.3</v>
      </c>
      <c r="M25" s="208">
        <f t="shared" si="15"/>
        <v>3569.98</v>
      </c>
      <c r="N25" s="208">
        <f t="shared" si="15"/>
        <v>5012.5</v>
      </c>
      <c r="O25" s="208">
        <f t="shared" si="15"/>
        <v>3332.26</v>
      </c>
      <c r="P25" s="208">
        <f t="shared" si="15"/>
        <v>4749.29</v>
      </c>
      <c r="Q25" s="208">
        <f t="shared" si="15"/>
        <v>5408.95</v>
      </c>
      <c r="R25" s="208">
        <f>R14+R20</f>
        <v>4833</v>
      </c>
      <c r="S25" s="208">
        <f t="shared" si="15"/>
        <v>4763.16</v>
      </c>
      <c r="T25" s="208">
        <f t="shared" si="15"/>
        <v>5228.58</v>
      </c>
      <c r="U25" s="208">
        <f t="shared" si="15"/>
        <v>0</v>
      </c>
      <c r="V25" s="208">
        <f t="shared" si="15"/>
        <v>4550</v>
      </c>
      <c r="W25" s="208">
        <f t="shared" si="15"/>
        <v>0</v>
      </c>
      <c r="X25" s="208">
        <f t="shared" si="15"/>
        <v>3777.8</v>
      </c>
      <c r="Y25" s="208">
        <f t="shared" si="15"/>
        <v>0</v>
      </c>
      <c r="Z25" s="208">
        <f t="shared" si="15"/>
        <v>4299.1000000000004</v>
      </c>
      <c r="AA25" s="208">
        <f t="shared" si="15"/>
        <v>0</v>
      </c>
      <c r="AB25" s="208">
        <f t="shared" si="15"/>
        <v>3308</v>
      </c>
      <c r="AC25" s="208">
        <f t="shared" si="15"/>
        <v>0</v>
      </c>
      <c r="AD25" s="208">
        <f t="shared" si="15"/>
        <v>5933.73</v>
      </c>
      <c r="AE25" s="208">
        <f t="shared" si="15"/>
        <v>0</v>
      </c>
      <c r="AF25" s="210"/>
      <c r="AG25" s="175">
        <f t="shared" si="4"/>
        <v>0</v>
      </c>
      <c r="AH25" s="654">
        <f t="shared" si="7"/>
        <v>2537.3899999999994</v>
      </c>
    </row>
    <row r="26" spans="1:34" s="177" customFormat="1" x14ac:dyDescent="0.3">
      <c r="A26" s="152" t="s">
        <v>221</v>
      </c>
      <c r="B26" s="208">
        <f t="shared" si="13"/>
        <v>0</v>
      </c>
      <c r="C26" s="208">
        <f t="shared" si="13"/>
        <v>0</v>
      </c>
      <c r="D26" s="208">
        <f>D15+D21</f>
        <v>0</v>
      </c>
      <c r="E26" s="208">
        <f>E15+E21</f>
        <v>0</v>
      </c>
      <c r="F26" s="208">
        <f>F21+F15</f>
        <v>0</v>
      </c>
      <c r="G26" s="208">
        <f>G21+G15</f>
        <v>0</v>
      </c>
      <c r="H26" s="208">
        <f t="shared" si="15"/>
        <v>0</v>
      </c>
      <c r="I26" s="208">
        <f>I15+I21</f>
        <v>0</v>
      </c>
      <c r="J26" s="208">
        <f t="shared" si="15"/>
        <v>0</v>
      </c>
      <c r="K26" s="208">
        <f t="shared" si="15"/>
        <v>0</v>
      </c>
      <c r="L26" s="208">
        <f t="shared" si="15"/>
        <v>0</v>
      </c>
      <c r="M26" s="208">
        <f t="shared" si="15"/>
        <v>0</v>
      </c>
      <c r="N26" s="208">
        <f t="shared" si="15"/>
        <v>0</v>
      </c>
      <c r="O26" s="208">
        <f t="shared" si="15"/>
        <v>0</v>
      </c>
      <c r="P26" s="208">
        <f t="shared" si="15"/>
        <v>0</v>
      </c>
      <c r="Q26" s="208">
        <f t="shared" si="15"/>
        <v>0</v>
      </c>
      <c r="R26" s="208">
        <f t="shared" si="15"/>
        <v>0</v>
      </c>
      <c r="S26" s="208">
        <f t="shared" si="15"/>
        <v>0</v>
      </c>
      <c r="T26" s="208">
        <f t="shared" si="15"/>
        <v>0</v>
      </c>
      <c r="U26" s="208">
        <f t="shared" si="15"/>
        <v>0</v>
      </c>
      <c r="V26" s="208">
        <f t="shared" si="15"/>
        <v>0</v>
      </c>
      <c r="W26" s="208">
        <f t="shared" si="15"/>
        <v>0</v>
      </c>
      <c r="X26" s="208">
        <f t="shared" si="15"/>
        <v>0</v>
      </c>
      <c r="Y26" s="208">
        <f t="shared" si="15"/>
        <v>0</v>
      </c>
      <c r="Z26" s="208">
        <f t="shared" si="15"/>
        <v>0</v>
      </c>
      <c r="AA26" s="208">
        <f t="shared" si="15"/>
        <v>0</v>
      </c>
      <c r="AB26" s="208">
        <f t="shared" si="15"/>
        <v>0</v>
      </c>
      <c r="AC26" s="208">
        <f t="shared" si="15"/>
        <v>0</v>
      </c>
      <c r="AD26" s="208">
        <f t="shared" si="15"/>
        <v>0</v>
      </c>
      <c r="AE26" s="208">
        <f t="shared" si="15"/>
        <v>0</v>
      </c>
      <c r="AF26" s="210"/>
      <c r="AG26" s="175">
        <f t="shared" si="4"/>
        <v>0</v>
      </c>
      <c r="AH26" s="654">
        <f t="shared" si="7"/>
        <v>0</v>
      </c>
    </row>
    <row r="27" spans="1:34" s="177" customFormat="1" ht="37.5" x14ac:dyDescent="0.3">
      <c r="A27" s="148" t="s">
        <v>64</v>
      </c>
      <c r="B27" s="206">
        <f>B22</f>
        <v>55704.19</v>
      </c>
      <c r="C27" s="206">
        <f t="shared" ref="C27:AE27" si="16">C22</f>
        <v>28606.98</v>
      </c>
      <c r="D27" s="206">
        <f t="shared" si="16"/>
        <v>26069.59</v>
      </c>
      <c r="E27" s="206">
        <f t="shared" si="16"/>
        <v>26069.59</v>
      </c>
      <c r="F27" s="206">
        <f t="shared" si="16"/>
        <v>46.800052204331486</v>
      </c>
      <c r="G27" s="206">
        <f t="shared" si="16"/>
        <v>91.130171727319691</v>
      </c>
      <c r="H27" s="206">
        <f t="shared" si="16"/>
        <v>7258.8899999999994</v>
      </c>
      <c r="I27" s="206">
        <f t="shared" si="16"/>
        <v>4150.3499999999995</v>
      </c>
      <c r="J27" s="206">
        <f t="shared" si="16"/>
        <v>3409</v>
      </c>
      <c r="K27" s="206">
        <f t="shared" si="16"/>
        <v>4844.8900000000003</v>
      </c>
      <c r="L27" s="206">
        <f t="shared" si="16"/>
        <v>3344.3</v>
      </c>
      <c r="M27" s="206">
        <f t="shared" si="16"/>
        <v>3569.98</v>
      </c>
      <c r="N27" s="206">
        <f t="shared" si="16"/>
        <v>5012.5</v>
      </c>
      <c r="O27" s="206">
        <f t="shared" si="16"/>
        <v>3332.26</v>
      </c>
      <c r="P27" s="206">
        <f t="shared" si="16"/>
        <v>4749.29</v>
      </c>
      <c r="Q27" s="206">
        <f t="shared" si="16"/>
        <v>5408.95</v>
      </c>
      <c r="R27" s="206">
        <f t="shared" si="16"/>
        <v>4833</v>
      </c>
      <c r="S27" s="206">
        <f t="shared" si="16"/>
        <v>4763.16</v>
      </c>
      <c r="T27" s="206">
        <f t="shared" si="16"/>
        <v>5228.58</v>
      </c>
      <c r="U27" s="206">
        <f t="shared" si="16"/>
        <v>0</v>
      </c>
      <c r="V27" s="206">
        <f t="shared" si="16"/>
        <v>4550</v>
      </c>
      <c r="W27" s="206">
        <f t="shared" si="16"/>
        <v>0</v>
      </c>
      <c r="X27" s="206">
        <f t="shared" si="16"/>
        <v>3777.8</v>
      </c>
      <c r="Y27" s="206">
        <f t="shared" si="16"/>
        <v>0</v>
      </c>
      <c r="Z27" s="206">
        <f t="shared" si="16"/>
        <v>4299.1000000000004</v>
      </c>
      <c r="AA27" s="206">
        <f t="shared" si="16"/>
        <v>0</v>
      </c>
      <c r="AB27" s="206">
        <f t="shared" si="16"/>
        <v>3308</v>
      </c>
      <c r="AC27" s="206">
        <f t="shared" si="16"/>
        <v>0</v>
      </c>
      <c r="AD27" s="206">
        <f>AD22</f>
        <v>5933.73</v>
      </c>
      <c r="AE27" s="206">
        <f t="shared" si="16"/>
        <v>0</v>
      </c>
      <c r="AF27" s="207"/>
      <c r="AG27" s="175">
        <f t="shared" si="4"/>
        <v>0</v>
      </c>
      <c r="AH27" s="654">
        <f t="shared" si="7"/>
        <v>2537.3899999999994</v>
      </c>
    </row>
    <row r="28" spans="1:34" s="177" customFormat="1" x14ac:dyDescent="0.3">
      <c r="A28" s="150" t="s">
        <v>169</v>
      </c>
      <c r="B28" s="208">
        <f>B12+B18</f>
        <v>0</v>
      </c>
      <c r="C28" s="208">
        <f>C12+C18</f>
        <v>0</v>
      </c>
      <c r="D28" s="208">
        <f>D12+D18</f>
        <v>0</v>
      </c>
      <c r="E28" s="208">
        <f>E12+E18</f>
        <v>0</v>
      </c>
      <c r="F28" s="208">
        <f>IFERROR(E28/B28*100,0)</f>
        <v>0</v>
      </c>
      <c r="G28" s="208">
        <f>IFERROR(E28/C28*100,0)</f>
        <v>0</v>
      </c>
      <c r="H28" s="208">
        <f t="shared" ref="H28:AE31" si="17">H12+H18</f>
        <v>0</v>
      </c>
      <c r="I28" s="208">
        <f t="shared" si="17"/>
        <v>0</v>
      </c>
      <c r="J28" s="208">
        <f t="shared" si="17"/>
        <v>0</v>
      </c>
      <c r="K28" s="208">
        <f t="shared" si="17"/>
        <v>0</v>
      </c>
      <c r="L28" s="208">
        <f t="shared" si="17"/>
        <v>0</v>
      </c>
      <c r="M28" s="208">
        <f t="shared" si="17"/>
        <v>0</v>
      </c>
      <c r="N28" s="208">
        <f t="shared" si="17"/>
        <v>0</v>
      </c>
      <c r="O28" s="208">
        <f t="shared" si="17"/>
        <v>0</v>
      </c>
      <c r="P28" s="208">
        <f t="shared" si="17"/>
        <v>0</v>
      </c>
      <c r="Q28" s="208">
        <f t="shared" si="17"/>
        <v>0</v>
      </c>
      <c r="R28" s="208">
        <f t="shared" si="17"/>
        <v>0</v>
      </c>
      <c r="S28" s="208">
        <f t="shared" si="17"/>
        <v>0</v>
      </c>
      <c r="T28" s="208">
        <f t="shared" si="17"/>
        <v>0</v>
      </c>
      <c r="U28" s="208">
        <f t="shared" si="17"/>
        <v>0</v>
      </c>
      <c r="V28" s="208">
        <f t="shared" si="17"/>
        <v>0</v>
      </c>
      <c r="W28" s="208">
        <f t="shared" si="17"/>
        <v>0</v>
      </c>
      <c r="X28" s="208">
        <f t="shared" si="17"/>
        <v>0</v>
      </c>
      <c r="Y28" s="208">
        <f t="shared" si="17"/>
        <v>0</v>
      </c>
      <c r="Z28" s="208">
        <f t="shared" si="17"/>
        <v>0</v>
      </c>
      <c r="AA28" s="208">
        <f t="shared" si="17"/>
        <v>0</v>
      </c>
      <c r="AB28" s="208">
        <f t="shared" si="17"/>
        <v>0</v>
      </c>
      <c r="AC28" s="208">
        <f t="shared" si="17"/>
        <v>0</v>
      </c>
      <c r="AD28" s="208">
        <f t="shared" si="17"/>
        <v>0</v>
      </c>
      <c r="AE28" s="208">
        <f t="shared" si="17"/>
        <v>0</v>
      </c>
      <c r="AF28" s="209"/>
      <c r="AG28" s="175">
        <f t="shared" si="4"/>
        <v>0</v>
      </c>
      <c r="AH28" s="654">
        <f t="shared" si="7"/>
        <v>0</v>
      </c>
    </row>
    <row r="29" spans="1:34" s="177" customFormat="1" x14ac:dyDescent="0.3">
      <c r="A29" s="150" t="s">
        <v>32</v>
      </c>
      <c r="B29" s="208">
        <f t="shared" ref="B29:E31" si="18">B13+B19</f>
        <v>0</v>
      </c>
      <c r="C29" s="208">
        <f t="shared" si="18"/>
        <v>0</v>
      </c>
      <c r="D29" s="208">
        <f t="shared" si="18"/>
        <v>0</v>
      </c>
      <c r="E29" s="208">
        <f t="shared" si="18"/>
        <v>0</v>
      </c>
      <c r="F29" s="208">
        <f>IFERROR(E29/B29*100,0)</f>
        <v>0</v>
      </c>
      <c r="G29" s="208">
        <f>IFERROR(E29/C29*100,0)</f>
        <v>0</v>
      </c>
      <c r="H29" s="208">
        <f t="shared" si="17"/>
        <v>0</v>
      </c>
      <c r="I29" s="208">
        <f t="shared" si="17"/>
        <v>0</v>
      </c>
      <c r="J29" s="208">
        <f t="shared" si="17"/>
        <v>0</v>
      </c>
      <c r="K29" s="208">
        <f t="shared" si="17"/>
        <v>0</v>
      </c>
      <c r="L29" s="208">
        <f t="shared" si="17"/>
        <v>0</v>
      </c>
      <c r="M29" s="208">
        <f t="shared" si="17"/>
        <v>0</v>
      </c>
      <c r="N29" s="208">
        <f t="shared" si="17"/>
        <v>0</v>
      </c>
      <c r="O29" s="208">
        <f t="shared" si="17"/>
        <v>0</v>
      </c>
      <c r="P29" s="208">
        <f t="shared" si="17"/>
        <v>0</v>
      </c>
      <c r="Q29" s="208">
        <f t="shared" si="17"/>
        <v>0</v>
      </c>
      <c r="R29" s="208">
        <f t="shared" si="17"/>
        <v>0</v>
      </c>
      <c r="S29" s="208">
        <f t="shared" si="17"/>
        <v>0</v>
      </c>
      <c r="T29" s="208">
        <f t="shared" si="17"/>
        <v>0</v>
      </c>
      <c r="U29" s="208">
        <f t="shared" si="17"/>
        <v>0</v>
      </c>
      <c r="V29" s="208">
        <f t="shared" si="17"/>
        <v>0</v>
      </c>
      <c r="W29" s="208">
        <f t="shared" si="17"/>
        <v>0</v>
      </c>
      <c r="X29" s="208">
        <f t="shared" si="17"/>
        <v>0</v>
      </c>
      <c r="Y29" s="208">
        <f t="shared" si="17"/>
        <v>0</v>
      </c>
      <c r="Z29" s="208">
        <f t="shared" si="17"/>
        <v>0</v>
      </c>
      <c r="AA29" s="208">
        <f t="shared" si="17"/>
        <v>0</v>
      </c>
      <c r="AB29" s="208">
        <f t="shared" si="17"/>
        <v>0</v>
      </c>
      <c r="AC29" s="208">
        <f t="shared" si="17"/>
        <v>0</v>
      </c>
      <c r="AD29" s="208">
        <f t="shared" si="17"/>
        <v>0</v>
      </c>
      <c r="AE29" s="208">
        <f t="shared" si="17"/>
        <v>0</v>
      </c>
      <c r="AF29" s="210"/>
      <c r="AG29" s="175">
        <f t="shared" si="4"/>
        <v>0</v>
      </c>
      <c r="AH29" s="654">
        <f t="shared" si="7"/>
        <v>0</v>
      </c>
    </row>
    <row r="30" spans="1:34" s="177" customFormat="1" x14ac:dyDescent="0.3">
      <c r="A30" s="150" t="s">
        <v>33</v>
      </c>
      <c r="B30" s="208">
        <f>B25</f>
        <v>55704.19</v>
      </c>
      <c r="C30" s="208">
        <f>C25</f>
        <v>28606.98</v>
      </c>
      <c r="D30" s="208">
        <f>D25</f>
        <v>26069.59</v>
      </c>
      <c r="E30" s="208">
        <f t="shared" ref="E30:AE30" si="19">E25</f>
        <v>26069.59</v>
      </c>
      <c r="F30" s="208">
        <f t="shared" si="19"/>
        <v>46.800052204331486</v>
      </c>
      <c r="G30" s="208">
        <f t="shared" si="19"/>
        <v>91.130171727319691</v>
      </c>
      <c r="H30" s="208">
        <f t="shared" si="19"/>
        <v>7258.8899999999994</v>
      </c>
      <c r="I30" s="208">
        <f t="shared" si="19"/>
        <v>4150.3499999999995</v>
      </c>
      <c r="J30" s="208">
        <f t="shared" si="19"/>
        <v>3409</v>
      </c>
      <c r="K30" s="208">
        <f t="shared" si="19"/>
        <v>4844.8900000000003</v>
      </c>
      <c r="L30" s="208">
        <f t="shared" si="19"/>
        <v>3344.3</v>
      </c>
      <c r="M30" s="208">
        <f t="shared" si="19"/>
        <v>3569.98</v>
      </c>
      <c r="N30" s="208">
        <f t="shared" si="19"/>
        <v>5012.5</v>
      </c>
      <c r="O30" s="208">
        <f t="shared" si="19"/>
        <v>3332.26</v>
      </c>
      <c r="P30" s="208">
        <f t="shared" si="19"/>
        <v>4749.29</v>
      </c>
      <c r="Q30" s="208">
        <f t="shared" si="19"/>
        <v>5408.95</v>
      </c>
      <c r="R30" s="208">
        <f t="shared" si="19"/>
        <v>4833</v>
      </c>
      <c r="S30" s="208">
        <f t="shared" si="19"/>
        <v>4763.16</v>
      </c>
      <c r="T30" s="208">
        <f t="shared" si="19"/>
        <v>5228.58</v>
      </c>
      <c r="U30" s="208">
        <f t="shared" si="19"/>
        <v>0</v>
      </c>
      <c r="V30" s="208">
        <f t="shared" si="19"/>
        <v>4550</v>
      </c>
      <c r="W30" s="208">
        <f t="shared" si="19"/>
        <v>0</v>
      </c>
      <c r="X30" s="208">
        <f t="shared" si="19"/>
        <v>3777.8</v>
      </c>
      <c r="Y30" s="208">
        <f t="shared" si="19"/>
        <v>0</v>
      </c>
      <c r="Z30" s="208">
        <f t="shared" si="19"/>
        <v>4299.1000000000004</v>
      </c>
      <c r="AA30" s="208">
        <f t="shared" si="19"/>
        <v>0</v>
      </c>
      <c r="AB30" s="208">
        <f t="shared" si="19"/>
        <v>3308</v>
      </c>
      <c r="AC30" s="208">
        <f t="shared" si="19"/>
        <v>0</v>
      </c>
      <c r="AD30" s="208">
        <f t="shared" si="19"/>
        <v>5933.73</v>
      </c>
      <c r="AE30" s="208">
        <f t="shared" si="19"/>
        <v>0</v>
      </c>
      <c r="AF30" s="210"/>
      <c r="AG30" s="175">
        <f t="shared" si="4"/>
        <v>0</v>
      </c>
      <c r="AH30" s="654">
        <f t="shared" si="7"/>
        <v>2537.3899999999994</v>
      </c>
    </row>
    <row r="31" spans="1:34" s="177" customFormat="1" x14ac:dyDescent="0.3">
      <c r="A31" s="152" t="s">
        <v>221</v>
      </c>
      <c r="B31" s="208">
        <f t="shared" si="18"/>
        <v>0</v>
      </c>
      <c r="C31" s="208">
        <f t="shared" si="18"/>
        <v>0</v>
      </c>
      <c r="D31" s="208">
        <f t="shared" si="18"/>
        <v>0</v>
      </c>
      <c r="E31" s="208">
        <f>E15+E21</f>
        <v>0</v>
      </c>
      <c r="F31" s="208">
        <f>F15+F21</f>
        <v>0</v>
      </c>
      <c r="G31" s="208">
        <f>G15+G21</f>
        <v>0</v>
      </c>
      <c r="H31" s="208">
        <f t="shared" si="17"/>
        <v>0</v>
      </c>
      <c r="I31" s="208">
        <f t="shared" si="17"/>
        <v>0</v>
      </c>
      <c r="J31" s="208">
        <f t="shared" si="17"/>
        <v>0</v>
      </c>
      <c r="K31" s="208">
        <f t="shared" si="17"/>
        <v>0</v>
      </c>
      <c r="L31" s="208">
        <f t="shared" si="17"/>
        <v>0</v>
      </c>
      <c r="M31" s="208">
        <f t="shared" si="17"/>
        <v>0</v>
      </c>
      <c r="N31" s="208">
        <f t="shared" si="17"/>
        <v>0</v>
      </c>
      <c r="O31" s="208">
        <f t="shared" si="17"/>
        <v>0</v>
      </c>
      <c r="P31" s="208">
        <f t="shared" si="17"/>
        <v>0</v>
      </c>
      <c r="Q31" s="208">
        <f t="shared" si="17"/>
        <v>0</v>
      </c>
      <c r="R31" s="208">
        <f t="shared" si="17"/>
        <v>0</v>
      </c>
      <c r="S31" s="208">
        <f t="shared" si="17"/>
        <v>0</v>
      </c>
      <c r="T31" s="208">
        <f t="shared" si="17"/>
        <v>0</v>
      </c>
      <c r="U31" s="208">
        <f t="shared" si="17"/>
        <v>0</v>
      </c>
      <c r="V31" s="208">
        <f t="shared" si="17"/>
        <v>0</v>
      </c>
      <c r="W31" s="208">
        <f t="shared" si="17"/>
        <v>0</v>
      </c>
      <c r="X31" s="208">
        <f t="shared" si="17"/>
        <v>0</v>
      </c>
      <c r="Y31" s="208">
        <f t="shared" si="17"/>
        <v>0</v>
      </c>
      <c r="Z31" s="208">
        <f t="shared" si="17"/>
        <v>0</v>
      </c>
      <c r="AA31" s="208">
        <f t="shared" si="17"/>
        <v>0</v>
      </c>
      <c r="AB31" s="208">
        <f t="shared" si="17"/>
        <v>0</v>
      </c>
      <c r="AC31" s="208">
        <f t="shared" si="17"/>
        <v>0</v>
      </c>
      <c r="AD31" s="208">
        <f t="shared" si="17"/>
        <v>0</v>
      </c>
      <c r="AE31" s="208">
        <f t="shared" si="17"/>
        <v>0</v>
      </c>
      <c r="AF31" s="210"/>
      <c r="AG31" s="175">
        <f t="shared" si="4"/>
        <v>0</v>
      </c>
      <c r="AH31" s="654">
        <f t="shared" si="7"/>
        <v>0</v>
      </c>
    </row>
    <row r="32" spans="1:34" s="159" customFormat="1" x14ac:dyDescent="0.3">
      <c r="B32" s="175"/>
      <c r="C32" s="175"/>
      <c r="D32" s="175"/>
      <c r="E32" s="175"/>
      <c r="F32" s="175"/>
      <c r="G32" s="175"/>
      <c r="H32" s="175"/>
      <c r="I32" s="175"/>
      <c r="J32" s="175"/>
      <c r="K32" s="175"/>
      <c r="L32" s="175"/>
      <c r="M32" s="175"/>
      <c r="N32" s="175"/>
      <c r="O32" s="175"/>
      <c r="P32" s="175"/>
      <c r="Q32" s="175"/>
      <c r="R32" s="175"/>
      <c r="S32" s="175"/>
      <c r="T32" s="175"/>
      <c r="U32" s="175"/>
      <c r="V32" s="175"/>
      <c r="W32" s="175"/>
      <c r="X32" s="175"/>
      <c r="Y32" s="175"/>
      <c r="Z32" s="175"/>
      <c r="AA32" s="175"/>
      <c r="AB32" s="175"/>
      <c r="AC32" s="175"/>
      <c r="AD32" s="175"/>
      <c r="AE32" s="175"/>
      <c r="AG32" s="175"/>
    </row>
    <row r="33" spans="1:40" s="514" customFormat="1" ht="15.75" x14ac:dyDescent="0.25">
      <c r="A33" s="517" t="s">
        <v>467</v>
      </c>
      <c r="B33" s="517"/>
      <c r="C33" s="517"/>
      <c r="D33" s="517"/>
      <c r="E33" s="517"/>
      <c r="F33" s="517"/>
      <c r="G33" s="517"/>
      <c r="H33" s="517"/>
      <c r="I33" s="517"/>
      <c r="J33" s="517"/>
      <c r="K33" s="517"/>
      <c r="L33" s="517"/>
      <c r="M33" s="517"/>
      <c r="P33" s="513"/>
      <c r="Q33" s="513"/>
      <c r="R33" s="513"/>
      <c r="S33" s="513"/>
      <c r="V33" s="515"/>
      <c r="W33" s="515"/>
      <c r="AF33" s="513"/>
      <c r="AG33" s="513"/>
      <c r="AH33" s="513"/>
      <c r="AI33" s="513"/>
      <c r="AJ33" s="513"/>
      <c r="AK33" s="513"/>
      <c r="AL33" s="513"/>
      <c r="AM33" s="513"/>
      <c r="AN33" s="516"/>
    </row>
    <row r="34" spans="1:40" s="514" customFormat="1" ht="15.75" x14ac:dyDescent="0.25">
      <c r="A34" s="517" t="s">
        <v>468</v>
      </c>
      <c r="B34" s="518" t="s">
        <v>469</v>
      </c>
      <c r="C34" s="518" t="s">
        <v>470</v>
      </c>
      <c r="D34" s="696"/>
      <c r="E34" s="518"/>
      <c r="F34" s="518"/>
      <c r="G34" s="518"/>
      <c r="H34" s="519"/>
      <c r="I34" s="519"/>
      <c r="J34" s="519"/>
      <c r="K34" s="519"/>
      <c r="L34" s="513"/>
      <c r="M34" s="513"/>
      <c r="N34" s="513"/>
      <c r="O34" s="513"/>
      <c r="P34" s="513"/>
      <c r="Q34" s="513"/>
      <c r="R34" s="513"/>
      <c r="S34" s="513"/>
      <c r="V34" s="515"/>
      <c r="W34" s="515"/>
      <c r="AF34" s="513"/>
      <c r="AG34" s="513"/>
      <c r="AH34" s="513"/>
      <c r="AI34" s="513"/>
      <c r="AJ34" s="513"/>
      <c r="AK34" s="513"/>
      <c r="AL34" s="513"/>
      <c r="AM34" s="513"/>
      <c r="AN34" s="516"/>
    </row>
    <row r="35" spans="1:40" s="514" customFormat="1" ht="15.75" x14ac:dyDescent="0.25">
      <c r="A35" s="516"/>
      <c r="H35" s="513"/>
      <c r="I35" s="513"/>
      <c r="J35" s="513"/>
      <c r="K35" s="513"/>
      <c r="L35" s="513"/>
      <c r="M35" s="513"/>
      <c r="N35" s="513"/>
      <c r="O35" s="513"/>
      <c r="P35" s="513"/>
      <c r="Q35" s="513"/>
      <c r="R35" s="513"/>
      <c r="S35" s="513"/>
      <c r="V35" s="515"/>
      <c r="W35" s="515"/>
      <c r="AF35" s="513"/>
      <c r="AG35" s="513"/>
      <c r="AH35" s="513"/>
      <c r="AI35" s="513"/>
      <c r="AJ35" s="513"/>
      <c r="AK35" s="513"/>
      <c r="AL35" s="513"/>
      <c r="AM35" s="513"/>
      <c r="AN35" s="516"/>
    </row>
    <row r="36" spans="1:40" s="514" customFormat="1" ht="15.75" x14ac:dyDescent="0.25">
      <c r="A36" s="517" t="s">
        <v>471</v>
      </c>
      <c r="B36" s="517"/>
      <c r="C36" s="517"/>
      <c r="D36" s="517"/>
      <c r="E36" s="517"/>
      <c r="F36" s="517"/>
      <c r="G36" s="517"/>
      <c r="H36" s="517"/>
      <c r="I36" s="517"/>
      <c r="J36" s="517"/>
      <c r="K36" s="517"/>
      <c r="L36" s="517"/>
      <c r="M36" s="517"/>
      <c r="N36" s="517"/>
      <c r="O36" s="517"/>
      <c r="P36" s="513"/>
      <c r="Q36" s="513"/>
      <c r="R36" s="513"/>
      <c r="S36" s="513"/>
      <c r="V36" s="515"/>
      <c r="W36" s="515"/>
      <c r="AF36" s="513"/>
      <c r="AG36" s="513"/>
      <c r="AH36" s="513"/>
      <c r="AI36" s="513"/>
      <c r="AJ36" s="513"/>
      <c r="AK36" s="513"/>
      <c r="AL36" s="513"/>
      <c r="AM36" s="513"/>
      <c r="AN36" s="516"/>
    </row>
    <row r="37" spans="1:40" x14ac:dyDescent="0.3">
      <c r="B37" s="155"/>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c r="AA37" s="155"/>
      <c r="AB37" s="155"/>
      <c r="AC37" s="155"/>
      <c r="AD37" s="155"/>
      <c r="AE37" s="155"/>
    </row>
    <row r="86" spans="6:7" x14ac:dyDescent="0.3">
      <c r="F86" s="10">
        <v>0</v>
      </c>
      <c r="G86" s="10" t="e">
        <f>E86/C86*100</f>
        <v>#DIV/0!</v>
      </c>
    </row>
    <row r="89" spans="6:7" x14ac:dyDescent="0.3">
      <c r="F89" s="10">
        <v>0</v>
      </c>
      <c r="G89" s="10">
        <v>0</v>
      </c>
    </row>
  </sheetData>
  <customSheetViews>
    <customSheetView guid="{7C130984-112A-4861-AA43-E2940708E3DC}" scale="70" state="hidden">
      <pane xSplit="2" ySplit="9" topLeftCell="C16" activePane="bottomRight" state="frozen"/>
      <selection pane="bottomRight" activeCell="E31" sqref="E31"/>
      <pageMargins left="0.7" right="0.7" top="0.75" bottom="0.75" header="0.3" footer="0.3"/>
      <pageSetup paperSize="9" orientation="portrait" r:id="rId1"/>
    </customSheetView>
    <customSheetView guid="{4F41B9CC-959D-442C-80B0-1F0DB2C76D27}" scale="70">
      <pane xSplit="2" ySplit="8" topLeftCell="C16" activePane="bottomRight" state="frozen"/>
      <selection pane="bottomRight" activeCell="E31" sqref="E31"/>
      <pageMargins left="0.7" right="0.7" top="0.75" bottom="0.75" header="0.3" footer="0.3"/>
      <pageSetup paperSize="9" orientation="portrait" r:id="rId2"/>
    </customSheetView>
    <customSheetView guid="{391AB76E-B386-49C1-800F-016A48AA1A46}" scale="70">
      <pane xSplit="2" ySplit="9" topLeftCell="C16" activePane="bottomRight" state="frozen"/>
      <selection pane="bottomRight" activeCell="E31" sqref="E31"/>
      <pageMargins left="0.7" right="0.7" top="0.75" bottom="0.75" header="0.3" footer="0.3"/>
      <pageSetup paperSize="9" orientation="portrait" r:id="rId3"/>
    </customSheetView>
    <customSheetView guid="{D01FA037-9AEC-4167-ADB8-2F327C01ECE6}" scale="70">
      <pane xSplit="2" ySplit="9" topLeftCell="C16" activePane="bottomRight" state="frozen"/>
      <selection pane="bottomRight" activeCell="E31" sqref="E31"/>
      <pageMargins left="0.7" right="0.7" top="0.75" bottom="0.75" header="0.3" footer="0.3"/>
      <pageSetup paperSize="9" orientation="portrait" r:id="rId4"/>
    </customSheetView>
    <customSheetView guid="{6A602CB8-B24C-4ED4-B378-B27354BE0A1A}" scale="70">
      <pane xSplit="2" ySplit="9" topLeftCell="C16" activePane="bottomRight" state="frozen"/>
      <selection pane="bottomRight" activeCell="E31" sqref="E31"/>
      <pageMargins left="0.7" right="0.7" top="0.75" bottom="0.75" header="0.3" footer="0.3"/>
      <pageSetup paperSize="9" orientation="portrait" r:id="rId5"/>
    </customSheetView>
    <customSheetView guid="{DAA8A688-7558-4B5B-8DBD-E2629BD9E9A8}" scale="70">
      <pane xSplit="2" ySplit="9" topLeftCell="C13" activePane="bottomRight" state="frozen"/>
      <selection pane="bottomRight" activeCell="D14" sqref="D14"/>
      <pageMargins left="0.7" right="0.7" top="0.75" bottom="0.75" header="0.3" footer="0.3"/>
      <pageSetup paperSize="9" orientation="portrait" r:id="rId6"/>
    </customSheetView>
    <customSheetView guid="{0C2B9C2A-7B94-41EF-A2E6-F8AC9A67DE25}" scale="70">
      <pane xSplit="2" ySplit="9" topLeftCell="C13" activePane="bottomRight" state="frozen"/>
      <selection pane="bottomRight" activeCell="D14" sqref="D14"/>
      <pageMargins left="0.7" right="0.7" top="0.75" bottom="0.75" header="0.3" footer="0.3"/>
      <pageSetup paperSize="9" orientation="portrait" r:id="rId7"/>
    </customSheetView>
    <customSheetView guid="{87218168-6C8E-4D5B-A5E5-DCCC26803AA3}" scale="55">
      <pane xSplit="2" ySplit="9" topLeftCell="C10" activePane="bottomRight" state="frozen"/>
      <selection pane="bottomRight" activeCell="B23" sqref="B23"/>
      <pageMargins left="0.7" right="0.7" top="0.75" bottom="0.75" header="0.3" footer="0.3"/>
      <pageSetup paperSize="9" orientation="portrait" r:id="rId8"/>
    </customSheetView>
    <customSheetView guid="{533DC55B-6AD4-4674-9488-685EF2039F3E}" scale="90">
      <pane xSplit="2" ySplit="9" topLeftCell="C10" activePane="bottomRight" state="frozen"/>
      <selection pane="bottomRight" activeCell="D16" sqref="D16"/>
      <pageMargins left="0.7" right="0.7" top="0.75" bottom="0.75" header="0.3" footer="0.3"/>
      <pageSetup paperSize="9" orientation="portrait" r:id="rId9"/>
    </customSheetView>
    <customSheetView guid="{69DABE6F-6182-4403-A4A2-969F10F1C13A}" scale="90">
      <pane xSplit="2" ySplit="9" topLeftCell="C10" activePane="bottomRight" state="frozen"/>
      <selection pane="bottomRight" activeCell="D16" sqref="D16"/>
      <pageMargins left="0.7" right="0.7" top="0.75" bottom="0.75" header="0.3" footer="0.3"/>
      <pageSetup paperSize="9" orientation="portrait" r:id="rId10"/>
    </customSheetView>
    <customSheetView guid="{84867370-1F3E-4368-AF79-FBCE46FFFE92}" scale="90">
      <pane xSplit="2" ySplit="9" topLeftCell="C10" activePane="bottomRight" state="frozen"/>
      <selection pane="bottomRight" activeCell="D16" sqref="D16"/>
      <pageMargins left="0.7" right="0.7" top="0.75" bottom="0.75" header="0.3" footer="0.3"/>
      <pageSetup paperSize="9" orientation="portrait" r:id="rId11"/>
    </customSheetView>
    <customSheetView guid="{47B983AB-FE5F-4725-860C-A2F29420596D}" scale="90">
      <pane xSplit="2" ySplit="9" topLeftCell="C10" activePane="bottomRight" state="frozen"/>
      <selection pane="bottomRight" activeCell="D16" sqref="D16"/>
      <pageMargins left="0.7" right="0.7" top="0.75" bottom="0.75" header="0.3" footer="0.3"/>
      <pageSetup paperSize="9" orientation="portrait" r:id="rId12"/>
    </customSheetView>
    <customSheetView guid="{959E901C-5DDE-42EE-AE94-AB8976B5E00B}" scale="90">
      <pane xSplit="2" ySplit="9" topLeftCell="C10" activePane="bottomRight" state="frozen"/>
      <selection pane="bottomRight" activeCell="D16" sqref="D16"/>
      <pageMargins left="0.7" right="0.7" top="0.75" bottom="0.75" header="0.3" footer="0.3"/>
      <pageSetup paperSize="9" orientation="portrait" r:id="rId13"/>
    </customSheetView>
    <customSheetView guid="{F679EF4A-C5FD-4B86-B87B-D85968E0F2CA}" scale="90">
      <pane xSplit="2" ySplit="9" topLeftCell="C10" activePane="bottomRight" state="frozen"/>
      <selection pane="bottomRight" activeCell="D16" sqref="D16"/>
      <pageMargins left="0.7" right="0.7" top="0.75" bottom="0.75" header="0.3" footer="0.3"/>
      <pageSetup paperSize="9" orientation="portrait" r:id="rId14"/>
    </customSheetView>
    <customSheetView guid="{009B3074-D8EC-4952-BF50-43CD64449612}" scale="90">
      <pane xSplit="2" ySplit="9" topLeftCell="G28" activePane="bottomRight" state="frozen"/>
      <selection pane="bottomRight" activeCell="I30" activeCellId="2" sqref="M30 K30 I30"/>
      <pageMargins left="0.7" right="0.7" top="0.75" bottom="0.75" header="0.3" footer="0.3"/>
      <pageSetup paperSize="9" orientation="portrait" r:id="rId15"/>
    </customSheetView>
    <customSheetView guid="{770624BF-07F3-44B6-94C3-4CC447CDD45C}" scale="90">
      <pane xSplit="2" ySplit="9" topLeftCell="W19" activePane="bottomRight" state="frozen"/>
      <selection pane="bottomRight" activeCell="AI16" sqref="AI16"/>
      <pageMargins left="0.7" right="0.7" top="0.75" bottom="0.75" header="0.3" footer="0.3"/>
      <pageSetup paperSize="9" orientation="portrait" r:id="rId16"/>
    </customSheetView>
    <customSheetView guid="{B82BA08A-1A30-4F4D-A478-74A6BD09EA97}" scale="70">
      <pane xSplit="2" ySplit="9" topLeftCell="C10" activePane="bottomRight" state="frozen"/>
      <selection pane="bottomRight" activeCell="I20" sqref="I20"/>
      <pageMargins left="0.7" right="0.7" top="0.75" bottom="0.75" header="0.3" footer="0.3"/>
      <pageSetup paperSize="9" orientation="portrait" r:id="rId17"/>
    </customSheetView>
    <customSheetView guid="{874882D1-E741-4CCA-BF0D-E72FA60B771D}" scale="70">
      <pane xSplit="2" ySplit="9" topLeftCell="C25" activePane="bottomRight" state="frozen"/>
      <selection pane="bottomRight" activeCell="A27" sqref="A27"/>
      <pageMargins left="0.7" right="0.7" top="0.75" bottom="0.75" header="0.3" footer="0.3"/>
      <pageSetup paperSize="9" orientation="portrait" r:id="rId18"/>
    </customSheetView>
    <customSheetView guid="{C236B307-BD63-48C4-A75F-B3F3717BF55C}" scale="70">
      <pane xSplit="2" ySplit="9" topLeftCell="C25" activePane="bottomRight" state="frozen"/>
      <selection pane="bottomRight" activeCell="A27" sqref="A27"/>
      <pageMargins left="0.7" right="0.7" top="0.75" bottom="0.75" header="0.3" footer="0.3"/>
      <pageSetup paperSize="9" orientation="portrait" r:id="rId19"/>
    </customSheetView>
    <customSheetView guid="{BCD82A82-B724-4763-8580-D765356E09BA}" scale="70">
      <pane xSplit="2" ySplit="9" topLeftCell="C10" activePane="bottomRight" state="frozen"/>
      <selection pane="bottomRight" activeCell="A4" sqref="A4:AD4"/>
      <pageMargins left="0.7" right="0.7" top="0.75" bottom="0.75" header="0.3" footer="0.3"/>
      <pageSetup paperSize="9" orientation="portrait" r:id="rId20"/>
    </customSheetView>
    <customSheetView guid="{B1BF08D1-D416-4B47-ADD0-4F59132DC9E8}" scale="90">
      <pane xSplit="2" ySplit="9" topLeftCell="C10" activePane="bottomRight" state="frozen"/>
      <selection pane="bottomRight" activeCell="D16" sqref="D16"/>
      <pageMargins left="0.7" right="0.7" top="0.75" bottom="0.75" header="0.3" footer="0.3"/>
      <pageSetup paperSize="9" orientation="portrait" r:id="rId21"/>
    </customSheetView>
    <customSheetView guid="{85F4575B-DBC5-482A-9916-255D8F0BC94E}" scale="90">
      <pane xSplit="2" ySplit="9" topLeftCell="C10" activePane="bottomRight" state="frozen"/>
      <selection pane="bottomRight" activeCell="D16" sqref="D16"/>
      <pageMargins left="0.7" right="0.7" top="0.75" bottom="0.75" header="0.3" footer="0.3"/>
      <pageSetup paperSize="9" orientation="portrait" r:id="rId22"/>
    </customSheetView>
    <customSheetView guid="{74870EE6-26B9-40F7-9DC9-260EF16D8959}" scale="55">
      <pane xSplit="2" ySplit="9" topLeftCell="C10" activePane="bottomRight" state="frozen"/>
      <selection pane="bottomRight" activeCell="B23" sqref="B23"/>
      <pageMargins left="0.7" right="0.7" top="0.75" bottom="0.75" header="0.3" footer="0.3"/>
      <pageSetup paperSize="9" orientation="portrait" r:id="rId23"/>
    </customSheetView>
    <customSheetView guid="{E508E171-4ED9-4B07-84DF-DA28C60E1969}" scale="55">
      <pane xSplit="2" ySplit="9" topLeftCell="C10" activePane="bottomRight" state="frozen"/>
      <selection pane="bottomRight" activeCell="B23" sqref="B23"/>
      <pageMargins left="0.7" right="0.7" top="0.75" bottom="0.75" header="0.3" footer="0.3"/>
      <pageSetup paperSize="9" orientation="portrait" r:id="rId24"/>
    </customSheetView>
    <customSheetView guid="{4D0DFB57-2CBA-42F2-9A97-C453A6851FBA}" scale="70">
      <pane xSplit="2" ySplit="9" topLeftCell="O10" activePane="bottomRight" state="frozen"/>
      <selection pane="bottomRight" activeCell="AF15" sqref="AF15"/>
      <pageMargins left="0.7" right="0.7" top="0.75" bottom="0.75" header="0.3" footer="0.3"/>
      <pageSetup paperSize="9" orientation="portrait" r:id="rId25"/>
    </customSheetView>
    <customSheetView guid="{CE1CCA00-200D-4EAA-9FBE-F8EE7C5F82FE}" scale="70">
      <pane xSplit="2" ySplit="9" topLeftCell="C10" activePane="bottomRight" state="frozen"/>
      <selection pane="bottomRight" activeCell="A14" sqref="A14"/>
      <pageMargins left="0.7" right="0.7" top="0.75" bottom="0.75" header="0.3" footer="0.3"/>
      <pageSetup paperSize="9" orientation="portrait" r:id="rId26"/>
    </customSheetView>
    <customSheetView guid="{442F2C94-DD1B-4A01-8694-513D4D6F3BD9}" scale="70">
      <pane xSplit="2" ySplit="9" topLeftCell="C10" activePane="bottomRight" state="frozen"/>
      <selection pane="bottomRight" activeCell="A14" sqref="A14"/>
      <pageMargins left="0.7" right="0.7" top="0.75" bottom="0.75" header="0.3" footer="0.3"/>
      <pageSetup paperSize="9" orientation="portrait" r:id="rId27"/>
    </customSheetView>
    <customSheetView guid="{AC2D5927-4079-4C74-AF69-1BFAC505648F}" scale="70">
      <pane xSplit="2" ySplit="9" topLeftCell="C16" activePane="bottomRight" state="frozen"/>
      <selection pane="bottomRight" activeCell="E31" sqref="E31"/>
      <pageMargins left="0.7" right="0.7" top="0.75" bottom="0.75" header="0.3" footer="0.3"/>
      <pageSetup paperSize="9" orientation="portrait" r:id="rId28"/>
    </customSheetView>
    <customSheetView guid="{602C8EDB-B9EF-4C85-B0D5-0558C3A0ABAB}" scale="70">
      <pane xSplit="2" ySplit="9" topLeftCell="C16" activePane="bottomRight" state="frozen"/>
      <selection pane="bottomRight" activeCell="E31" sqref="E31"/>
      <pageMargins left="0.7" right="0.7" top="0.75" bottom="0.75" header="0.3" footer="0.3"/>
      <pageSetup paperSize="9" orientation="portrait" r:id="rId29"/>
    </customSheetView>
    <customSheetView guid="{09C3E205-981E-4A4E-BE89-8B7044192060}" scale="70">
      <pane xSplit="2" ySplit="9" topLeftCell="C16" activePane="bottomRight" state="frozen"/>
      <selection pane="bottomRight" activeCell="E31" sqref="E31"/>
      <pageMargins left="0.7" right="0.7" top="0.75" bottom="0.75" header="0.3" footer="0.3"/>
      <pageSetup paperSize="9" orientation="portrait" r:id="rId30"/>
    </customSheetView>
  </customSheetViews>
  <mergeCells count="21">
    <mergeCell ref="Z6:AA6"/>
    <mergeCell ref="AB6:AC6"/>
    <mergeCell ref="AD6:AE6"/>
    <mergeCell ref="AF6:AF7"/>
    <mergeCell ref="A9:AF9"/>
    <mergeCell ref="N6:O6"/>
    <mergeCell ref="P6:Q6"/>
    <mergeCell ref="R6:S6"/>
    <mergeCell ref="T6:U6"/>
    <mergeCell ref="V6:W6"/>
    <mergeCell ref="X6:Y6"/>
    <mergeCell ref="A6:A7"/>
    <mergeCell ref="F6:G6"/>
    <mergeCell ref="H6:I6"/>
    <mergeCell ref="J6:K6"/>
    <mergeCell ref="L6:M6"/>
    <mergeCell ref="A1:AD1"/>
    <mergeCell ref="A2:AD2"/>
    <mergeCell ref="A3:AD3"/>
    <mergeCell ref="A4:AD4"/>
    <mergeCell ref="AB5:AD5"/>
  </mergeCells>
  <hyperlinks>
    <hyperlink ref="A4:AD4" location="Оглавление!A1" display="Комплексный план (сетевой график) по реализации муниципальной программы &quot;Управление муниципальными финансами в городе Когалыме&quot;"/>
  </hyperlinks>
  <pageMargins left="0.7" right="0.7" top="0.75" bottom="0.75" header="0.3" footer="0.3"/>
  <pageSetup paperSize="9" orientation="portrait" r:id="rId3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customSheetViews>
    <customSheetView guid="{7C130984-112A-4861-AA43-E2940708E3DC}" state="hidden">
      <pageMargins left="0.7" right="0.7" top="0.75" bottom="0.75" header="0.3" footer="0.3"/>
    </customSheetView>
    <customSheetView guid="{4F41B9CC-959D-442C-80B0-1F0DB2C76D27}" state="hidden">
      <pageMargins left="0.7" right="0.7" top="0.75" bottom="0.75" header="0.3" footer="0.3"/>
    </customSheetView>
    <customSheetView guid="{391AB76E-B386-49C1-800F-016A48AA1A46}" state="hidden">
      <pageMargins left="0.7" right="0.7" top="0.75" bottom="0.75" header="0.3" footer="0.3"/>
    </customSheetView>
    <customSheetView guid="{D01FA037-9AEC-4167-ADB8-2F327C01ECE6}" state="hidden">
      <pageMargins left="0.7" right="0.7" top="0.75" bottom="0.75" header="0.3" footer="0.3"/>
    </customSheetView>
    <customSheetView guid="{6A602CB8-B24C-4ED4-B378-B27354BE0A1A}" state="hidden">
      <pageMargins left="0.7" right="0.7" top="0.75" bottom="0.75" header="0.3" footer="0.3"/>
    </customSheetView>
    <customSheetView guid="{DAA8A688-7558-4B5B-8DBD-E2629BD9E9A8}" state="hidden">
      <pageMargins left="0.7" right="0.7" top="0.75" bottom="0.75" header="0.3" footer="0.3"/>
    </customSheetView>
    <customSheetView guid="{0C2B9C2A-7B94-41EF-A2E6-F8AC9A67DE25}" state="hidden">
      <pageMargins left="0.7" right="0.7" top="0.75" bottom="0.75" header="0.3" footer="0.3"/>
    </customSheetView>
    <customSheetView guid="{87218168-6C8E-4D5B-A5E5-DCCC26803AA3}" state="hidden">
      <pageMargins left="0.7" right="0.7" top="0.75" bottom="0.75" header="0.3" footer="0.3"/>
    </customSheetView>
    <customSheetView guid="{533DC55B-6AD4-4674-9488-685EF2039F3E}" state="hidden">
      <pageMargins left="0.7" right="0.7" top="0.75" bottom="0.75" header="0.3" footer="0.3"/>
    </customSheetView>
    <customSheetView guid="{69DABE6F-6182-4403-A4A2-969F10F1C13A}" state="hidden">
      <pageMargins left="0.7" right="0.7" top="0.75" bottom="0.75" header="0.3" footer="0.3"/>
    </customSheetView>
    <customSheetView guid="{84867370-1F3E-4368-AF79-FBCE46FFFE92}" state="hidden">
      <pageMargins left="0.7" right="0.7" top="0.75" bottom="0.75" header="0.3" footer="0.3"/>
    </customSheetView>
    <customSheetView guid="{47B983AB-FE5F-4725-860C-A2F29420596D}">
      <pageMargins left="0.7" right="0.7" top="0.75" bottom="0.75" header="0.3" footer="0.3"/>
    </customSheetView>
    <customSheetView guid="{959E901C-5DDE-42EE-AE94-AB8976B5E00B}">
      <pageMargins left="0.7" right="0.7" top="0.75" bottom="0.75" header="0.3" footer="0.3"/>
    </customSheetView>
    <customSheetView guid="{F679EF4A-C5FD-4B86-B87B-D85968E0F2CA}">
      <pageMargins left="0.7" right="0.7" top="0.75" bottom="0.75" header="0.3" footer="0.3"/>
    </customSheetView>
    <customSheetView guid="{009B3074-D8EC-4952-BF50-43CD64449612}">
      <pageMargins left="0.7" right="0.7" top="0.75" bottom="0.75" header="0.3" footer="0.3"/>
    </customSheetView>
    <customSheetView guid="{770624BF-07F3-44B6-94C3-4CC447CDD45C}">
      <pageMargins left="0.7" right="0.7" top="0.75" bottom="0.75" header="0.3" footer="0.3"/>
    </customSheetView>
    <customSheetView guid="{B82BA08A-1A30-4F4D-A478-74A6BD09EA97}">
      <pageMargins left="0.7" right="0.7" top="0.75" bottom="0.75" header="0.3" footer="0.3"/>
    </customSheetView>
    <customSheetView guid="{874882D1-E741-4CCA-BF0D-E72FA60B771D}">
      <pageMargins left="0.7" right="0.7" top="0.75" bottom="0.75" header="0.3" footer="0.3"/>
    </customSheetView>
    <customSheetView guid="{C236B307-BD63-48C4-A75F-B3F3717BF55C}">
      <pageMargins left="0.7" right="0.7" top="0.75" bottom="0.75" header="0.3" footer="0.3"/>
    </customSheetView>
    <customSheetView guid="{B1BF08D1-D416-4B47-ADD0-4F59132DC9E8}">
      <pageMargins left="0.7" right="0.7" top="0.75" bottom="0.75" header="0.3" footer="0.3"/>
    </customSheetView>
    <customSheetView guid="{85F4575B-DBC5-482A-9916-255D8F0BC94E}">
      <pageMargins left="0.7" right="0.7" top="0.75" bottom="0.75" header="0.3" footer="0.3"/>
    </customSheetView>
    <customSheetView guid="{74870EE6-26B9-40F7-9DC9-260EF16D8959}" state="hidden">
      <pageMargins left="0.7" right="0.7" top="0.75" bottom="0.75" header="0.3" footer="0.3"/>
    </customSheetView>
    <customSheetView guid="{E508E171-4ED9-4B07-84DF-DA28C60E1969}" state="hidden">
      <pageMargins left="0.7" right="0.7" top="0.75" bottom="0.75" header="0.3" footer="0.3"/>
    </customSheetView>
    <customSheetView guid="{4D0DFB57-2CBA-42F2-9A97-C453A6851FBA}" state="hidden">
      <pageMargins left="0.7" right="0.7" top="0.75" bottom="0.75" header="0.3" footer="0.3"/>
    </customSheetView>
    <customSheetView guid="{CE1CCA00-200D-4EAA-9FBE-F8EE7C5F82FE}" state="hidden">
      <pageMargins left="0.7" right="0.7" top="0.75" bottom="0.75" header="0.3" footer="0.3"/>
    </customSheetView>
    <customSheetView guid="{442F2C94-DD1B-4A01-8694-513D4D6F3BD9}" state="hidden">
      <pageMargins left="0.7" right="0.7" top="0.75" bottom="0.75" header="0.3" footer="0.3"/>
    </customSheetView>
    <customSheetView guid="{AC2D5927-4079-4C74-AF69-1BFAC505648F}" state="hidden">
      <pageMargins left="0.7" right="0.7" top="0.75" bottom="0.75" header="0.3" footer="0.3"/>
    </customSheetView>
    <customSheetView guid="{602C8EDB-B9EF-4C85-B0D5-0558C3A0ABAB}" state="hidden">
      <pageMargins left="0.7" right="0.7" top="0.75" bottom="0.75" header="0.3" footer="0.3"/>
    </customSheetView>
    <customSheetView guid="{09C3E205-981E-4A4E-BE89-8B7044192060}" state="hidden">
      <pageMargins left="0.7" right="0.7" top="0.75" bottom="0.75" header="0.3" footer="0.3"/>
    </customSheetView>
  </customSheetView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G136"/>
  <sheetViews>
    <sheetView zoomScale="60" zoomScaleNormal="60" workbookViewId="0">
      <pane xSplit="2" ySplit="11" topLeftCell="Z27" activePane="bottomRight" state="frozen"/>
      <selection activeCell="F284" sqref="F284:G284"/>
      <selection pane="topRight" activeCell="F284" sqref="F284:G284"/>
      <selection pane="bottomLeft" activeCell="F284" sqref="F284:G284"/>
      <selection pane="bottomRight" activeCell="AA37" sqref="AA37"/>
    </sheetView>
  </sheetViews>
  <sheetFormatPr defaultColWidth="9.140625" defaultRowHeight="18.75" x14ac:dyDescent="0.3"/>
  <cols>
    <col min="1" max="1" width="45.42578125" style="33" customWidth="1"/>
    <col min="2" max="3" width="16.7109375" style="33" customWidth="1"/>
    <col min="4" max="4" width="14.5703125" style="33" customWidth="1"/>
    <col min="5" max="5" width="16.42578125" style="33" customWidth="1"/>
    <col min="6" max="6" width="12.42578125" style="33" customWidth="1"/>
    <col min="7" max="7" width="12.85546875" style="33" customWidth="1"/>
    <col min="8" max="8" width="17.7109375" style="33" customWidth="1"/>
    <col min="9" max="9" width="13.140625" style="33" customWidth="1"/>
    <col min="10" max="10" width="14.7109375" style="33" customWidth="1"/>
    <col min="11" max="11" width="14.42578125" style="33" customWidth="1"/>
    <col min="12" max="12" width="14.85546875" style="33" customWidth="1"/>
    <col min="13" max="13" width="14.5703125" style="33" customWidth="1"/>
    <col min="14" max="14" width="14.42578125" style="33" customWidth="1"/>
    <col min="15" max="15" width="14.5703125" style="33" customWidth="1"/>
    <col min="16" max="17" width="13.42578125" style="33" customWidth="1"/>
    <col min="18" max="18" width="15.5703125" style="33" customWidth="1"/>
    <col min="19" max="27" width="13.42578125" style="33" customWidth="1"/>
    <col min="28" max="28" width="15.140625" style="33" customWidth="1"/>
    <col min="29" max="29" width="13.42578125" style="33" customWidth="1"/>
    <col min="30" max="30" width="15.85546875" style="33" customWidth="1"/>
    <col min="31" max="31" width="13.42578125" style="33" customWidth="1"/>
    <col min="32" max="32" width="17.7109375" style="33" customWidth="1"/>
    <col min="33" max="33" width="15" style="33" hidden="1" customWidth="1"/>
    <col min="34" max="16384" width="9.140625" style="33"/>
  </cols>
  <sheetData>
    <row r="4" spans="1:33" x14ac:dyDescent="0.3">
      <c r="A4" s="1026" t="s">
        <v>316</v>
      </c>
      <c r="B4" s="1026"/>
      <c r="C4" s="1026"/>
      <c r="D4" s="1026"/>
      <c r="E4" s="1026"/>
      <c r="F4" s="1026"/>
      <c r="G4" s="1026"/>
      <c r="H4" s="1026"/>
      <c r="I4" s="1026"/>
      <c r="J4" s="1026"/>
      <c r="K4" s="1026"/>
      <c r="L4" s="1026"/>
      <c r="M4" s="1026"/>
      <c r="N4" s="1026"/>
      <c r="O4" s="1026"/>
      <c r="P4" s="1026"/>
      <c r="Q4" s="1026"/>
      <c r="R4" s="1026"/>
      <c r="S4" s="1026"/>
      <c r="T4" s="1026"/>
      <c r="U4" s="1026"/>
      <c r="V4" s="1026"/>
      <c r="W4" s="1026"/>
      <c r="X4" s="1026"/>
      <c r="Y4" s="1026"/>
      <c r="Z4" s="1026"/>
      <c r="AA4" s="1026"/>
      <c r="AB4" s="1026"/>
      <c r="AC4" s="1026"/>
      <c r="AD4" s="1026"/>
      <c r="AE4" s="1026"/>
      <c r="AF4" s="1026"/>
    </row>
    <row r="6" spans="1:33" ht="50.25" customHeight="1" x14ac:dyDescent="0.3">
      <c r="A6" s="1027" t="s">
        <v>163</v>
      </c>
      <c r="B6" s="95" t="s">
        <v>3</v>
      </c>
      <c r="C6" s="95" t="s">
        <v>3</v>
      </c>
      <c r="D6" s="95" t="s">
        <v>4</v>
      </c>
      <c r="E6" s="95" t="s">
        <v>5</v>
      </c>
      <c r="F6" s="1028" t="s">
        <v>6</v>
      </c>
      <c r="G6" s="1029"/>
      <c r="H6" s="1028" t="s">
        <v>7</v>
      </c>
      <c r="I6" s="1030"/>
      <c r="J6" s="1028" t="s">
        <v>8</v>
      </c>
      <c r="K6" s="1030"/>
      <c r="L6" s="1028" t="s">
        <v>9</v>
      </c>
      <c r="M6" s="1030"/>
      <c r="N6" s="1028" t="s">
        <v>10</v>
      </c>
      <c r="O6" s="1030"/>
      <c r="P6" s="1028" t="s">
        <v>11</v>
      </c>
      <c r="Q6" s="1030"/>
      <c r="R6" s="1028" t="s">
        <v>12</v>
      </c>
      <c r="S6" s="1030"/>
      <c r="T6" s="1028" t="s">
        <v>13</v>
      </c>
      <c r="U6" s="1030"/>
      <c r="V6" s="1028" t="s">
        <v>14</v>
      </c>
      <c r="W6" s="1030"/>
      <c r="X6" s="1028" t="s">
        <v>15</v>
      </c>
      <c r="Y6" s="1030"/>
      <c r="Z6" s="1028" t="s">
        <v>16</v>
      </c>
      <c r="AA6" s="1030"/>
      <c r="AB6" s="1028" t="s">
        <v>17</v>
      </c>
      <c r="AC6" s="1030"/>
      <c r="AD6" s="1031" t="s">
        <v>18</v>
      </c>
      <c r="AE6" s="1031"/>
      <c r="AF6" s="1019" t="s">
        <v>19</v>
      </c>
    </row>
    <row r="7" spans="1:33" ht="56.25" x14ac:dyDescent="0.3">
      <c r="A7" s="1027"/>
      <c r="B7" s="3">
        <v>2024</v>
      </c>
      <c r="C7" s="4">
        <v>45444</v>
      </c>
      <c r="D7" s="4">
        <v>45444</v>
      </c>
      <c r="E7" s="4">
        <v>45444</v>
      </c>
      <c r="F7" s="5" t="s">
        <v>20</v>
      </c>
      <c r="G7" s="5" t="s">
        <v>21</v>
      </c>
      <c r="H7" s="96" t="s">
        <v>22</v>
      </c>
      <c r="I7" s="96" t="s">
        <v>164</v>
      </c>
      <c r="J7" s="96" t="s">
        <v>22</v>
      </c>
      <c r="K7" s="96" t="s">
        <v>164</v>
      </c>
      <c r="L7" s="96" t="s">
        <v>22</v>
      </c>
      <c r="M7" s="96" t="s">
        <v>164</v>
      </c>
      <c r="N7" s="96" t="s">
        <v>22</v>
      </c>
      <c r="O7" s="96" t="s">
        <v>164</v>
      </c>
      <c r="P7" s="96" t="s">
        <v>22</v>
      </c>
      <c r="Q7" s="96" t="s">
        <v>164</v>
      </c>
      <c r="R7" s="96" t="s">
        <v>22</v>
      </c>
      <c r="S7" s="96" t="s">
        <v>164</v>
      </c>
      <c r="T7" s="96" t="s">
        <v>22</v>
      </c>
      <c r="U7" s="96" t="s">
        <v>164</v>
      </c>
      <c r="V7" s="96" t="s">
        <v>22</v>
      </c>
      <c r="W7" s="96" t="s">
        <v>164</v>
      </c>
      <c r="X7" s="96" t="s">
        <v>22</v>
      </c>
      <c r="Y7" s="96" t="s">
        <v>164</v>
      </c>
      <c r="Z7" s="96" t="s">
        <v>22</v>
      </c>
      <c r="AA7" s="96" t="s">
        <v>164</v>
      </c>
      <c r="AB7" s="96" t="s">
        <v>22</v>
      </c>
      <c r="AC7" s="96" t="s">
        <v>164</v>
      </c>
      <c r="AD7" s="96" t="s">
        <v>165</v>
      </c>
      <c r="AE7" s="96" t="s">
        <v>164</v>
      </c>
      <c r="AF7" s="1020"/>
    </row>
    <row r="8" spans="1:33" x14ac:dyDescent="0.3">
      <c r="A8" s="6">
        <v>1</v>
      </c>
      <c r="B8" s="6">
        <v>2</v>
      </c>
      <c r="C8" s="6">
        <v>3</v>
      </c>
      <c r="D8" s="6">
        <v>4</v>
      </c>
      <c r="E8" s="6">
        <v>5</v>
      </c>
      <c r="F8" s="6">
        <v>6</v>
      </c>
      <c r="G8" s="6">
        <v>7</v>
      </c>
      <c r="H8" s="6">
        <v>8</v>
      </c>
      <c r="I8" s="6">
        <v>9</v>
      </c>
      <c r="J8" s="6">
        <v>10</v>
      </c>
      <c r="K8" s="6">
        <v>11</v>
      </c>
      <c r="L8" s="6">
        <v>12</v>
      </c>
      <c r="M8" s="6">
        <v>13</v>
      </c>
      <c r="N8" s="6">
        <v>14</v>
      </c>
      <c r="O8" s="6">
        <v>15</v>
      </c>
      <c r="P8" s="6">
        <v>16</v>
      </c>
      <c r="Q8" s="6">
        <v>17</v>
      </c>
      <c r="R8" s="6">
        <v>18</v>
      </c>
      <c r="S8" s="6">
        <v>19</v>
      </c>
      <c r="T8" s="6">
        <v>20</v>
      </c>
      <c r="U8" s="6">
        <v>21</v>
      </c>
      <c r="V8" s="6">
        <v>22</v>
      </c>
      <c r="W8" s="6">
        <v>23</v>
      </c>
      <c r="X8" s="6">
        <v>24</v>
      </c>
      <c r="Y8" s="6">
        <v>25</v>
      </c>
      <c r="Z8" s="6">
        <v>26</v>
      </c>
      <c r="AA8" s="6">
        <v>27</v>
      </c>
      <c r="AB8" s="6">
        <v>28</v>
      </c>
      <c r="AC8" s="6">
        <v>29</v>
      </c>
      <c r="AD8" s="6">
        <v>30</v>
      </c>
      <c r="AE8" s="6">
        <v>31</v>
      </c>
      <c r="AF8" s="6">
        <v>32</v>
      </c>
    </row>
    <row r="9" spans="1:33" s="616" customFormat="1" ht="56.25" x14ac:dyDescent="0.3">
      <c r="A9" s="628" t="s">
        <v>317</v>
      </c>
      <c r="B9" s="445"/>
      <c r="C9" s="445"/>
      <c r="D9" s="445"/>
      <c r="E9" s="445"/>
      <c r="F9" s="445"/>
      <c r="G9" s="445"/>
      <c r="H9" s="445"/>
      <c r="I9" s="445"/>
      <c r="J9" s="445"/>
      <c r="K9" s="445"/>
      <c r="L9" s="445"/>
      <c r="M9" s="445"/>
      <c r="N9" s="445"/>
      <c r="O9" s="445"/>
      <c r="P9" s="445"/>
      <c r="Q9" s="445"/>
      <c r="R9" s="445"/>
      <c r="S9" s="445"/>
      <c r="T9" s="445"/>
      <c r="U9" s="445"/>
      <c r="V9" s="445"/>
      <c r="W9" s="445"/>
      <c r="X9" s="445"/>
      <c r="Y9" s="445"/>
      <c r="Z9" s="445"/>
      <c r="AA9" s="445"/>
      <c r="AB9" s="445"/>
      <c r="AC9" s="445"/>
      <c r="AD9" s="445"/>
      <c r="AE9" s="445"/>
      <c r="AF9" s="445"/>
    </row>
    <row r="10" spans="1:33" s="616" customFormat="1" x14ac:dyDescent="0.3">
      <c r="A10" s="1047" t="s">
        <v>167</v>
      </c>
      <c r="B10" s="1048"/>
      <c r="C10" s="1048"/>
      <c r="D10" s="1048"/>
      <c r="E10" s="1048"/>
      <c r="F10" s="1048"/>
      <c r="G10" s="1048"/>
      <c r="H10" s="1048"/>
      <c r="I10" s="1048"/>
      <c r="J10" s="1048"/>
      <c r="K10" s="1048"/>
      <c r="L10" s="1048"/>
      <c r="M10" s="1048"/>
      <c r="N10" s="1048"/>
      <c r="O10" s="1048"/>
      <c r="P10" s="1048"/>
      <c r="Q10" s="1048"/>
      <c r="R10" s="1048"/>
      <c r="S10" s="1048"/>
      <c r="T10" s="1048"/>
      <c r="U10" s="1048"/>
      <c r="V10" s="1048"/>
      <c r="W10" s="1048"/>
      <c r="X10" s="1048"/>
      <c r="Y10" s="1048"/>
      <c r="Z10" s="1048"/>
      <c r="AA10" s="1048"/>
      <c r="AB10" s="1048"/>
      <c r="AC10" s="1048"/>
      <c r="AD10" s="1048"/>
      <c r="AE10" s="1048"/>
      <c r="AF10" s="1049"/>
    </row>
    <row r="11" spans="1:33" s="622" customFormat="1" ht="56.25" customHeight="1" x14ac:dyDescent="0.3">
      <c r="A11" s="617" t="s">
        <v>318</v>
      </c>
      <c r="B11" s="618"/>
      <c r="C11" s="619"/>
      <c r="D11" s="619"/>
      <c r="E11" s="619"/>
      <c r="F11" s="619"/>
      <c r="G11" s="619"/>
      <c r="H11" s="619"/>
      <c r="I11" s="619"/>
      <c r="J11" s="619"/>
      <c r="K11" s="619"/>
      <c r="L11" s="619"/>
      <c r="M11" s="619"/>
      <c r="N11" s="619"/>
      <c r="O11" s="619"/>
      <c r="P11" s="619"/>
      <c r="Q11" s="619"/>
      <c r="R11" s="619"/>
      <c r="S11" s="619"/>
      <c r="T11" s="619"/>
      <c r="U11" s="619"/>
      <c r="V11" s="619"/>
      <c r="W11" s="619"/>
      <c r="X11" s="619"/>
      <c r="Y11" s="619"/>
      <c r="Z11" s="619"/>
      <c r="AA11" s="619"/>
      <c r="AB11" s="619"/>
      <c r="AC11" s="619"/>
      <c r="AD11" s="619"/>
      <c r="AE11" s="619"/>
      <c r="AF11" s="620"/>
      <c r="AG11" s="621">
        <f>B11-H11-J11-L11-N11-P11-R11-T11-V11-X11-Z11-AB11-AD11</f>
        <v>0</v>
      </c>
    </row>
    <row r="12" spans="1:33" s="622" customFormat="1" x14ac:dyDescent="0.3">
      <c r="A12" s="623" t="s">
        <v>31</v>
      </c>
      <c r="B12" s="624">
        <f>B13+B14+B15+B16</f>
        <v>0</v>
      </c>
      <c r="C12" s="624">
        <f>C13+C14+C15+C16</f>
        <v>0</v>
      </c>
      <c r="D12" s="624">
        <f>D13+D14+D15+D16</f>
        <v>0</v>
      </c>
      <c r="E12" s="624">
        <f>E13+E14+E15+E16</f>
        <v>0</v>
      </c>
      <c r="F12" s="625">
        <f>IFERROR(E12/B12*100,0)</f>
        <v>0</v>
      </c>
      <c r="G12" s="625">
        <f>IFERROR(E12/C12*100,0)</f>
        <v>0</v>
      </c>
      <c r="H12" s="624">
        <f>H13+H14+H15+H16</f>
        <v>0</v>
      </c>
      <c r="I12" s="624">
        <f t="shared" ref="I12:AE12" si="0">I13+I14+I15+I16</f>
        <v>0</v>
      </c>
      <c r="J12" s="624">
        <f t="shared" si="0"/>
        <v>0</v>
      </c>
      <c r="K12" s="624">
        <f t="shared" si="0"/>
        <v>0</v>
      </c>
      <c r="L12" s="624">
        <f t="shared" si="0"/>
        <v>0</v>
      </c>
      <c r="M12" s="624">
        <f t="shared" si="0"/>
        <v>0</v>
      </c>
      <c r="N12" s="624">
        <f t="shared" si="0"/>
        <v>0</v>
      </c>
      <c r="O12" s="624">
        <f t="shared" si="0"/>
        <v>0</v>
      </c>
      <c r="P12" s="624">
        <f t="shared" si="0"/>
        <v>0</v>
      </c>
      <c r="Q12" s="624">
        <f t="shared" si="0"/>
        <v>0</v>
      </c>
      <c r="R12" s="624">
        <f t="shared" si="0"/>
        <v>0</v>
      </c>
      <c r="S12" s="624">
        <f t="shared" si="0"/>
        <v>0</v>
      </c>
      <c r="T12" s="624">
        <f t="shared" si="0"/>
        <v>0</v>
      </c>
      <c r="U12" s="624">
        <f t="shared" si="0"/>
        <v>0</v>
      </c>
      <c r="V12" s="624">
        <f t="shared" si="0"/>
        <v>0</v>
      </c>
      <c r="W12" s="624">
        <f t="shared" si="0"/>
        <v>0</v>
      </c>
      <c r="X12" s="624">
        <f t="shared" si="0"/>
        <v>0</v>
      </c>
      <c r="Y12" s="624">
        <f t="shared" si="0"/>
        <v>0</v>
      </c>
      <c r="Z12" s="624">
        <f t="shared" si="0"/>
        <v>0</v>
      </c>
      <c r="AA12" s="624">
        <f t="shared" si="0"/>
        <v>0</v>
      </c>
      <c r="AB12" s="624">
        <f t="shared" si="0"/>
        <v>0</v>
      </c>
      <c r="AC12" s="624">
        <f t="shared" si="0"/>
        <v>0</v>
      </c>
      <c r="AD12" s="624">
        <f t="shared" si="0"/>
        <v>0</v>
      </c>
      <c r="AE12" s="624">
        <f t="shared" si="0"/>
        <v>0</v>
      </c>
      <c r="AF12" s="620"/>
      <c r="AG12" s="621">
        <f t="shared" ref="AG12:AG86" si="1">B12-H12-J12-L12-N12-P12-R12-T12-V12-X12-Z12-AB12-AD12</f>
        <v>0</v>
      </c>
    </row>
    <row r="13" spans="1:33" s="622" customFormat="1" x14ac:dyDescent="0.3">
      <c r="A13" s="626" t="s">
        <v>169</v>
      </c>
      <c r="B13" s="627">
        <f>J13+L13+N13+P13+R13+T13+V13+X13+Z13+AB13+AD13+H13</f>
        <v>0</v>
      </c>
      <c r="C13" s="627">
        <f>SUM(H13)</f>
        <v>0</v>
      </c>
      <c r="D13" s="627">
        <f>E13</f>
        <v>0</v>
      </c>
      <c r="E13" s="627">
        <f>SUM(I13,K13,M13,O13,Q13,S13,U13,W13,Y13,AA13,AC13,AE13)</f>
        <v>0</v>
      </c>
      <c r="F13" s="627">
        <f>IFERROR(E13/B13*100,0)</f>
        <v>0</v>
      </c>
      <c r="G13" s="627">
        <f>IFERROR(E13/C13*100,0)</f>
        <v>0</v>
      </c>
      <c r="H13" s="627"/>
      <c r="I13" s="627"/>
      <c r="J13" s="627"/>
      <c r="K13" s="627"/>
      <c r="L13" s="627"/>
      <c r="M13" s="627"/>
      <c r="N13" s="627"/>
      <c r="O13" s="627"/>
      <c r="P13" s="627"/>
      <c r="Q13" s="627"/>
      <c r="R13" s="627"/>
      <c r="S13" s="627"/>
      <c r="T13" s="627"/>
      <c r="U13" s="627"/>
      <c r="V13" s="627"/>
      <c r="W13" s="627"/>
      <c r="X13" s="627"/>
      <c r="Y13" s="627"/>
      <c r="Z13" s="627"/>
      <c r="AA13" s="627"/>
      <c r="AB13" s="627"/>
      <c r="AC13" s="627"/>
      <c r="AD13" s="627"/>
      <c r="AE13" s="627"/>
      <c r="AF13" s="620"/>
      <c r="AG13" s="621">
        <f t="shared" si="1"/>
        <v>0</v>
      </c>
    </row>
    <row r="14" spans="1:33" s="622" customFormat="1" x14ac:dyDescent="0.3">
      <c r="A14" s="626" t="s">
        <v>32</v>
      </c>
      <c r="B14" s="627">
        <f>J14+L14+N14+P14+R14+T14+V14+X14+Z14+AB14+AD14+H14</f>
        <v>0</v>
      </c>
      <c r="C14" s="627">
        <f>SUM(H14)</f>
        <v>0</v>
      </c>
      <c r="D14" s="627">
        <f>E14</f>
        <v>0</v>
      </c>
      <c r="E14" s="627">
        <f>SUM(I14,K14,M14,O14,Q14,S14,U14,W14,Y14,AA14,AC14,AE14)</f>
        <v>0</v>
      </c>
      <c r="F14" s="627">
        <f>IFERROR(E14/B14*100,0)</f>
        <v>0</v>
      </c>
      <c r="G14" s="627">
        <f>IFERROR(E14/C14*100,0)</f>
        <v>0</v>
      </c>
      <c r="H14" s="627"/>
      <c r="I14" s="627"/>
      <c r="J14" s="627"/>
      <c r="K14" s="627"/>
      <c r="L14" s="627"/>
      <c r="M14" s="627"/>
      <c r="N14" s="627"/>
      <c r="O14" s="627"/>
      <c r="P14" s="627"/>
      <c r="Q14" s="627"/>
      <c r="R14" s="627"/>
      <c r="S14" s="627"/>
      <c r="T14" s="627"/>
      <c r="U14" s="627"/>
      <c r="V14" s="627"/>
      <c r="W14" s="627"/>
      <c r="X14" s="627"/>
      <c r="Y14" s="627"/>
      <c r="Z14" s="627"/>
      <c r="AA14" s="627"/>
      <c r="AB14" s="627">
        <v>0</v>
      </c>
      <c r="AC14" s="627"/>
      <c r="AD14" s="627"/>
      <c r="AE14" s="627"/>
      <c r="AF14" s="620"/>
      <c r="AG14" s="621">
        <f t="shared" si="1"/>
        <v>0</v>
      </c>
    </row>
    <row r="15" spans="1:33" s="622" customFormat="1" x14ac:dyDescent="0.3">
      <c r="A15" s="626" t="s">
        <v>33</v>
      </c>
      <c r="B15" s="627">
        <f>J15+L15+N15+P15+R15+T15+V15+X15+Z15+AB15+AD15+H15</f>
        <v>0</v>
      </c>
      <c r="C15" s="627">
        <f>SUM(H15)</f>
        <v>0</v>
      </c>
      <c r="D15" s="627">
        <f>E15</f>
        <v>0</v>
      </c>
      <c r="E15" s="627">
        <f>SUM(I15,K15,M15,O15,Q15,S15,U15,W15,Y15,AA15,AC15,AE15)</f>
        <v>0</v>
      </c>
      <c r="F15" s="627">
        <f>IFERROR(E15/B15*100,0)</f>
        <v>0</v>
      </c>
      <c r="G15" s="627">
        <f>IFERROR(E15/C15*100,0)</f>
        <v>0</v>
      </c>
      <c r="H15" s="627"/>
      <c r="I15" s="627"/>
      <c r="J15" s="627"/>
      <c r="K15" s="627"/>
      <c r="L15" s="627"/>
      <c r="M15" s="627"/>
      <c r="N15" s="627"/>
      <c r="O15" s="627"/>
      <c r="P15" s="627"/>
      <c r="Q15" s="627"/>
      <c r="R15" s="627"/>
      <c r="S15" s="627"/>
      <c r="T15" s="627"/>
      <c r="U15" s="627"/>
      <c r="V15" s="627"/>
      <c r="W15" s="627"/>
      <c r="X15" s="627"/>
      <c r="Y15" s="627"/>
      <c r="Z15" s="627"/>
      <c r="AA15" s="627"/>
      <c r="AB15" s="627"/>
      <c r="AC15" s="627"/>
      <c r="AD15" s="627"/>
      <c r="AE15" s="627"/>
      <c r="AF15" s="620"/>
      <c r="AG15" s="621">
        <f t="shared" si="1"/>
        <v>0</v>
      </c>
    </row>
    <row r="16" spans="1:33" s="622" customFormat="1" x14ac:dyDescent="0.3">
      <c r="A16" s="626" t="s">
        <v>170</v>
      </c>
      <c r="B16" s="627">
        <f>J16+L16+N16+P16+R16+T16+V16+X16+Z16+AB16+AD16+H16</f>
        <v>0</v>
      </c>
      <c r="C16" s="627">
        <f>SUM(H16)</f>
        <v>0</v>
      </c>
      <c r="D16" s="627">
        <f>E16</f>
        <v>0</v>
      </c>
      <c r="E16" s="627">
        <f>SUM(I16,K16,M16,O16,Q16,S16,U16,W16,Y16,AA16,AC16,AE16)</f>
        <v>0</v>
      </c>
      <c r="F16" s="627">
        <f>IFERROR(E16/B16*100,0)</f>
        <v>0</v>
      </c>
      <c r="G16" s="627">
        <f>IFERROR(E16/C16*100,0)</f>
        <v>0</v>
      </c>
      <c r="H16" s="627"/>
      <c r="I16" s="627"/>
      <c r="J16" s="627"/>
      <c r="K16" s="627"/>
      <c r="L16" s="627"/>
      <c r="M16" s="627"/>
      <c r="N16" s="627"/>
      <c r="O16" s="627"/>
      <c r="P16" s="627"/>
      <c r="Q16" s="627"/>
      <c r="R16" s="627"/>
      <c r="S16" s="627"/>
      <c r="T16" s="627"/>
      <c r="U16" s="627"/>
      <c r="V16" s="627"/>
      <c r="W16" s="627"/>
      <c r="X16" s="627"/>
      <c r="Y16" s="627"/>
      <c r="Z16" s="627"/>
      <c r="AA16" s="627"/>
      <c r="AB16" s="627"/>
      <c r="AC16" s="627"/>
      <c r="AD16" s="627"/>
      <c r="AE16" s="627"/>
      <c r="AF16" s="620"/>
      <c r="AG16" s="621">
        <f t="shared" si="1"/>
        <v>0</v>
      </c>
    </row>
    <row r="17" spans="1:33" s="622" customFormat="1" ht="109.5" customHeight="1" x14ac:dyDescent="0.3">
      <c r="A17" s="617" t="s">
        <v>319</v>
      </c>
      <c r="B17" s="618"/>
      <c r="C17" s="619"/>
      <c r="D17" s="619"/>
      <c r="E17" s="619"/>
      <c r="F17" s="619"/>
      <c r="G17" s="619"/>
      <c r="H17" s="619"/>
      <c r="I17" s="619"/>
      <c r="J17" s="619"/>
      <c r="K17" s="619"/>
      <c r="L17" s="619"/>
      <c r="M17" s="619"/>
      <c r="N17" s="619"/>
      <c r="O17" s="619"/>
      <c r="P17" s="619"/>
      <c r="Q17" s="619"/>
      <c r="R17" s="619"/>
      <c r="S17" s="619"/>
      <c r="T17" s="619"/>
      <c r="U17" s="619"/>
      <c r="V17" s="619"/>
      <c r="W17" s="619"/>
      <c r="X17" s="619"/>
      <c r="Y17" s="619"/>
      <c r="Z17" s="619"/>
      <c r="AA17" s="619"/>
      <c r="AB17" s="619"/>
      <c r="AC17" s="619"/>
      <c r="AD17" s="619"/>
      <c r="AE17" s="619"/>
      <c r="AF17" s="620"/>
      <c r="AG17" s="621">
        <f t="shared" ref="AG17:AG22" si="2">B17-H17-J17-L17-N17-P17-R17-T17-V17-X17-Z17-AB17-AD17</f>
        <v>0</v>
      </c>
    </row>
    <row r="18" spans="1:33" s="622" customFormat="1" x14ac:dyDescent="0.3">
      <c r="A18" s="623" t="s">
        <v>31</v>
      </c>
      <c r="B18" s="624">
        <f>B19+B20+B21+B22</f>
        <v>0</v>
      </c>
      <c r="C18" s="624">
        <f>C19+C20+C21+C22</f>
        <v>0</v>
      </c>
      <c r="D18" s="624">
        <f>D19+D20+D21+D22</f>
        <v>0</v>
      </c>
      <c r="E18" s="624">
        <f>E19+E20+E21+E22</f>
        <v>0</v>
      </c>
      <c r="F18" s="625">
        <f>IFERROR(E18/B18*100,0)</f>
        <v>0</v>
      </c>
      <c r="G18" s="625">
        <f>IFERROR(E18/C18*100,0)</f>
        <v>0</v>
      </c>
      <c r="H18" s="624">
        <f>H19+H20+H21+H22</f>
        <v>0</v>
      </c>
      <c r="I18" s="624">
        <f t="shared" ref="I18:AE18" si="3">I19+I20+I21+I22</f>
        <v>0</v>
      </c>
      <c r="J18" s="624">
        <f t="shared" si="3"/>
        <v>0</v>
      </c>
      <c r="K18" s="624">
        <f t="shared" si="3"/>
        <v>0</v>
      </c>
      <c r="L18" s="624">
        <f t="shared" si="3"/>
        <v>0</v>
      </c>
      <c r="M18" s="624">
        <f t="shared" si="3"/>
        <v>0</v>
      </c>
      <c r="N18" s="624">
        <f t="shared" si="3"/>
        <v>0</v>
      </c>
      <c r="O18" s="624">
        <f t="shared" si="3"/>
        <v>0</v>
      </c>
      <c r="P18" s="624">
        <f t="shared" si="3"/>
        <v>0</v>
      </c>
      <c r="Q18" s="624">
        <f t="shared" si="3"/>
        <v>0</v>
      </c>
      <c r="R18" s="624">
        <f t="shared" si="3"/>
        <v>0</v>
      </c>
      <c r="S18" s="624">
        <f t="shared" si="3"/>
        <v>0</v>
      </c>
      <c r="T18" s="624">
        <f t="shared" si="3"/>
        <v>0</v>
      </c>
      <c r="U18" s="624">
        <f t="shared" si="3"/>
        <v>0</v>
      </c>
      <c r="V18" s="624">
        <f t="shared" si="3"/>
        <v>0</v>
      </c>
      <c r="W18" s="624">
        <f t="shared" si="3"/>
        <v>0</v>
      </c>
      <c r="X18" s="624">
        <f t="shared" si="3"/>
        <v>0</v>
      </c>
      <c r="Y18" s="624">
        <f t="shared" si="3"/>
        <v>0</v>
      </c>
      <c r="Z18" s="624">
        <f t="shared" si="3"/>
        <v>0</v>
      </c>
      <c r="AA18" s="624">
        <f t="shared" si="3"/>
        <v>0</v>
      </c>
      <c r="AB18" s="624">
        <f t="shared" si="3"/>
        <v>0</v>
      </c>
      <c r="AC18" s="624">
        <f t="shared" si="3"/>
        <v>0</v>
      </c>
      <c r="AD18" s="624">
        <f t="shared" si="3"/>
        <v>0</v>
      </c>
      <c r="AE18" s="624">
        <f t="shared" si="3"/>
        <v>0</v>
      </c>
      <c r="AF18" s="620"/>
      <c r="AG18" s="621">
        <f t="shared" si="2"/>
        <v>0</v>
      </c>
    </row>
    <row r="19" spans="1:33" s="622" customFormat="1" x14ac:dyDescent="0.3">
      <c r="A19" s="626" t="s">
        <v>169</v>
      </c>
      <c r="B19" s="627">
        <f>J19+L19+N19+P19+R19+T19+V19+X19+Z19+AB19+AD19+H19</f>
        <v>0</v>
      </c>
      <c r="C19" s="627">
        <f>SUM(H19)</f>
        <v>0</v>
      </c>
      <c r="D19" s="627">
        <f>E19</f>
        <v>0</v>
      </c>
      <c r="E19" s="627">
        <f>SUM(I19,K19,M19,O19,Q19,S19,U19,W19,Y19,AA19,AC19,AE19)</f>
        <v>0</v>
      </c>
      <c r="F19" s="627">
        <f>IFERROR(E19/B19*100,0)</f>
        <v>0</v>
      </c>
      <c r="G19" s="627">
        <f>IFERROR(E19/C19*100,0)</f>
        <v>0</v>
      </c>
      <c r="H19" s="627"/>
      <c r="I19" s="627"/>
      <c r="J19" s="627"/>
      <c r="K19" s="627"/>
      <c r="L19" s="627"/>
      <c r="M19" s="627"/>
      <c r="N19" s="627"/>
      <c r="O19" s="627"/>
      <c r="P19" s="627"/>
      <c r="Q19" s="627"/>
      <c r="R19" s="627"/>
      <c r="S19" s="627"/>
      <c r="T19" s="627"/>
      <c r="U19" s="627"/>
      <c r="V19" s="627"/>
      <c r="W19" s="627"/>
      <c r="X19" s="627"/>
      <c r="Y19" s="627"/>
      <c r="Z19" s="627"/>
      <c r="AA19" s="627"/>
      <c r="AB19" s="627"/>
      <c r="AC19" s="627"/>
      <c r="AD19" s="627"/>
      <c r="AE19" s="627"/>
      <c r="AF19" s="620"/>
      <c r="AG19" s="621">
        <f t="shared" si="2"/>
        <v>0</v>
      </c>
    </row>
    <row r="20" spans="1:33" s="622" customFormat="1" x14ac:dyDescent="0.3">
      <c r="A20" s="626" t="s">
        <v>32</v>
      </c>
      <c r="B20" s="627">
        <f>J20+L20+N20+P20+R20+T20+V20+X20+Z20+AB20+AD20+H20</f>
        <v>0</v>
      </c>
      <c r="C20" s="627">
        <f>SUM(H20)</f>
        <v>0</v>
      </c>
      <c r="D20" s="627">
        <f>E20</f>
        <v>0</v>
      </c>
      <c r="E20" s="627">
        <f>SUM(I20,K20,M20,O20,Q20,S20,U20,W20,Y20,AA20,AC20,AE20)</f>
        <v>0</v>
      </c>
      <c r="F20" s="627">
        <f>IFERROR(E20/B20*100,0)</f>
        <v>0</v>
      </c>
      <c r="G20" s="627">
        <f>IFERROR(E20/C20*100,0)</f>
        <v>0</v>
      </c>
      <c r="H20" s="627"/>
      <c r="I20" s="627"/>
      <c r="J20" s="627"/>
      <c r="K20" s="627"/>
      <c r="L20" s="627"/>
      <c r="M20" s="627"/>
      <c r="N20" s="627"/>
      <c r="O20" s="627"/>
      <c r="P20" s="627"/>
      <c r="Q20" s="627"/>
      <c r="R20" s="627"/>
      <c r="S20" s="627"/>
      <c r="T20" s="627"/>
      <c r="U20" s="627"/>
      <c r="V20" s="627"/>
      <c r="W20" s="627"/>
      <c r="X20" s="627"/>
      <c r="Y20" s="627"/>
      <c r="Z20" s="627"/>
      <c r="AA20" s="627"/>
      <c r="AB20" s="627"/>
      <c r="AC20" s="627"/>
      <c r="AD20" s="627"/>
      <c r="AE20" s="627"/>
      <c r="AF20" s="620"/>
      <c r="AG20" s="621">
        <f t="shared" si="2"/>
        <v>0</v>
      </c>
    </row>
    <row r="21" spans="1:33" s="622" customFormat="1" x14ac:dyDescent="0.3">
      <c r="A21" s="626" t="s">
        <v>33</v>
      </c>
      <c r="B21" s="627">
        <f>J21+L21+N21+P21+R21+T21+V21+X21+Z21+AB21+AD21+H21</f>
        <v>0</v>
      </c>
      <c r="C21" s="627">
        <f>SUM(H21)</f>
        <v>0</v>
      </c>
      <c r="D21" s="627">
        <f>E21</f>
        <v>0</v>
      </c>
      <c r="E21" s="627">
        <f>SUM(I21,K21,M21,O21,Q21,S21,U21,W21,Y21,AA21,AC21,AE21)</f>
        <v>0</v>
      </c>
      <c r="F21" s="627">
        <f>IFERROR(E21/B21*100,0)</f>
        <v>0</v>
      </c>
      <c r="G21" s="627">
        <f>IFERROR(E21/C21*100,0)</f>
        <v>0</v>
      </c>
      <c r="H21" s="627"/>
      <c r="I21" s="627"/>
      <c r="J21" s="627"/>
      <c r="K21" s="627"/>
      <c r="L21" s="627">
        <v>0</v>
      </c>
      <c r="M21" s="627"/>
      <c r="N21" s="627"/>
      <c r="O21" s="627"/>
      <c r="P21" s="627"/>
      <c r="Q21" s="627"/>
      <c r="R21" s="627"/>
      <c r="S21" s="627"/>
      <c r="T21" s="627"/>
      <c r="U21" s="627"/>
      <c r="V21" s="627"/>
      <c r="W21" s="627"/>
      <c r="X21" s="627"/>
      <c r="Y21" s="627"/>
      <c r="Z21" s="627"/>
      <c r="AA21" s="627"/>
      <c r="AB21" s="627">
        <v>0</v>
      </c>
      <c r="AC21" s="627"/>
      <c r="AD21" s="627">
        <v>0</v>
      </c>
      <c r="AE21" s="627"/>
      <c r="AF21" s="620"/>
      <c r="AG21" s="621">
        <f t="shared" si="2"/>
        <v>0</v>
      </c>
    </row>
    <row r="22" spans="1:33" s="622" customFormat="1" x14ac:dyDescent="0.3">
      <c r="A22" s="626" t="s">
        <v>170</v>
      </c>
      <c r="B22" s="627">
        <f>J22+L22+N22+P22+R22+T22+V22+X22+Z22+AB22+AD22+H22</f>
        <v>0</v>
      </c>
      <c r="C22" s="627">
        <f>SUM(H22)</f>
        <v>0</v>
      </c>
      <c r="D22" s="627">
        <f>E22</f>
        <v>0</v>
      </c>
      <c r="E22" s="627">
        <f>SUM(I22,K22,M22,O22,Q22,S22,U22,W22,Y22,AA22,AC22,AE22)</f>
        <v>0</v>
      </c>
      <c r="F22" s="627">
        <f>IFERROR(E22/B22*100,0)</f>
        <v>0</v>
      </c>
      <c r="G22" s="627">
        <f>IFERROR(E22/C22*100,0)</f>
        <v>0</v>
      </c>
      <c r="H22" s="627"/>
      <c r="I22" s="627"/>
      <c r="J22" s="627"/>
      <c r="K22" s="627"/>
      <c r="L22" s="627"/>
      <c r="M22" s="627"/>
      <c r="N22" s="627"/>
      <c r="O22" s="627"/>
      <c r="P22" s="627"/>
      <c r="Q22" s="627"/>
      <c r="R22" s="627"/>
      <c r="S22" s="627"/>
      <c r="T22" s="627"/>
      <c r="U22" s="627"/>
      <c r="V22" s="627"/>
      <c r="W22" s="627"/>
      <c r="X22" s="627"/>
      <c r="Y22" s="627"/>
      <c r="Z22" s="627"/>
      <c r="AA22" s="627"/>
      <c r="AB22" s="627"/>
      <c r="AC22" s="627"/>
      <c r="AD22" s="627"/>
      <c r="AE22" s="627"/>
      <c r="AF22" s="620"/>
      <c r="AG22" s="621">
        <f t="shared" si="2"/>
        <v>0</v>
      </c>
    </row>
    <row r="23" spans="1:33" s="616" customFormat="1" x14ac:dyDescent="0.3">
      <c r="A23" s="1047" t="s">
        <v>54</v>
      </c>
      <c r="B23" s="1048"/>
      <c r="C23" s="1048"/>
      <c r="D23" s="1048"/>
      <c r="E23" s="1048"/>
      <c r="F23" s="1048"/>
      <c r="G23" s="1048"/>
      <c r="H23" s="1048"/>
      <c r="I23" s="1048"/>
      <c r="J23" s="1048"/>
      <c r="K23" s="1048"/>
      <c r="L23" s="1048"/>
      <c r="M23" s="1048"/>
      <c r="N23" s="1048"/>
      <c r="O23" s="1048"/>
      <c r="P23" s="1048"/>
      <c r="Q23" s="1048"/>
      <c r="R23" s="1048"/>
      <c r="S23" s="1048"/>
      <c r="T23" s="1048"/>
      <c r="U23" s="1048"/>
      <c r="V23" s="1048"/>
      <c r="W23" s="1048"/>
      <c r="X23" s="1048"/>
      <c r="Y23" s="1048"/>
      <c r="Z23" s="1048"/>
      <c r="AA23" s="1048"/>
      <c r="AB23" s="1048"/>
      <c r="AC23" s="1048"/>
      <c r="AD23" s="1048"/>
      <c r="AE23" s="1048"/>
      <c r="AF23" s="1049"/>
      <c r="AG23" s="621">
        <f t="shared" si="1"/>
        <v>0</v>
      </c>
    </row>
    <row r="24" spans="1:33" s="943" customFormat="1" ht="56.25" x14ac:dyDescent="0.3">
      <c r="A24" s="938" t="s">
        <v>320</v>
      </c>
      <c r="B24" s="939"/>
      <c r="C24" s="940"/>
      <c r="D24" s="940"/>
      <c r="E24" s="940"/>
      <c r="F24" s="940"/>
      <c r="G24" s="940"/>
      <c r="H24" s="939"/>
      <c r="I24" s="939"/>
      <c r="J24" s="939"/>
      <c r="K24" s="939"/>
      <c r="L24" s="939"/>
      <c r="M24" s="939"/>
      <c r="N24" s="939"/>
      <c r="O24" s="939"/>
      <c r="P24" s="939"/>
      <c r="Q24" s="939"/>
      <c r="R24" s="939"/>
      <c r="S24" s="939"/>
      <c r="T24" s="939"/>
      <c r="U24" s="939"/>
      <c r="V24" s="939"/>
      <c r="W24" s="939"/>
      <c r="X24" s="939"/>
      <c r="Y24" s="939"/>
      <c r="Z24" s="939"/>
      <c r="AA24" s="939"/>
      <c r="AB24" s="939"/>
      <c r="AC24" s="939"/>
      <c r="AD24" s="939"/>
      <c r="AE24" s="939"/>
      <c r="AF24" s="941"/>
      <c r="AG24" s="942">
        <f t="shared" si="1"/>
        <v>0</v>
      </c>
    </row>
    <row r="25" spans="1:33" s="943" customFormat="1" x14ac:dyDescent="0.3">
      <c r="A25" s="944" t="s">
        <v>31</v>
      </c>
      <c r="B25" s="945">
        <f>B26+B27+B28+B30</f>
        <v>7926.21</v>
      </c>
      <c r="C25" s="945">
        <f>C26+C27+C28+C30</f>
        <v>765</v>
      </c>
      <c r="D25" s="945">
        <f>D26+D27+D28+D30</f>
        <v>0</v>
      </c>
      <c r="E25" s="945">
        <f>E26+E27+E28+E30</f>
        <v>0</v>
      </c>
      <c r="F25" s="946">
        <f t="shared" ref="F25:F30" si="4">IFERROR(E25/B25*100,0)</f>
        <v>0</v>
      </c>
      <c r="G25" s="946">
        <f t="shared" ref="G25:G30" si="5">IFERROR(E25/C25*100,0)</f>
        <v>0</v>
      </c>
      <c r="H25" s="945">
        <f>H26+H27+H28+H30</f>
        <v>0</v>
      </c>
      <c r="I25" s="945">
        <f t="shared" ref="I25:AE25" si="6">I26+I27+I28+I30</f>
        <v>0</v>
      </c>
      <c r="J25" s="945">
        <f t="shared" si="6"/>
        <v>0</v>
      </c>
      <c r="K25" s="945">
        <f t="shared" si="6"/>
        <v>0</v>
      </c>
      <c r="L25" s="945">
        <f t="shared" si="6"/>
        <v>765</v>
      </c>
      <c r="M25" s="945">
        <f t="shared" si="6"/>
        <v>0</v>
      </c>
      <c r="N25" s="945">
        <f t="shared" si="6"/>
        <v>0</v>
      </c>
      <c r="O25" s="945">
        <f t="shared" si="6"/>
        <v>0</v>
      </c>
      <c r="P25" s="945">
        <f t="shared" si="6"/>
        <v>0</v>
      </c>
      <c r="Q25" s="945">
        <f t="shared" si="6"/>
        <v>0</v>
      </c>
      <c r="R25" s="945">
        <f t="shared" si="6"/>
        <v>0</v>
      </c>
      <c r="S25" s="945">
        <f t="shared" si="6"/>
        <v>0</v>
      </c>
      <c r="T25" s="945">
        <f t="shared" si="6"/>
        <v>0</v>
      </c>
      <c r="U25" s="945">
        <f t="shared" si="6"/>
        <v>0</v>
      </c>
      <c r="V25" s="945">
        <f t="shared" si="6"/>
        <v>0</v>
      </c>
      <c r="W25" s="945">
        <f t="shared" si="6"/>
        <v>0</v>
      </c>
      <c r="X25" s="945">
        <f t="shared" si="6"/>
        <v>0</v>
      </c>
      <c r="Y25" s="945">
        <f t="shared" si="6"/>
        <v>0</v>
      </c>
      <c r="Z25" s="945">
        <f t="shared" si="6"/>
        <v>0</v>
      </c>
      <c r="AA25" s="945">
        <f t="shared" si="6"/>
        <v>0</v>
      </c>
      <c r="AB25" s="945">
        <f t="shared" si="6"/>
        <v>6211.21</v>
      </c>
      <c r="AC25" s="945">
        <f t="shared" si="6"/>
        <v>0</v>
      </c>
      <c r="AD25" s="945">
        <f t="shared" si="6"/>
        <v>950</v>
      </c>
      <c r="AE25" s="945">
        <f t="shared" si="6"/>
        <v>0</v>
      </c>
      <c r="AF25" s="941"/>
      <c r="AG25" s="942">
        <f t="shared" si="1"/>
        <v>0</v>
      </c>
    </row>
    <row r="26" spans="1:33" s="943" customFormat="1" x14ac:dyDescent="0.3">
      <c r="A26" s="947" t="s">
        <v>169</v>
      </c>
      <c r="B26" s="948">
        <f>J26+L26+N26+P26+R26+T26+V26+X26+Z26+AB26+AD26+H26</f>
        <v>0</v>
      </c>
      <c r="C26" s="948">
        <f>H26+J26+L26+N26</f>
        <v>0</v>
      </c>
      <c r="D26" s="948">
        <f>E26</f>
        <v>0</v>
      </c>
      <c r="E26" s="948">
        <f>SUM(I26,K26,M26,O26,Q26,S26,U26,W26,Y26,AA26,AC26,AE26)</f>
        <v>0</v>
      </c>
      <c r="F26" s="948">
        <f t="shared" si="4"/>
        <v>0</v>
      </c>
      <c r="G26" s="948">
        <f t="shared" si="5"/>
        <v>0</v>
      </c>
      <c r="H26" s="948"/>
      <c r="I26" s="948"/>
      <c r="J26" s="948"/>
      <c r="K26" s="948"/>
      <c r="L26" s="948"/>
      <c r="M26" s="948"/>
      <c r="N26" s="948"/>
      <c r="O26" s="948"/>
      <c r="P26" s="948"/>
      <c r="Q26" s="948"/>
      <c r="R26" s="948"/>
      <c r="S26" s="948"/>
      <c r="T26" s="948"/>
      <c r="U26" s="948"/>
      <c r="V26" s="948"/>
      <c r="W26" s="948"/>
      <c r="X26" s="948"/>
      <c r="Y26" s="948"/>
      <c r="Z26" s="948"/>
      <c r="AA26" s="948"/>
      <c r="AB26" s="948"/>
      <c r="AC26" s="948"/>
      <c r="AD26" s="948"/>
      <c r="AE26" s="948"/>
      <c r="AF26" s="941"/>
      <c r="AG26" s="942">
        <f t="shared" si="1"/>
        <v>0</v>
      </c>
    </row>
    <row r="27" spans="1:33" s="943" customFormat="1" x14ac:dyDescent="0.3">
      <c r="A27" s="947" t="s">
        <v>32</v>
      </c>
      <c r="B27" s="948">
        <f>J27+L27+N27+P27+R27+T27+V27+X27+Z27+AB27+AD27+H27</f>
        <v>5652.2</v>
      </c>
      <c r="C27" s="948">
        <f>H27+J27+L27+N27</f>
        <v>0</v>
      </c>
      <c r="D27" s="948">
        <f>E27</f>
        <v>0</v>
      </c>
      <c r="E27" s="948">
        <f>SUM(I27,K27,M27,O27,Q27,S27,U27,W27,Y27,AA27,AC27,AE27)</f>
        <v>0</v>
      </c>
      <c r="F27" s="948">
        <f t="shared" si="4"/>
        <v>0</v>
      </c>
      <c r="G27" s="948">
        <f t="shared" si="5"/>
        <v>0</v>
      </c>
      <c r="H27" s="948"/>
      <c r="I27" s="948"/>
      <c r="J27" s="948"/>
      <c r="K27" s="948"/>
      <c r="L27" s="948"/>
      <c r="M27" s="948"/>
      <c r="N27" s="948"/>
      <c r="O27" s="948"/>
      <c r="P27" s="948"/>
      <c r="Q27" s="948"/>
      <c r="R27" s="948"/>
      <c r="S27" s="948"/>
      <c r="T27" s="948"/>
      <c r="U27" s="948"/>
      <c r="V27" s="948"/>
      <c r="W27" s="948"/>
      <c r="X27" s="948"/>
      <c r="Y27" s="948"/>
      <c r="Z27" s="948"/>
      <c r="AA27" s="948"/>
      <c r="AB27" s="948">
        <v>5652.2</v>
      </c>
      <c r="AC27" s="948"/>
      <c r="AD27" s="948"/>
      <c r="AE27" s="948"/>
      <c r="AF27" s="941"/>
      <c r="AG27" s="942">
        <f t="shared" si="1"/>
        <v>0</v>
      </c>
    </row>
    <row r="28" spans="1:33" s="943" customFormat="1" x14ac:dyDescent="0.3">
      <c r="A28" s="947" t="s">
        <v>33</v>
      </c>
      <c r="B28" s="948">
        <f>J28+L28+N28+P28+R28+T28+V28+X28+Z28+AB28+AD28+H28</f>
        <v>559.01</v>
      </c>
      <c r="C28" s="948">
        <f>H28+J28+L28+N28</f>
        <v>0</v>
      </c>
      <c r="D28" s="948">
        <f>E28</f>
        <v>0</v>
      </c>
      <c r="E28" s="948">
        <f>SUM(I28,K28,M28,O28,Q28,S28,U28,W28,Y28,AA28,AC28,AE28)</f>
        <v>0</v>
      </c>
      <c r="F28" s="948">
        <f t="shared" si="4"/>
        <v>0</v>
      </c>
      <c r="G28" s="948">
        <f t="shared" si="5"/>
        <v>0</v>
      </c>
      <c r="H28" s="948"/>
      <c r="I28" s="948"/>
      <c r="J28" s="948"/>
      <c r="K28" s="948"/>
      <c r="L28" s="948"/>
      <c r="M28" s="948"/>
      <c r="N28" s="948"/>
      <c r="O28" s="948"/>
      <c r="P28" s="948"/>
      <c r="Q28" s="948"/>
      <c r="R28" s="948"/>
      <c r="S28" s="948"/>
      <c r="T28" s="948"/>
      <c r="U28" s="948"/>
      <c r="V28" s="948"/>
      <c r="W28" s="948"/>
      <c r="X28" s="948"/>
      <c r="Y28" s="948"/>
      <c r="Z28" s="948"/>
      <c r="AA28" s="948"/>
      <c r="AB28" s="948">
        <v>559.01</v>
      </c>
      <c r="AC28" s="948"/>
      <c r="AD28" s="948"/>
      <c r="AE28" s="948"/>
      <c r="AF28" s="941"/>
      <c r="AG28" s="942">
        <f t="shared" si="1"/>
        <v>0</v>
      </c>
    </row>
    <row r="29" spans="1:33" s="943" customFormat="1" ht="37.5" x14ac:dyDescent="0.3">
      <c r="A29" s="949" t="s">
        <v>174</v>
      </c>
      <c r="B29" s="948">
        <f>J29+L29+N29+P29+R29+T29+V29+X29+Z29+AB29+AD29+H29</f>
        <v>559.01</v>
      </c>
      <c r="C29" s="948">
        <f>H29+J29+L29+N29</f>
        <v>0</v>
      </c>
      <c r="D29" s="948">
        <f>E29</f>
        <v>0</v>
      </c>
      <c r="E29" s="948">
        <f>SUM(I29,K29,M29,O29,Q29,S29,U29,W29,Y29,AA29,AC29,AE29)</f>
        <v>0</v>
      </c>
      <c r="F29" s="948">
        <f t="shared" si="4"/>
        <v>0</v>
      </c>
      <c r="G29" s="948">
        <f t="shared" si="5"/>
        <v>0</v>
      </c>
      <c r="H29" s="948"/>
      <c r="I29" s="948"/>
      <c r="J29" s="948"/>
      <c r="K29" s="948"/>
      <c r="L29" s="948"/>
      <c r="M29" s="948"/>
      <c r="N29" s="948"/>
      <c r="O29" s="948"/>
      <c r="P29" s="948"/>
      <c r="Q29" s="948"/>
      <c r="R29" s="948"/>
      <c r="S29" s="948"/>
      <c r="T29" s="948"/>
      <c r="U29" s="948"/>
      <c r="V29" s="948"/>
      <c r="W29" s="948"/>
      <c r="X29" s="948"/>
      <c r="Y29" s="948"/>
      <c r="Z29" s="948"/>
      <c r="AA29" s="948"/>
      <c r="AB29" s="948">
        <v>559.01</v>
      </c>
      <c r="AC29" s="948"/>
      <c r="AD29" s="948"/>
      <c r="AE29" s="948"/>
      <c r="AF29" s="941"/>
      <c r="AG29" s="942"/>
    </row>
    <row r="30" spans="1:33" s="943" customFormat="1" ht="22.5" customHeight="1" x14ac:dyDescent="0.3">
      <c r="A30" s="947" t="s">
        <v>170</v>
      </c>
      <c r="B30" s="948">
        <f>J30+L30+N30+P30+R30+T30+V30+X30+Z30+AB30+AD30+H30</f>
        <v>1715</v>
      </c>
      <c r="C30" s="948">
        <f>H30+J30+L30+N30</f>
        <v>765</v>
      </c>
      <c r="D30" s="948">
        <f>E30</f>
        <v>0</v>
      </c>
      <c r="E30" s="948">
        <f>SUM(I30,K30,M30,O30,Q30,S30,U30,W30,Y30,AA30,AC30,AE30)</f>
        <v>0</v>
      </c>
      <c r="F30" s="948">
        <f t="shared" si="4"/>
        <v>0</v>
      </c>
      <c r="G30" s="948">
        <f t="shared" si="5"/>
        <v>0</v>
      </c>
      <c r="H30" s="948"/>
      <c r="I30" s="948"/>
      <c r="J30" s="948"/>
      <c r="K30" s="948"/>
      <c r="L30" s="948">
        <v>765</v>
      </c>
      <c r="M30" s="948">
        <v>0</v>
      </c>
      <c r="N30" s="948"/>
      <c r="O30" s="948"/>
      <c r="P30" s="948"/>
      <c r="Q30" s="948"/>
      <c r="R30" s="948"/>
      <c r="S30" s="948"/>
      <c r="T30" s="948"/>
      <c r="U30" s="948"/>
      <c r="V30" s="948"/>
      <c r="W30" s="948"/>
      <c r="X30" s="948"/>
      <c r="Y30" s="948"/>
      <c r="Z30" s="948"/>
      <c r="AA30" s="948"/>
      <c r="AB30" s="948"/>
      <c r="AC30" s="948"/>
      <c r="AD30" s="948">
        <v>950</v>
      </c>
      <c r="AE30" s="948"/>
      <c r="AF30" s="941"/>
      <c r="AG30" s="942">
        <f t="shared" si="1"/>
        <v>0</v>
      </c>
    </row>
    <row r="31" spans="1:33" s="622" customFormat="1" ht="93.75" x14ac:dyDescent="0.3">
      <c r="A31" s="629" t="s">
        <v>321</v>
      </c>
      <c r="B31" s="624"/>
      <c r="C31" s="630"/>
      <c r="D31" s="630"/>
      <c r="E31" s="630"/>
      <c r="F31" s="630"/>
      <c r="G31" s="630"/>
      <c r="H31" s="630"/>
      <c r="I31" s="630"/>
      <c r="J31" s="630"/>
      <c r="K31" s="630"/>
      <c r="L31" s="630"/>
      <c r="M31" s="630"/>
      <c r="N31" s="630"/>
      <c r="O31" s="630"/>
      <c r="P31" s="630"/>
      <c r="Q31" s="630"/>
      <c r="R31" s="630"/>
      <c r="S31" s="630"/>
      <c r="T31" s="630"/>
      <c r="U31" s="630"/>
      <c r="V31" s="630"/>
      <c r="W31" s="630"/>
      <c r="X31" s="630"/>
      <c r="Y31" s="630"/>
      <c r="Z31" s="630"/>
      <c r="AA31" s="630"/>
      <c r="AB31" s="630"/>
      <c r="AC31" s="630"/>
      <c r="AD31" s="630"/>
      <c r="AE31" s="630"/>
      <c r="AF31" s="620"/>
      <c r="AG31" s="621">
        <f t="shared" si="1"/>
        <v>0</v>
      </c>
    </row>
    <row r="32" spans="1:33" s="622" customFormat="1" x14ac:dyDescent="0.3">
      <c r="A32" s="623" t="s">
        <v>31</v>
      </c>
      <c r="B32" s="624">
        <f>B33+B34+B35</f>
        <v>34383</v>
      </c>
      <c r="C32" s="624">
        <f>C33+C34+C35</f>
        <v>14359.5</v>
      </c>
      <c r="D32" s="624">
        <f>D33+D34+D35</f>
        <v>13840.3</v>
      </c>
      <c r="E32" s="624">
        <f>E33+E34+E35</f>
        <v>13840.3</v>
      </c>
      <c r="F32" s="625">
        <f t="shared" ref="F32:F37" si="7">IFERROR(E32/B32*100,0)</f>
        <v>40.253322863042776</v>
      </c>
      <c r="G32" s="625">
        <f t="shared" ref="G32:G37" si="8">IFERROR(E32/C32*100,0)</f>
        <v>96.38427521849647</v>
      </c>
      <c r="H32" s="624">
        <f t="shared" ref="H32:AE32" si="9">H33+H34+H35</f>
        <v>4676.5</v>
      </c>
      <c r="I32" s="624">
        <f t="shared" si="9"/>
        <v>420.84</v>
      </c>
      <c r="J32" s="624">
        <f t="shared" si="9"/>
        <v>5487</v>
      </c>
      <c r="K32" s="624">
        <f t="shared" si="9"/>
        <v>9742.16</v>
      </c>
      <c r="L32" s="624">
        <f t="shared" si="9"/>
        <v>3626</v>
      </c>
      <c r="M32" s="624">
        <f t="shared" si="9"/>
        <v>326.33999999999997</v>
      </c>
      <c r="N32" s="624">
        <f t="shared" si="9"/>
        <v>570</v>
      </c>
      <c r="O32" s="624">
        <f t="shared" si="9"/>
        <v>3350.96</v>
      </c>
      <c r="P32" s="624">
        <f t="shared" si="9"/>
        <v>0</v>
      </c>
      <c r="Q32" s="624">
        <f t="shared" si="9"/>
        <v>0</v>
      </c>
      <c r="R32" s="624">
        <f t="shared" si="9"/>
        <v>0</v>
      </c>
      <c r="S32" s="624">
        <f t="shared" si="9"/>
        <v>0</v>
      </c>
      <c r="T32" s="624">
        <f t="shared" si="9"/>
        <v>0</v>
      </c>
      <c r="U32" s="624">
        <f t="shared" si="9"/>
        <v>0</v>
      </c>
      <c r="V32" s="624">
        <f t="shared" si="9"/>
        <v>0</v>
      </c>
      <c r="W32" s="624">
        <f t="shared" si="9"/>
        <v>0</v>
      </c>
      <c r="X32" s="624">
        <f t="shared" si="9"/>
        <v>0</v>
      </c>
      <c r="Y32" s="624">
        <f t="shared" si="9"/>
        <v>0</v>
      </c>
      <c r="Z32" s="624">
        <f t="shared" si="9"/>
        <v>0</v>
      </c>
      <c r="AA32" s="624">
        <f t="shared" si="9"/>
        <v>0</v>
      </c>
      <c r="AB32" s="624">
        <f t="shared" si="9"/>
        <v>0</v>
      </c>
      <c r="AC32" s="624">
        <f t="shared" si="9"/>
        <v>0</v>
      </c>
      <c r="AD32" s="624">
        <f t="shared" si="9"/>
        <v>20023.5</v>
      </c>
      <c r="AE32" s="624">
        <f t="shared" si="9"/>
        <v>0</v>
      </c>
      <c r="AF32" s="620"/>
      <c r="AG32" s="621">
        <f t="shared" si="1"/>
        <v>0</v>
      </c>
    </row>
    <row r="33" spans="1:33" s="622" customFormat="1" x14ac:dyDescent="0.3">
      <c r="A33" s="626" t="s">
        <v>169</v>
      </c>
      <c r="B33" s="627">
        <f>J33+L33+N33+P33+R33+T33+V33+X33+Z33+AB33+AD33+H33</f>
        <v>0</v>
      </c>
      <c r="C33" s="627">
        <f>SUM(H33+J33+L33+N33)</f>
        <v>0</v>
      </c>
      <c r="D33" s="627">
        <f>E33</f>
        <v>0</v>
      </c>
      <c r="E33" s="627">
        <f>SUM(I33,K33,M33,O33,Q33,S33,U33,W33,Y33,AA33,AC33,AE33)</f>
        <v>0</v>
      </c>
      <c r="F33" s="627">
        <f t="shared" si="7"/>
        <v>0</v>
      </c>
      <c r="G33" s="627">
        <f t="shared" si="8"/>
        <v>0</v>
      </c>
      <c r="H33" s="627"/>
      <c r="I33" s="627"/>
      <c r="J33" s="627"/>
      <c r="K33" s="627"/>
      <c r="L33" s="627"/>
      <c r="M33" s="627"/>
      <c r="N33" s="627"/>
      <c r="O33" s="627"/>
      <c r="P33" s="627"/>
      <c r="Q33" s="627"/>
      <c r="R33" s="627"/>
      <c r="S33" s="627"/>
      <c r="T33" s="627"/>
      <c r="U33" s="627"/>
      <c r="V33" s="627"/>
      <c r="W33" s="627"/>
      <c r="X33" s="627"/>
      <c r="Y33" s="627"/>
      <c r="Z33" s="627"/>
      <c r="AA33" s="627"/>
      <c r="AB33" s="627"/>
      <c r="AC33" s="627"/>
      <c r="AD33" s="627"/>
      <c r="AE33" s="627"/>
      <c r="AF33" s="620"/>
      <c r="AG33" s="621">
        <f t="shared" si="1"/>
        <v>0</v>
      </c>
    </row>
    <row r="34" spans="1:33" s="622" customFormat="1" x14ac:dyDescent="0.3">
      <c r="A34" s="626" t="s">
        <v>32</v>
      </c>
      <c r="B34" s="627">
        <f>J34+L34+N34+P34+R34+T34+V34+X34+Z34+AB34+AD34+H34</f>
        <v>31288.5</v>
      </c>
      <c r="C34" s="627">
        <f>SUM(H34+J34+L34+N34)</f>
        <v>13067.03</v>
      </c>
      <c r="D34" s="627">
        <f>E34</f>
        <v>12547.99</v>
      </c>
      <c r="E34" s="627">
        <f>SUM(I34,K34,M34,O34,Q34,S34,U34,W34,Y34,AA34,AC34,AE34)</f>
        <v>12547.99</v>
      </c>
      <c r="F34" s="627">
        <f t="shared" si="7"/>
        <v>40.104159675280052</v>
      </c>
      <c r="G34" s="627">
        <f t="shared" si="8"/>
        <v>96.027865551697673</v>
      </c>
      <c r="H34" s="627">
        <v>4255.5</v>
      </c>
      <c r="I34" s="627"/>
      <c r="J34" s="627">
        <v>4993.17</v>
      </c>
      <c r="K34" s="627">
        <v>9248.33</v>
      </c>
      <c r="L34" s="627">
        <v>3299.66</v>
      </c>
      <c r="M34" s="627"/>
      <c r="N34" s="627">
        <v>518.70000000000005</v>
      </c>
      <c r="O34" s="627">
        <v>3299.66</v>
      </c>
      <c r="P34" s="627"/>
      <c r="Q34" s="627"/>
      <c r="R34" s="627"/>
      <c r="S34" s="627"/>
      <c r="T34" s="627"/>
      <c r="U34" s="627"/>
      <c r="V34" s="627"/>
      <c r="W34" s="627"/>
      <c r="X34" s="627"/>
      <c r="Y34" s="627"/>
      <c r="Z34" s="627"/>
      <c r="AA34" s="627"/>
      <c r="AB34" s="627"/>
      <c r="AC34" s="627"/>
      <c r="AD34" s="627">
        <v>18221.47</v>
      </c>
      <c r="AE34" s="627"/>
      <c r="AF34" s="620"/>
      <c r="AG34" s="621">
        <f t="shared" si="1"/>
        <v>0</v>
      </c>
    </row>
    <row r="35" spans="1:33" s="622" customFormat="1" x14ac:dyDescent="0.3">
      <c r="A35" s="626" t="s">
        <v>33</v>
      </c>
      <c r="B35" s="627">
        <f>J35+L35+N35+P35+R35+T35+V35+X35+Z35+AB35+AD35+H35</f>
        <v>3094.5</v>
      </c>
      <c r="C35" s="627">
        <f>SUM(H35+J35+L35+N35)</f>
        <v>1292.4699999999998</v>
      </c>
      <c r="D35" s="627">
        <f>E35</f>
        <v>1292.31</v>
      </c>
      <c r="E35" s="627">
        <f>SUM(I35,K35,M35,O35,Q35,S35,U35,W35,Y35,AA35,AC35,AE35)</f>
        <v>1292.31</v>
      </c>
      <c r="F35" s="627">
        <f t="shared" si="7"/>
        <v>41.761512360639841</v>
      </c>
      <c r="G35" s="627">
        <f t="shared" si="8"/>
        <v>99.987620602412449</v>
      </c>
      <c r="H35" s="627">
        <v>421</v>
      </c>
      <c r="I35" s="627">
        <v>420.84</v>
      </c>
      <c r="J35" s="627">
        <v>493.83</v>
      </c>
      <c r="K35" s="627">
        <v>493.83</v>
      </c>
      <c r="L35" s="627">
        <v>326.33999999999997</v>
      </c>
      <c r="M35" s="627">
        <v>326.33999999999997</v>
      </c>
      <c r="N35" s="627">
        <v>51.3</v>
      </c>
      <c r="O35" s="627">
        <v>51.3</v>
      </c>
      <c r="P35" s="627"/>
      <c r="Q35" s="627"/>
      <c r="R35" s="627"/>
      <c r="S35" s="627"/>
      <c r="T35" s="627"/>
      <c r="U35" s="627"/>
      <c r="V35" s="627"/>
      <c r="W35" s="627"/>
      <c r="X35" s="627"/>
      <c r="Y35" s="627"/>
      <c r="Z35" s="627"/>
      <c r="AA35" s="627"/>
      <c r="AB35" s="627"/>
      <c r="AC35" s="627"/>
      <c r="AD35" s="627">
        <v>1802.03</v>
      </c>
      <c r="AE35" s="627"/>
      <c r="AF35" s="620"/>
      <c r="AG35" s="621">
        <f t="shared" si="1"/>
        <v>0</v>
      </c>
    </row>
    <row r="36" spans="1:33" s="622" customFormat="1" ht="37.5" x14ac:dyDescent="0.3">
      <c r="A36" s="633" t="s">
        <v>174</v>
      </c>
      <c r="B36" s="627">
        <f>J36+L36+N36+P36+R36+T36+V36+X36+Z36+AB36+AD36+H36</f>
        <v>3094.5</v>
      </c>
      <c r="C36" s="627">
        <f>SUM(H36+J36+L36+N36)</f>
        <v>1292.4699999999998</v>
      </c>
      <c r="D36" s="627">
        <f>E36</f>
        <v>1292.31</v>
      </c>
      <c r="E36" s="627">
        <f>SUM(I36,K36,M36,O36,Q36,S36,U36,W36,Y36,AA36,AC36,AE36)</f>
        <v>1292.31</v>
      </c>
      <c r="F36" s="627">
        <f t="shared" si="7"/>
        <v>41.761512360639841</v>
      </c>
      <c r="G36" s="627">
        <f t="shared" si="8"/>
        <v>99.987620602412449</v>
      </c>
      <c r="H36" s="627">
        <v>421</v>
      </c>
      <c r="I36" s="627">
        <v>420.84</v>
      </c>
      <c r="J36" s="627">
        <v>493.83</v>
      </c>
      <c r="K36" s="627">
        <v>493.83</v>
      </c>
      <c r="L36" s="627">
        <v>326.33999999999997</v>
      </c>
      <c r="M36" s="627">
        <v>326.33999999999997</v>
      </c>
      <c r="N36" s="627">
        <v>51.3</v>
      </c>
      <c r="O36" s="627">
        <v>51.3</v>
      </c>
      <c r="P36" s="627"/>
      <c r="Q36" s="627"/>
      <c r="R36" s="627"/>
      <c r="S36" s="627"/>
      <c r="T36" s="627"/>
      <c r="U36" s="627"/>
      <c r="V36" s="627"/>
      <c r="W36" s="627"/>
      <c r="X36" s="627"/>
      <c r="Y36" s="627"/>
      <c r="Z36" s="627"/>
      <c r="AA36" s="627"/>
      <c r="AB36" s="627"/>
      <c r="AC36" s="627"/>
      <c r="AD36" s="627">
        <v>1802.03</v>
      </c>
      <c r="AE36" s="627"/>
      <c r="AF36" s="620"/>
      <c r="AG36" s="621"/>
    </row>
    <row r="37" spans="1:33" s="622" customFormat="1" x14ac:dyDescent="0.3">
      <c r="A37" s="626" t="s">
        <v>170</v>
      </c>
      <c r="B37" s="627">
        <f>J37+L37+N37+P37+R37+T37+V37+X37+Z37+AB37+AD37+H37</f>
        <v>0</v>
      </c>
      <c r="C37" s="627">
        <f>SUM(H37+J37+L37+N37)</f>
        <v>0</v>
      </c>
      <c r="D37" s="627">
        <f>E37</f>
        <v>0</v>
      </c>
      <c r="E37" s="627">
        <f>SUM(I37,K37,M37,O37,Q37,S37,U37,W37,Y37,AA37,AC37,AE37)</f>
        <v>0</v>
      </c>
      <c r="F37" s="627">
        <f t="shared" si="7"/>
        <v>0</v>
      </c>
      <c r="G37" s="627">
        <f t="shared" si="8"/>
        <v>0</v>
      </c>
      <c r="H37" s="627"/>
      <c r="I37" s="627"/>
      <c r="J37" s="627"/>
      <c r="K37" s="627"/>
      <c r="L37" s="627"/>
      <c r="M37" s="627"/>
      <c r="N37" s="627"/>
      <c r="O37" s="627"/>
      <c r="P37" s="627"/>
      <c r="Q37" s="627"/>
      <c r="R37" s="627"/>
      <c r="S37" s="627"/>
      <c r="T37" s="627"/>
      <c r="U37" s="627"/>
      <c r="V37" s="627"/>
      <c r="W37" s="627"/>
      <c r="X37" s="627"/>
      <c r="Y37" s="627"/>
      <c r="Z37" s="627"/>
      <c r="AA37" s="627"/>
      <c r="AB37" s="627"/>
      <c r="AC37" s="627"/>
      <c r="AD37" s="627"/>
      <c r="AE37" s="627"/>
      <c r="AF37" s="620"/>
      <c r="AG37" s="621">
        <f t="shared" si="1"/>
        <v>0</v>
      </c>
    </row>
    <row r="38" spans="1:33" s="622" customFormat="1" ht="121.5" customHeight="1" x14ac:dyDescent="0.3">
      <c r="A38" s="629" t="s">
        <v>322</v>
      </c>
      <c r="B38" s="624"/>
      <c r="C38" s="630"/>
      <c r="D38" s="630"/>
      <c r="E38" s="630"/>
      <c r="F38" s="630"/>
      <c r="G38" s="630"/>
      <c r="H38" s="624"/>
      <c r="I38" s="624"/>
      <c r="J38" s="624"/>
      <c r="K38" s="624"/>
      <c r="L38" s="624"/>
      <c r="M38" s="624"/>
      <c r="N38" s="624"/>
      <c r="O38" s="624"/>
      <c r="P38" s="624"/>
      <c r="Q38" s="624"/>
      <c r="R38" s="624"/>
      <c r="S38" s="624"/>
      <c r="T38" s="624"/>
      <c r="U38" s="624"/>
      <c r="V38" s="624"/>
      <c r="W38" s="624"/>
      <c r="X38" s="624"/>
      <c r="Y38" s="624"/>
      <c r="Z38" s="624"/>
      <c r="AA38" s="624"/>
      <c r="AB38" s="624"/>
      <c r="AC38" s="624"/>
      <c r="AD38" s="624"/>
      <c r="AE38" s="624"/>
      <c r="AF38" s="620"/>
      <c r="AG38" s="621">
        <f t="shared" si="1"/>
        <v>0</v>
      </c>
    </row>
    <row r="39" spans="1:33" s="622" customFormat="1" x14ac:dyDescent="0.3">
      <c r="A39" s="631" t="s">
        <v>31</v>
      </c>
      <c r="B39" s="624">
        <f>B40+B41+B42+B44</f>
        <v>19928.954999999994</v>
      </c>
      <c r="C39" s="624">
        <f>C40+C41+C42</f>
        <v>9151.8149999999987</v>
      </c>
      <c r="D39" s="624">
        <f>D40+D41+D42</f>
        <v>8469.3100000000013</v>
      </c>
      <c r="E39" s="624">
        <f>E40+E41+E42</f>
        <v>8469.3100000000013</v>
      </c>
      <c r="F39" s="625">
        <f t="shared" ref="F39:F44" si="10">IFERROR(E39/B39*100,0)</f>
        <v>42.497511786242697</v>
      </c>
      <c r="G39" s="625">
        <f t="shared" ref="G39:G44" si="11">IFERROR(E39/C39*100,0)</f>
        <v>92.542408254537506</v>
      </c>
      <c r="H39" s="624">
        <f>H40+H41+H42+H44</f>
        <v>0</v>
      </c>
      <c r="I39" s="624">
        <f t="shared" ref="I39:AE39" si="12">I40+I41+I42+I44</f>
        <v>0</v>
      </c>
      <c r="J39" s="624">
        <f t="shared" si="12"/>
        <v>1918</v>
      </c>
      <c r="K39" s="624">
        <f t="shared" si="12"/>
        <v>1318</v>
      </c>
      <c r="L39" s="624">
        <f t="shared" si="12"/>
        <v>3264.4450000000002</v>
      </c>
      <c r="M39" s="624">
        <f t="shared" si="12"/>
        <v>2954.4450000000002</v>
      </c>
      <c r="N39" s="624">
        <f t="shared" si="12"/>
        <v>0</v>
      </c>
      <c r="O39" s="624">
        <f t="shared" si="12"/>
        <v>909.995</v>
      </c>
      <c r="P39" s="624">
        <f t="shared" si="12"/>
        <v>3969.37</v>
      </c>
      <c r="Q39" s="624">
        <f t="shared" si="12"/>
        <v>3286.87</v>
      </c>
      <c r="R39" s="624">
        <f t="shared" si="12"/>
        <v>214.14000000000001</v>
      </c>
      <c r="S39" s="624">
        <f t="shared" si="12"/>
        <v>0</v>
      </c>
      <c r="T39" s="624">
        <f t="shared" si="12"/>
        <v>0</v>
      </c>
      <c r="U39" s="624">
        <f t="shared" si="12"/>
        <v>0</v>
      </c>
      <c r="V39" s="624">
        <f t="shared" si="12"/>
        <v>0</v>
      </c>
      <c r="W39" s="624">
        <f t="shared" si="12"/>
        <v>0</v>
      </c>
      <c r="X39" s="624">
        <f t="shared" si="12"/>
        <v>0</v>
      </c>
      <c r="Y39" s="624">
        <f t="shared" si="12"/>
        <v>0</v>
      </c>
      <c r="Z39" s="624">
        <f t="shared" si="12"/>
        <v>0</v>
      </c>
      <c r="AA39" s="624">
        <f t="shared" si="12"/>
        <v>0</v>
      </c>
      <c r="AB39" s="624">
        <f t="shared" si="12"/>
        <v>0</v>
      </c>
      <c r="AC39" s="624">
        <f t="shared" si="12"/>
        <v>0</v>
      </c>
      <c r="AD39" s="624">
        <f t="shared" si="12"/>
        <v>10563</v>
      </c>
      <c r="AE39" s="624">
        <f t="shared" si="12"/>
        <v>0</v>
      </c>
      <c r="AF39" s="620"/>
      <c r="AG39" s="621">
        <f t="shared" si="1"/>
        <v>0</v>
      </c>
    </row>
    <row r="40" spans="1:33" s="622" customFormat="1" x14ac:dyDescent="0.3">
      <c r="A40" s="632" t="s">
        <v>169</v>
      </c>
      <c r="B40" s="627">
        <f>J40+L40+N40+P40+R40+T40+V40+X40+Z40+AB40+AD40+H40</f>
        <v>0</v>
      </c>
      <c r="C40" s="627">
        <f>SUM(H40+J40+L40+N40)</f>
        <v>0</v>
      </c>
      <c r="D40" s="627">
        <f>E40</f>
        <v>0</v>
      </c>
      <c r="E40" s="627">
        <f>SUM(I40,K40,M40,O40,Q40,S40,U40,W40,Y40,AA40,AC40,AE40)</f>
        <v>0</v>
      </c>
      <c r="F40" s="627">
        <f t="shared" si="10"/>
        <v>0</v>
      </c>
      <c r="G40" s="627">
        <f t="shared" si="11"/>
        <v>0</v>
      </c>
      <c r="H40" s="627"/>
      <c r="I40" s="627"/>
      <c r="J40" s="627"/>
      <c r="K40" s="627"/>
      <c r="L40" s="627"/>
      <c r="M40" s="627"/>
      <c r="N40" s="627"/>
      <c r="O40" s="627"/>
      <c r="P40" s="627"/>
      <c r="Q40" s="627"/>
      <c r="R40" s="627"/>
      <c r="S40" s="627"/>
      <c r="T40" s="627"/>
      <c r="U40" s="627"/>
      <c r="V40" s="627"/>
      <c r="W40" s="627"/>
      <c r="X40" s="627"/>
      <c r="Y40" s="627"/>
      <c r="Z40" s="627"/>
      <c r="AA40" s="627"/>
      <c r="AB40" s="627"/>
      <c r="AC40" s="627"/>
      <c r="AD40" s="627"/>
      <c r="AE40" s="627"/>
      <c r="AF40" s="620"/>
      <c r="AG40" s="621">
        <f t="shared" si="1"/>
        <v>0</v>
      </c>
    </row>
    <row r="41" spans="1:33" s="622" customFormat="1" x14ac:dyDescent="0.3">
      <c r="A41" s="632" t="s">
        <v>32</v>
      </c>
      <c r="B41" s="627">
        <f>J41+L41+N41+P41+R41+T41+V41+X41+Z41+AB41+AD41+H41</f>
        <v>18135.284999999996</v>
      </c>
      <c r="C41" s="627">
        <f>SUM(H41+J41+L41+P41+N41)</f>
        <v>8328.1549999999988</v>
      </c>
      <c r="D41" s="627">
        <f>E41</f>
        <v>7645.6500000000005</v>
      </c>
      <c r="E41" s="627">
        <f>SUM(I41,K41,M41,O41,Q41,S41,U41,W41,Y41,AA41,AC41,AE41)</f>
        <v>7645.6500000000005</v>
      </c>
      <c r="F41" s="627">
        <f t="shared" si="10"/>
        <v>42.158973514891009</v>
      </c>
      <c r="G41" s="627">
        <f t="shared" si="11"/>
        <v>91.804847532256559</v>
      </c>
      <c r="H41" s="627"/>
      <c r="I41" s="627"/>
      <c r="J41" s="627">
        <v>1745.38</v>
      </c>
      <c r="K41" s="627">
        <v>1199.3800000000001</v>
      </c>
      <c r="L41" s="627">
        <v>2970.645</v>
      </c>
      <c r="M41" s="627">
        <v>2606.645</v>
      </c>
      <c r="N41" s="627"/>
      <c r="O41" s="627">
        <v>909.995</v>
      </c>
      <c r="P41" s="627">
        <v>3612.13</v>
      </c>
      <c r="Q41" s="627">
        <v>2929.63</v>
      </c>
      <c r="R41" s="627">
        <v>194.83</v>
      </c>
      <c r="S41" s="627">
        <v>0</v>
      </c>
      <c r="T41" s="627"/>
      <c r="U41" s="627"/>
      <c r="V41" s="627"/>
      <c r="W41" s="627"/>
      <c r="X41" s="627"/>
      <c r="Y41" s="627"/>
      <c r="Z41" s="627"/>
      <c r="AA41" s="627"/>
      <c r="AB41" s="627"/>
      <c r="AC41" s="627"/>
      <c r="AD41" s="627">
        <v>9612.2999999999993</v>
      </c>
      <c r="AE41" s="627"/>
      <c r="AF41" s="620"/>
      <c r="AG41" s="621">
        <f t="shared" si="1"/>
        <v>0</v>
      </c>
    </row>
    <row r="42" spans="1:33" s="622" customFormat="1" x14ac:dyDescent="0.3">
      <c r="A42" s="632" t="s">
        <v>33</v>
      </c>
      <c r="B42" s="627">
        <f>J42+L42+N42+P42+R42+T42+V42+X42+Z42+AB42+AD42+H42</f>
        <v>1793.67</v>
      </c>
      <c r="C42" s="627">
        <f>SUM(H42+J42+L42+P42+N42)</f>
        <v>823.66000000000008</v>
      </c>
      <c r="D42" s="627">
        <f>E42</f>
        <v>823.66000000000008</v>
      </c>
      <c r="E42" s="627">
        <f>SUM(I42,K42,M42,O42,Q42,S42,U42,W42,Y42,AA42,AC42,AE42)</f>
        <v>823.66000000000008</v>
      </c>
      <c r="F42" s="627">
        <f t="shared" si="10"/>
        <v>45.920375542881359</v>
      </c>
      <c r="G42" s="627">
        <f t="shared" si="11"/>
        <v>100</v>
      </c>
      <c r="H42" s="627"/>
      <c r="I42" s="627"/>
      <c r="J42" s="627">
        <v>172.62</v>
      </c>
      <c r="K42" s="627">
        <v>118.62</v>
      </c>
      <c r="L42" s="627">
        <v>293.8</v>
      </c>
      <c r="M42" s="627">
        <v>347.8</v>
      </c>
      <c r="N42" s="627"/>
      <c r="O42" s="627"/>
      <c r="P42" s="627">
        <v>357.24</v>
      </c>
      <c r="Q42" s="627">
        <v>357.24</v>
      </c>
      <c r="R42" s="627">
        <v>19.309999999999999</v>
      </c>
      <c r="S42" s="627">
        <v>0</v>
      </c>
      <c r="T42" s="627"/>
      <c r="U42" s="627"/>
      <c r="V42" s="627"/>
      <c r="W42" s="627"/>
      <c r="X42" s="627"/>
      <c r="Y42" s="627"/>
      <c r="Z42" s="627"/>
      <c r="AA42" s="627"/>
      <c r="AB42" s="627"/>
      <c r="AC42" s="627"/>
      <c r="AD42" s="627">
        <v>950.7</v>
      </c>
      <c r="AE42" s="627"/>
      <c r="AF42" s="620"/>
      <c r="AG42" s="621">
        <f t="shared" si="1"/>
        <v>0</v>
      </c>
    </row>
    <row r="43" spans="1:33" s="622" customFormat="1" ht="37.5" x14ac:dyDescent="0.3">
      <c r="A43" s="633" t="s">
        <v>174</v>
      </c>
      <c r="B43" s="627">
        <f>J43+L43+N43+P43+R43+T43+V43+X43+Z43+AB43+AD43+H43</f>
        <v>1793.67</v>
      </c>
      <c r="C43" s="627">
        <f>SUM(H43+J43+L43+P43+N43)</f>
        <v>823.66000000000008</v>
      </c>
      <c r="D43" s="627">
        <f>E43</f>
        <v>823.66000000000008</v>
      </c>
      <c r="E43" s="627">
        <f>SUM(I43,K43,M43,O43,Q43,S43,U43,W43,Y43,AA43,AC43,AE43)</f>
        <v>823.66000000000008</v>
      </c>
      <c r="F43" s="627">
        <f t="shared" si="10"/>
        <v>45.920375542881359</v>
      </c>
      <c r="G43" s="627">
        <f t="shared" si="11"/>
        <v>100</v>
      </c>
      <c r="H43" s="627"/>
      <c r="I43" s="627"/>
      <c r="J43" s="627">
        <v>172.62</v>
      </c>
      <c r="K43" s="627">
        <v>118.62</v>
      </c>
      <c r="L43" s="627">
        <v>293.8</v>
      </c>
      <c r="M43" s="627">
        <v>347.8</v>
      </c>
      <c r="N43" s="627"/>
      <c r="O43" s="627"/>
      <c r="P43" s="627">
        <v>357.24</v>
      </c>
      <c r="Q43" s="627">
        <v>357.24</v>
      </c>
      <c r="R43" s="627">
        <v>19.309999999999999</v>
      </c>
      <c r="S43" s="627">
        <v>0</v>
      </c>
      <c r="T43" s="627"/>
      <c r="U43" s="627"/>
      <c r="V43" s="627"/>
      <c r="W43" s="627"/>
      <c r="X43" s="627"/>
      <c r="Y43" s="627"/>
      <c r="Z43" s="627"/>
      <c r="AA43" s="627"/>
      <c r="AB43" s="627"/>
      <c r="AC43" s="627"/>
      <c r="AD43" s="627">
        <v>950.7</v>
      </c>
      <c r="AE43" s="627"/>
      <c r="AF43" s="620"/>
      <c r="AG43" s="621"/>
    </row>
    <row r="44" spans="1:33" s="622" customFormat="1" x14ac:dyDescent="0.3">
      <c r="A44" s="632" t="s">
        <v>170</v>
      </c>
      <c r="B44" s="627">
        <f>J44+L44+N44+P44+R44+T44+V44+X44+Z44+AB44+AD44+H44</f>
        <v>0</v>
      </c>
      <c r="C44" s="627">
        <f>SUM(H44+J44+L44+P44+N44)</f>
        <v>0</v>
      </c>
      <c r="D44" s="627">
        <f>E44</f>
        <v>0</v>
      </c>
      <c r="E44" s="627">
        <f>SUM(I44,K44,M44,O44,Q44,S44,U44,W44,Y44,AA44,AC44,AE44)</f>
        <v>0</v>
      </c>
      <c r="F44" s="627">
        <f t="shared" si="10"/>
        <v>0</v>
      </c>
      <c r="G44" s="627">
        <f t="shared" si="11"/>
        <v>0</v>
      </c>
      <c r="H44" s="627"/>
      <c r="I44" s="627"/>
      <c r="J44" s="627"/>
      <c r="K44" s="627"/>
      <c r="L44" s="627"/>
      <c r="M44" s="627"/>
      <c r="N44" s="627"/>
      <c r="O44" s="627"/>
      <c r="P44" s="627"/>
      <c r="Q44" s="627"/>
      <c r="R44" s="627"/>
      <c r="S44" s="627"/>
      <c r="T44" s="627"/>
      <c r="U44" s="627"/>
      <c r="V44" s="627"/>
      <c r="W44" s="627"/>
      <c r="X44" s="627"/>
      <c r="Y44" s="627"/>
      <c r="Z44" s="627"/>
      <c r="AA44" s="627"/>
      <c r="AB44" s="627"/>
      <c r="AC44" s="627"/>
      <c r="AD44" s="627"/>
      <c r="AE44" s="627"/>
      <c r="AF44" s="620"/>
      <c r="AG44" s="621">
        <f t="shared" si="1"/>
        <v>0</v>
      </c>
    </row>
    <row r="45" spans="1:33" s="622" customFormat="1" ht="131.25" x14ac:dyDescent="0.3">
      <c r="A45" s="629" t="s">
        <v>323</v>
      </c>
      <c r="B45" s="624"/>
      <c r="C45" s="630"/>
      <c r="D45" s="630"/>
      <c r="E45" s="630"/>
      <c r="F45" s="630"/>
      <c r="G45" s="630"/>
      <c r="H45" s="630"/>
      <c r="I45" s="630"/>
      <c r="J45" s="630"/>
      <c r="K45" s="630"/>
      <c r="L45" s="630"/>
      <c r="M45" s="630"/>
      <c r="N45" s="630"/>
      <c r="O45" s="630"/>
      <c r="P45" s="630"/>
      <c r="Q45" s="630"/>
      <c r="R45" s="630"/>
      <c r="S45" s="630"/>
      <c r="T45" s="630"/>
      <c r="U45" s="630"/>
      <c r="V45" s="630"/>
      <c r="W45" s="630"/>
      <c r="X45" s="630"/>
      <c r="Y45" s="630"/>
      <c r="Z45" s="630"/>
      <c r="AA45" s="630"/>
      <c r="AB45" s="630"/>
      <c r="AC45" s="630"/>
      <c r="AD45" s="630"/>
      <c r="AE45" s="630"/>
      <c r="AF45" s="620"/>
      <c r="AG45" s="621">
        <f t="shared" si="1"/>
        <v>0</v>
      </c>
    </row>
    <row r="46" spans="1:33" s="622" customFormat="1" x14ac:dyDescent="0.3">
      <c r="A46" s="631" t="s">
        <v>31</v>
      </c>
      <c r="B46" s="624">
        <f>B47+B48+B49+B50</f>
        <v>0</v>
      </c>
      <c r="C46" s="624">
        <f>C47+C48+C49</f>
        <v>0</v>
      </c>
      <c r="D46" s="624">
        <f>D47+D48+D49</f>
        <v>0</v>
      </c>
      <c r="E46" s="624">
        <f>E47+E48+E49</f>
        <v>0</v>
      </c>
      <c r="F46" s="624">
        <f>IFERROR(E46/B46*100,0)</f>
        <v>0</v>
      </c>
      <c r="G46" s="624">
        <f>IFERROR(E46/C46*100,0)</f>
        <v>0</v>
      </c>
      <c r="H46" s="624">
        <f>H47+H48+H49</f>
        <v>0</v>
      </c>
      <c r="I46" s="624">
        <f t="shared" ref="I46:AE46" si="13">I47+I48+I49</f>
        <v>0</v>
      </c>
      <c r="J46" s="624">
        <f t="shared" si="13"/>
        <v>0</v>
      </c>
      <c r="K46" s="624">
        <f t="shared" si="13"/>
        <v>0</v>
      </c>
      <c r="L46" s="624">
        <f t="shared" si="13"/>
        <v>0</v>
      </c>
      <c r="M46" s="624">
        <f t="shared" si="13"/>
        <v>0</v>
      </c>
      <c r="N46" s="624">
        <f t="shared" si="13"/>
        <v>0</v>
      </c>
      <c r="O46" s="624">
        <f t="shared" si="13"/>
        <v>0</v>
      </c>
      <c r="P46" s="624">
        <f t="shared" si="13"/>
        <v>0</v>
      </c>
      <c r="Q46" s="624">
        <f t="shared" si="13"/>
        <v>0</v>
      </c>
      <c r="R46" s="624">
        <f t="shared" si="13"/>
        <v>0</v>
      </c>
      <c r="S46" s="624">
        <f t="shared" si="13"/>
        <v>0</v>
      </c>
      <c r="T46" s="624">
        <f t="shared" si="13"/>
        <v>0</v>
      </c>
      <c r="U46" s="624">
        <f t="shared" si="13"/>
        <v>0</v>
      </c>
      <c r="V46" s="624">
        <f t="shared" si="13"/>
        <v>0</v>
      </c>
      <c r="W46" s="624">
        <f t="shared" si="13"/>
        <v>0</v>
      </c>
      <c r="X46" s="624">
        <f t="shared" si="13"/>
        <v>0</v>
      </c>
      <c r="Y46" s="624">
        <f t="shared" si="13"/>
        <v>0</v>
      </c>
      <c r="Z46" s="624">
        <f t="shared" si="13"/>
        <v>0</v>
      </c>
      <c r="AA46" s="624">
        <f t="shared" si="13"/>
        <v>0</v>
      </c>
      <c r="AB46" s="624">
        <f t="shared" si="13"/>
        <v>0</v>
      </c>
      <c r="AC46" s="624">
        <f t="shared" si="13"/>
        <v>0</v>
      </c>
      <c r="AD46" s="624">
        <f t="shared" si="13"/>
        <v>0</v>
      </c>
      <c r="AE46" s="624">
        <f t="shared" si="13"/>
        <v>0</v>
      </c>
      <c r="AF46" s="620"/>
      <c r="AG46" s="621">
        <f t="shared" si="1"/>
        <v>0</v>
      </c>
    </row>
    <row r="47" spans="1:33" s="622" customFormat="1" x14ac:dyDescent="0.3">
      <c r="A47" s="632" t="s">
        <v>169</v>
      </c>
      <c r="B47" s="627">
        <f>J47+L47+N47+P47+R47+T47+V47+X47+Z47+AB47+AD47+H47</f>
        <v>0</v>
      </c>
      <c r="C47" s="627">
        <f>SUM(H47+J47+L47+N47)</f>
        <v>0</v>
      </c>
      <c r="D47" s="627">
        <f>E47</f>
        <v>0</v>
      </c>
      <c r="E47" s="627">
        <f>SUM(I47,K47,M47,O47,Q47,S47,U47,W47,Y47,AA47,AC47,AE47)</f>
        <v>0</v>
      </c>
      <c r="F47" s="627">
        <f>IFERROR(E47/B47*100,0)</f>
        <v>0</v>
      </c>
      <c r="G47" s="627">
        <f>IFERROR(E47/C47*100,0)</f>
        <v>0</v>
      </c>
      <c r="H47" s="627"/>
      <c r="I47" s="627"/>
      <c r="J47" s="627"/>
      <c r="K47" s="627"/>
      <c r="L47" s="627"/>
      <c r="M47" s="627"/>
      <c r="N47" s="627"/>
      <c r="O47" s="627"/>
      <c r="P47" s="627"/>
      <c r="Q47" s="627"/>
      <c r="R47" s="627"/>
      <c r="S47" s="627"/>
      <c r="T47" s="627"/>
      <c r="U47" s="627"/>
      <c r="V47" s="627"/>
      <c r="W47" s="627"/>
      <c r="X47" s="627"/>
      <c r="Y47" s="627"/>
      <c r="Z47" s="627"/>
      <c r="AA47" s="627"/>
      <c r="AB47" s="627"/>
      <c r="AC47" s="627"/>
      <c r="AD47" s="627"/>
      <c r="AE47" s="627"/>
      <c r="AF47" s="620"/>
      <c r="AG47" s="621">
        <f t="shared" si="1"/>
        <v>0</v>
      </c>
    </row>
    <row r="48" spans="1:33" s="622" customFormat="1" x14ac:dyDescent="0.3">
      <c r="A48" s="632" t="s">
        <v>32</v>
      </c>
      <c r="B48" s="627">
        <f>J48+L48+N48+P48+R48+T48+V48+X48+Z48+AB48+AD48+H48</f>
        <v>0</v>
      </c>
      <c r="C48" s="627">
        <f>SUM(H48+J48+L48+N48)</f>
        <v>0</v>
      </c>
      <c r="D48" s="627">
        <f>E48</f>
        <v>0</v>
      </c>
      <c r="E48" s="627">
        <f>SUM(I48,K48,M48,O48,Q48,S48,U48,W48,Y48,AA48,AC48,AE48)</f>
        <v>0</v>
      </c>
      <c r="F48" s="627">
        <f>IFERROR(E48/B48*100,0)</f>
        <v>0</v>
      </c>
      <c r="G48" s="627">
        <f>IFERROR(E48/C48*100,0)</f>
        <v>0</v>
      </c>
      <c r="H48" s="627"/>
      <c r="I48" s="627"/>
      <c r="J48" s="627"/>
      <c r="K48" s="627"/>
      <c r="L48" s="627"/>
      <c r="M48" s="627"/>
      <c r="N48" s="627"/>
      <c r="O48" s="627"/>
      <c r="P48" s="627"/>
      <c r="Q48" s="627"/>
      <c r="R48" s="627"/>
      <c r="S48" s="627"/>
      <c r="T48" s="627"/>
      <c r="U48" s="627"/>
      <c r="V48" s="627"/>
      <c r="W48" s="627"/>
      <c r="X48" s="627"/>
      <c r="Y48" s="627"/>
      <c r="Z48" s="627"/>
      <c r="AA48" s="627"/>
      <c r="AB48" s="627"/>
      <c r="AC48" s="627"/>
      <c r="AD48" s="627"/>
      <c r="AE48" s="627"/>
      <c r="AF48" s="620"/>
      <c r="AG48" s="621">
        <f t="shared" si="1"/>
        <v>0</v>
      </c>
    </row>
    <row r="49" spans="1:33" s="622" customFormat="1" x14ac:dyDescent="0.3">
      <c r="A49" s="632" t="s">
        <v>33</v>
      </c>
      <c r="B49" s="627">
        <f>J49+L49+N49+P49+R49+T49+V49+X49+Z49+AB49+AD49+H49</f>
        <v>0</v>
      </c>
      <c r="C49" s="627">
        <f>SUM(H49+J49+L49+N49)</f>
        <v>0</v>
      </c>
      <c r="D49" s="627">
        <f>E49</f>
        <v>0</v>
      </c>
      <c r="E49" s="627">
        <f>SUM(I49,K49,M49,O49,Q49,S49,U49,W49,Y49,AA49,AC49,AE49)</f>
        <v>0</v>
      </c>
      <c r="F49" s="627">
        <f>IFERROR(E49/B49*100,0)</f>
        <v>0</v>
      </c>
      <c r="G49" s="627">
        <f>IFERROR(E49/C49*100,0)</f>
        <v>0</v>
      </c>
      <c r="H49" s="627"/>
      <c r="I49" s="627"/>
      <c r="J49" s="627"/>
      <c r="K49" s="627"/>
      <c r="L49" s="627"/>
      <c r="M49" s="627"/>
      <c r="N49" s="627"/>
      <c r="O49" s="627"/>
      <c r="P49" s="627"/>
      <c r="Q49" s="627"/>
      <c r="R49" s="627"/>
      <c r="S49" s="627"/>
      <c r="T49" s="627"/>
      <c r="U49" s="627"/>
      <c r="V49" s="627"/>
      <c r="W49" s="627"/>
      <c r="X49" s="627"/>
      <c r="Y49" s="627"/>
      <c r="Z49" s="627"/>
      <c r="AA49" s="627"/>
      <c r="AB49" s="627"/>
      <c r="AC49" s="627"/>
      <c r="AD49" s="627"/>
      <c r="AE49" s="627"/>
      <c r="AF49" s="620"/>
      <c r="AG49" s="621">
        <f t="shared" si="1"/>
        <v>0</v>
      </c>
    </row>
    <row r="50" spans="1:33" s="622" customFormat="1" x14ac:dyDescent="0.3">
      <c r="A50" s="632" t="s">
        <v>170</v>
      </c>
      <c r="B50" s="627">
        <f>J50+L50+N50+P50+R50+T50+V50+X50+Z50+AB50+AD50+H50</f>
        <v>0</v>
      </c>
      <c r="C50" s="627">
        <f>SUM(H50+J50+L50+N50)</f>
        <v>0</v>
      </c>
      <c r="D50" s="627">
        <f>E50</f>
        <v>0</v>
      </c>
      <c r="E50" s="627">
        <f>SUM(I50,K50,M50,O50,Q50,S50,U50,W50,Y50,AA50,AC50,AE50)</f>
        <v>0</v>
      </c>
      <c r="F50" s="627">
        <f>IFERROR(E50/B50*100,0)</f>
        <v>0</v>
      </c>
      <c r="G50" s="627">
        <f>IFERROR(E50/C50*100,0)</f>
        <v>0</v>
      </c>
      <c r="H50" s="627"/>
      <c r="I50" s="627"/>
      <c r="J50" s="627"/>
      <c r="K50" s="627"/>
      <c r="L50" s="627"/>
      <c r="M50" s="627"/>
      <c r="N50" s="627"/>
      <c r="O50" s="627"/>
      <c r="P50" s="627"/>
      <c r="Q50" s="627"/>
      <c r="R50" s="627"/>
      <c r="S50" s="627"/>
      <c r="T50" s="627"/>
      <c r="U50" s="627"/>
      <c r="V50" s="627"/>
      <c r="W50" s="627"/>
      <c r="X50" s="627"/>
      <c r="Y50" s="627"/>
      <c r="Z50" s="627"/>
      <c r="AA50" s="627"/>
      <c r="AB50" s="627"/>
      <c r="AC50" s="627"/>
      <c r="AD50" s="627"/>
      <c r="AE50" s="627"/>
      <c r="AF50" s="620"/>
      <c r="AG50" s="621">
        <f t="shared" si="1"/>
        <v>0</v>
      </c>
    </row>
    <row r="51" spans="1:33" s="622" customFormat="1" ht="131.25" x14ac:dyDescent="0.3">
      <c r="A51" s="629" t="s">
        <v>490</v>
      </c>
      <c r="B51" s="627"/>
      <c r="C51" s="627"/>
      <c r="D51" s="627"/>
      <c r="E51" s="627"/>
      <c r="F51" s="627"/>
      <c r="G51" s="627"/>
      <c r="H51" s="627"/>
      <c r="I51" s="627"/>
      <c r="J51" s="627"/>
      <c r="K51" s="627"/>
      <c r="L51" s="627"/>
      <c r="M51" s="627"/>
      <c r="N51" s="627"/>
      <c r="O51" s="627"/>
      <c r="P51" s="627"/>
      <c r="Q51" s="627"/>
      <c r="R51" s="627"/>
      <c r="S51" s="627"/>
      <c r="T51" s="627"/>
      <c r="U51" s="627"/>
      <c r="V51" s="627"/>
      <c r="W51" s="627"/>
      <c r="X51" s="627"/>
      <c r="Y51" s="627"/>
      <c r="Z51" s="627"/>
      <c r="AA51" s="627"/>
      <c r="AB51" s="627"/>
      <c r="AC51" s="627"/>
      <c r="AD51" s="627"/>
      <c r="AE51" s="627"/>
      <c r="AF51" s="620"/>
      <c r="AG51" s="621"/>
    </row>
    <row r="52" spans="1:33" s="622" customFormat="1" x14ac:dyDescent="0.3">
      <c r="A52" s="631" t="s">
        <v>31</v>
      </c>
      <c r="B52" s="624">
        <f>B53+B54+B55+B57</f>
        <v>2697.0390000000002</v>
      </c>
      <c r="C52" s="624">
        <f>C53+C54+C55+C57</f>
        <v>0</v>
      </c>
      <c r="D52" s="624">
        <f>D53+D54+D55+D57</f>
        <v>0</v>
      </c>
      <c r="E52" s="624">
        <f>E53+E54+E55+E57</f>
        <v>0</v>
      </c>
      <c r="F52" s="624">
        <f t="shared" ref="F52:F57" si="14">IFERROR(E52/B52*100,0)</f>
        <v>0</v>
      </c>
      <c r="G52" s="624">
        <f t="shared" ref="G52:G57" si="15">IFERROR(E52/C52*100,0)</f>
        <v>0</v>
      </c>
      <c r="H52" s="624">
        <f>H53+H54+H55+H57</f>
        <v>0</v>
      </c>
      <c r="I52" s="624">
        <f t="shared" ref="I52:AF52" si="16">I53+I54+I55+I57</f>
        <v>0</v>
      </c>
      <c r="J52" s="624">
        <f t="shared" si="16"/>
        <v>0</v>
      </c>
      <c r="K52" s="624">
        <f t="shared" si="16"/>
        <v>0</v>
      </c>
      <c r="L52" s="624">
        <f t="shared" si="16"/>
        <v>0</v>
      </c>
      <c r="M52" s="624">
        <f t="shared" si="16"/>
        <v>0</v>
      </c>
      <c r="N52" s="624">
        <f t="shared" si="16"/>
        <v>0</v>
      </c>
      <c r="O52" s="624">
        <f t="shared" si="16"/>
        <v>0</v>
      </c>
      <c r="P52" s="624">
        <f t="shared" si="16"/>
        <v>0</v>
      </c>
      <c r="Q52" s="624">
        <f t="shared" si="16"/>
        <v>0</v>
      </c>
      <c r="R52" s="624">
        <f t="shared" si="16"/>
        <v>2697.0390000000002</v>
      </c>
      <c r="S52" s="624">
        <f t="shared" si="16"/>
        <v>0</v>
      </c>
      <c r="T52" s="624">
        <f t="shared" si="16"/>
        <v>0</v>
      </c>
      <c r="U52" s="624">
        <f t="shared" si="16"/>
        <v>0</v>
      </c>
      <c r="V52" s="624">
        <f t="shared" si="16"/>
        <v>0</v>
      </c>
      <c r="W52" s="624">
        <f t="shared" si="16"/>
        <v>0</v>
      </c>
      <c r="X52" s="624">
        <f t="shared" si="16"/>
        <v>0</v>
      </c>
      <c r="Y52" s="624">
        <f t="shared" si="16"/>
        <v>0</v>
      </c>
      <c r="Z52" s="624">
        <f t="shared" si="16"/>
        <v>0</v>
      </c>
      <c r="AA52" s="624">
        <f t="shared" si="16"/>
        <v>0</v>
      </c>
      <c r="AB52" s="624">
        <f t="shared" si="16"/>
        <v>0</v>
      </c>
      <c r="AC52" s="624">
        <f t="shared" si="16"/>
        <v>0</v>
      </c>
      <c r="AD52" s="624">
        <f t="shared" si="16"/>
        <v>0</v>
      </c>
      <c r="AE52" s="624">
        <f t="shared" si="16"/>
        <v>0</v>
      </c>
      <c r="AF52" s="624">
        <f t="shared" si="16"/>
        <v>0</v>
      </c>
      <c r="AG52" s="621"/>
    </row>
    <row r="53" spans="1:33" s="622" customFormat="1" x14ac:dyDescent="0.3">
      <c r="A53" s="632" t="s">
        <v>169</v>
      </c>
      <c r="B53" s="627">
        <f>H53+J53+L53+N53+P53+R53+T53+V53+X53+Z53+AB53+AD53+AF53</f>
        <v>0</v>
      </c>
      <c r="C53" s="627">
        <f>H53+J53+L53+N53</f>
        <v>0</v>
      </c>
      <c r="D53" s="627">
        <f>E53</f>
        <v>0</v>
      </c>
      <c r="E53" s="627">
        <f>I53+K53+M53+O53+Q53+S53+U53+W53+Y53+AA53+AC53+AE53</f>
        <v>0</v>
      </c>
      <c r="F53" s="627">
        <f t="shared" si="14"/>
        <v>0</v>
      </c>
      <c r="G53" s="627">
        <f t="shared" si="15"/>
        <v>0</v>
      </c>
      <c r="H53" s="627"/>
      <c r="I53" s="627"/>
      <c r="J53" s="627"/>
      <c r="K53" s="627"/>
      <c r="L53" s="627"/>
      <c r="M53" s="627"/>
      <c r="N53" s="627"/>
      <c r="O53" s="627"/>
      <c r="P53" s="627"/>
      <c r="Q53" s="627"/>
      <c r="R53" s="627"/>
      <c r="S53" s="627"/>
      <c r="T53" s="627"/>
      <c r="U53" s="627"/>
      <c r="V53" s="627"/>
      <c r="W53" s="627"/>
      <c r="X53" s="627"/>
      <c r="Y53" s="627"/>
      <c r="Z53" s="627"/>
      <c r="AA53" s="627"/>
      <c r="AB53" s="627"/>
      <c r="AC53" s="627"/>
      <c r="AD53" s="627"/>
      <c r="AE53" s="627"/>
      <c r="AF53" s="620"/>
      <c r="AG53" s="621"/>
    </row>
    <row r="54" spans="1:33" s="622" customFormat="1" x14ac:dyDescent="0.3">
      <c r="A54" s="632" t="s">
        <v>32</v>
      </c>
      <c r="B54" s="627">
        <f>H54+J54+L54+N54+P54+R54+T54+V54+X54+Z54+AB54+AD54+AF54</f>
        <v>2454.306</v>
      </c>
      <c r="C54" s="627">
        <f>H54+J54+L54+N54</f>
        <v>0</v>
      </c>
      <c r="D54" s="627">
        <f>E54</f>
        <v>0</v>
      </c>
      <c r="E54" s="627">
        <f>I54+K54+M54+O54+Q54+S54+U54+W54+Y54+AA54+AC54+AE54</f>
        <v>0</v>
      </c>
      <c r="F54" s="627">
        <f t="shared" si="14"/>
        <v>0</v>
      </c>
      <c r="G54" s="627">
        <f t="shared" si="15"/>
        <v>0</v>
      </c>
      <c r="H54" s="627"/>
      <c r="I54" s="627"/>
      <c r="J54" s="627"/>
      <c r="K54" s="627"/>
      <c r="L54" s="627"/>
      <c r="M54" s="627"/>
      <c r="N54" s="627"/>
      <c r="O54" s="627"/>
      <c r="P54" s="627"/>
      <c r="Q54" s="627"/>
      <c r="R54" s="627">
        <v>2454.306</v>
      </c>
      <c r="S54" s="627"/>
      <c r="T54" s="627"/>
      <c r="U54" s="627"/>
      <c r="V54" s="627"/>
      <c r="W54" s="627"/>
      <c r="X54" s="627"/>
      <c r="Y54" s="627"/>
      <c r="Z54" s="627"/>
      <c r="AA54" s="627"/>
      <c r="AB54" s="627"/>
      <c r="AC54" s="627"/>
      <c r="AD54" s="627"/>
      <c r="AE54" s="627"/>
      <c r="AF54" s="620"/>
      <c r="AG54" s="621"/>
    </row>
    <row r="55" spans="1:33" s="622" customFormat="1" x14ac:dyDescent="0.3">
      <c r="A55" s="632" t="s">
        <v>33</v>
      </c>
      <c r="B55" s="627">
        <f>H55+J55+L55+N55+P55+R55+T55+V55+X55+Z55+AB55+AD55+AF55</f>
        <v>242.733</v>
      </c>
      <c r="C55" s="627">
        <f>H55+J55+L55+N55</f>
        <v>0</v>
      </c>
      <c r="D55" s="627">
        <f>E55</f>
        <v>0</v>
      </c>
      <c r="E55" s="627">
        <f>I55+K55+M55+O55+Q55+S55+U55+W55+Y55+AA55+AC55+AE55</f>
        <v>0</v>
      </c>
      <c r="F55" s="627">
        <f t="shared" si="14"/>
        <v>0</v>
      </c>
      <c r="G55" s="627">
        <f t="shared" si="15"/>
        <v>0</v>
      </c>
      <c r="H55" s="627"/>
      <c r="I55" s="627"/>
      <c r="J55" s="627"/>
      <c r="K55" s="627"/>
      <c r="L55" s="627"/>
      <c r="M55" s="627"/>
      <c r="N55" s="627"/>
      <c r="O55" s="627"/>
      <c r="P55" s="627"/>
      <c r="Q55" s="627"/>
      <c r="R55" s="627">
        <v>242.733</v>
      </c>
      <c r="S55" s="627"/>
      <c r="T55" s="627"/>
      <c r="U55" s="627"/>
      <c r="V55" s="627"/>
      <c r="W55" s="627"/>
      <c r="X55" s="627"/>
      <c r="Y55" s="627"/>
      <c r="Z55" s="627"/>
      <c r="AA55" s="627"/>
      <c r="AB55" s="627"/>
      <c r="AC55" s="627"/>
      <c r="AD55" s="627"/>
      <c r="AE55" s="627"/>
      <c r="AF55" s="620"/>
      <c r="AG55" s="621"/>
    </row>
    <row r="56" spans="1:33" s="622" customFormat="1" ht="37.5" x14ac:dyDescent="0.3">
      <c r="A56" s="627" t="s">
        <v>174</v>
      </c>
      <c r="B56" s="627">
        <f>H56+J56+L56+N56+P56+R56+T56+V56+X56+Z56+AB56+AD56+AF56</f>
        <v>242.733</v>
      </c>
      <c r="C56" s="627">
        <f>H56+J56+L56+N56</f>
        <v>0</v>
      </c>
      <c r="D56" s="627">
        <f>E56</f>
        <v>0</v>
      </c>
      <c r="E56" s="627">
        <f>I56+K56+M56+O56+Q56+S56+U56+W56+Y56+AA56+AC56+AE56</f>
        <v>0</v>
      </c>
      <c r="F56" s="627">
        <f t="shared" si="14"/>
        <v>0</v>
      </c>
      <c r="G56" s="627">
        <f t="shared" si="15"/>
        <v>0</v>
      </c>
      <c r="H56" s="627"/>
      <c r="I56" s="627"/>
      <c r="J56" s="627"/>
      <c r="K56" s="627"/>
      <c r="L56" s="627"/>
      <c r="M56" s="627"/>
      <c r="N56" s="627"/>
      <c r="O56" s="627"/>
      <c r="P56" s="627"/>
      <c r="Q56" s="627"/>
      <c r="R56" s="627">
        <v>242.733</v>
      </c>
      <c r="S56" s="627"/>
      <c r="T56" s="627"/>
      <c r="U56" s="627"/>
      <c r="V56" s="627"/>
      <c r="W56" s="627"/>
      <c r="X56" s="627"/>
      <c r="Y56" s="627"/>
      <c r="Z56" s="627"/>
      <c r="AA56" s="627"/>
      <c r="AB56" s="627"/>
      <c r="AC56" s="627"/>
      <c r="AD56" s="627"/>
      <c r="AE56" s="627"/>
      <c r="AF56" s="620"/>
      <c r="AG56" s="621"/>
    </row>
    <row r="57" spans="1:33" s="622" customFormat="1" x14ac:dyDescent="0.3">
      <c r="A57" s="632" t="s">
        <v>170</v>
      </c>
      <c r="B57" s="627">
        <f>H57+J57+L57+N57+P57+R57+T57+V57+X57+Z57+AB57+AD57+AF57</f>
        <v>0</v>
      </c>
      <c r="C57" s="627">
        <f>H57+J57+L57+N57</f>
        <v>0</v>
      </c>
      <c r="D57" s="627">
        <f>E57</f>
        <v>0</v>
      </c>
      <c r="E57" s="627">
        <f>I57+K57+M57+O57+Q57+S57+U57+W57+Y57+AA57+AC57+AE57</f>
        <v>0</v>
      </c>
      <c r="F57" s="627">
        <f t="shared" si="14"/>
        <v>0</v>
      </c>
      <c r="G57" s="627">
        <f t="shared" si="15"/>
        <v>0</v>
      </c>
      <c r="H57" s="627"/>
      <c r="I57" s="627"/>
      <c r="J57" s="627"/>
      <c r="K57" s="627"/>
      <c r="L57" s="627"/>
      <c r="M57" s="627"/>
      <c r="N57" s="627"/>
      <c r="O57" s="627"/>
      <c r="P57" s="627"/>
      <c r="Q57" s="627"/>
      <c r="R57" s="627"/>
      <c r="S57" s="627"/>
      <c r="T57" s="627"/>
      <c r="U57" s="627"/>
      <c r="V57" s="627"/>
      <c r="W57" s="627"/>
      <c r="X57" s="627"/>
      <c r="Y57" s="627"/>
      <c r="Z57" s="627"/>
      <c r="AA57" s="627"/>
      <c r="AB57" s="627"/>
      <c r="AC57" s="627"/>
      <c r="AD57" s="627"/>
      <c r="AE57" s="627"/>
      <c r="AF57" s="620"/>
      <c r="AG57" s="621"/>
    </row>
    <row r="58" spans="1:33" ht="93.75" x14ac:dyDescent="0.3">
      <c r="A58" s="628" t="s">
        <v>324</v>
      </c>
      <c r="B58" s="628"/>
      <c r="C58" s="628"/>
      <c r="D58" s="628"/>
      <c r="E58" s="628"/>
      <c r="F58" s="628"/>
      <c r="G58" s="628"/>
      <c r="H58" s="628"/>
      <c r="I58" s="628"/>
      <c r="J58" s="628"/>
      <c r="K58" s="628"/>
      <c r="L58" s="628"/>
      <c r="M58" s="628"/>
      <c r="N58" s="628"/>
      <c r="O58" s="628"/>
      <c r="P58" s="628"/>
      <c r="Q58" s="628"/>
      <c r="R58" s="628"/>
      <c r="S58" s="628"/>
      <c r="T58" s="628"/>
      <c r="U58" s="628"/>
      <c r="V58" s="628"/>
      <c r="W58" s="628"/>
      <c r="X58" s="628"/>
      <c r="Y58" s="628"/>
      <c r="Z58" s="628"/>
      <c r="AA58" s="628"/>
      <c r="AB58" s="628"/>
      <c r="AC58" s="628"/>
      <c r="AD58" s="628"/>
      <c r="AE58" s="628"/>
      <c r="AF58" s="628"/>
      <c r="AG58" s="102">
        <f t="shared" si="1"/>
        <v>0</v>
      </c>
    </row>
    <row r="59" spans="1:33" s="622" customFormat="1" x14ac:dyDescent="0.3">
      <c r="A59" s="1047" t="s">
        <v>54</v>
      </c>
      <c r="B59" s="1048"/>
      <c r="C59" s="1048"/>
      <c r="D59" s="1048"/>
      <c r="E59" s="1048"/>
      <c r="F59" s="1048"/>
      <c r="G59" s="1048"/>
      <c r="H59" s="1048"/>
      <c r="I59" s="1048"/>
      <c r="J59" s="1048"/>
      <c r="K59" s="1048"/>
      <c r="L59" s="1048"/>
      <c r="M59" s="1048"/>
      <c r="N59" s="1048"/>
      <c r="O59" s="1048"/>
      <c r="P59" s="1048"/>
      <c r="Q59" s="1048"/>
      <c r="R59" s="1048"/>
      <c r="S59" s="1048"/>
      <c r="T59" s="1048"/>
      <c r="U59" s="1048"/>
      <c r="V59" s="1048"/>
      <c r="W59" s="1048"/>
      <c r="X59" s="1048"/>
      <c r="Y59" s="1048"/>
      <c r="Z59" s="1048"/>
      <c r="AA59" s="1048"/>
      <c r="AB59" s="1048"/>
      <c r="AC59" s="1048"/>
      <c r="AD59" s="1048"/>
      <c r="AE59" s="1048"/>
      <c r="AF59" s="1049"/>
      <c r="AG59" s="621">
        <f t="shared" si="1"/>
        <v>0</v>
      </c>
    </row>
    <row r="60" spans="1:33" s="622" customFormat="1" ht="152.25" customHeight="1" x14ac:dyDescent="0.3">
      <c r="A60" s="629" t="s">
        <v>325</v>
      </c>
      <c r="B60" s="633"/>
      <c r="C60" s="634"/>
      <c r="D60" s="634"/>
      <c r="E60" s="634"/>
      <c r="F60" s="634"/>
      <c r="G60" s="634"/>
      <c r="H60" s="633"/>
      <c r="I60" s="633"/>
      <c r="J60" s="633"/>
      <c r="K60" s="633"/>
      <c r="L60" s="633"/>
      <c r="M60" s="633"/>
      <c r="N60" s="633"/>
      <c r="O60" s="633"/>
      <c r="P60" s="633"/>
      <c r="Q60" s="633"/>
      <c r="R60" s="633"/>
      <c r="S60" s="633"/>
      <c r="T60" s="633"/>
      <c r="U60" s="633"/>
      <c r="V60" s="633"/>
      <c r="W60" s="633"/>
      <c r="X60" s="633"/>
      <c r="Y60" s="633"/>
      <c r="Z60" s="633"/>
      <c r="AA60" s="633"/>
      <c r="AB60" s="633"/>
      <c r="AC60" s="633"/>
      <c r="AD60" s="633"/>
      <c r="AE60" s="633"/>
      <c r="AF60" s="620"/>
      <c r="AG60" s="621">
        <f t="shared" si="1"/>
        <v>0</v>
      </c>
    </row>
    <row r="61" spans="1:33" s="622" customFormat="1" x14ac:dyDescent="0.3">
      <c r="A61" s="623" t="s">
        <v>31</v>
      </c>
      <c r="B61" s="624">
        <f>B62+B63+B64</f>
        <v>5480.5959999999995</v>
      </c>
      <c r="C61" s="624">
        <f>C62+C63+C64</f>
        <v>4679.8779999999997</v>
      </c>
      <c r="D61" s="624">
        <f>D62+D63+D64</f>
        <v>4679.8820000000005</v>
      </c>
      <c r="E61" s="624">
        <f>E62+E63+E64</f>
        <v>4679.8820000000005</v>
      </c>
      <c r="F61" s="624">
        <f>IFERROR(E61/B61*100,0)</f>
        <v>85.390019625602775</v>
      </c>
      <c r="G61" s="624">
        <f>IFERROR(E61/C61*100,0)</f>
        <v>100.0000854723136</v>
      </c>
      <c r="H61" s="624">
        <f t="shared" ref="H61:AE61" si="17">H62+H63+H64</f>
        <v>0</v>
      </c>
      <c r="I61" s="624">
        <f t="shared" si="17"/>
        <v>0</v>
      </c>
      <c r="J61" s="624">
        <f t="shared" si="17"/>
        <v>0</v>
      </c>
      <c r="K61" s="624">
        <f t="shared" si="17"/>
        <v>0</v>
      </c>
      <c r="L61" s="624">
        <f t="shared" si="17"/>
        <v>2127.5990000000002</v>
      </c>
      <c r="M61" s="624">
        <f t="shared" si="17"/>
        <v>2127.6019999999999</v>
      </c>
      <c r="N61" s="624">
        <f t="shared" si="17"/>
        <v>2552.2790000000005</v>
      </c>
      <c r="O61" s="624">
        <f t="shared" si="17"/>
        <v>2552.2799999999997</v>
      </c>
      <c r="P61" s="624">
        <f t="shared" si="17"/>
        <v>0</v>
      </c>
      <c r="Q61" s="624">
        <f t="shared" si="17"/>
        <v>0</v>
      </c>
      <c r="R61" s="624">
        <f t="shared" si="17"/>
        <v>0</v>
      </c>
      <c r="S61" s="624">
        <f t="shared" si="17"/>
        <v>0</v>
      </c>
      <c r="T61" s="624">
        <f t="shared" si="17"/>
        <v>0</v>
      </c>
      <c r="U61" s="624">
        <f t="shared" si="17"/>
        <v>0</v>
      </c>
      <c r="V61" s="624">
        <f t="shared" si="17"/>
        <v>0</v>
      </c>
      <c r="W61" s="624">
        <f t="shared" si="17"/>
        <v>0</v>
      </c>
      <c r="X61" s="624">
        <f t="shared" si="17"/>
        <v>0</v>
      </c>
      <c r="Y61" s="624">
        <f t="shared" si="17"/>
        <v>0</v>
      </c>
      <c r="Z61" s="624">
        <f t="shared" si="17"/>
        <v>0</v>
      </c>
      <c r="AA61" s="624">
        <f t="shared" si="17"/>
        <v>0</v>
      </c>
      <c r="AB61" s="624">
        <f t="shared" si="17"/>
        <v>0</v>
      </c>
      <c r="AC61" s="624">
        <f t="shared" si="17"/>
        <v>0</v>
      </c>
      <c r="AD61" s="624">
        <f t="shared" si="17"/>
        <v>800.71800000000007</v>
      </c>
      <c r="AE61" s="624">
        <f t="shared" si="17"/>
        <v>0</v>
      </c>
      <c r="AF61" s="620"/>
      <c r="AG61" s="621">
        <f t="shared" si="1"/>
        <v>-1.1368683772161603E-12</v>
      </c>
    </row>
    <row r="62" spans="1:33" s="622" customFormat="1" x14ac:dyDescent="0.3">
      <c r="A62" s="626" t="s">
        <v>169</v>
      </c>
      <c r="B62" s="627">
        <f>J62+L62+N62+P62+R62+T62+V62+X62+Z62+AB62+AD62+H62</f>
        <v>407.99800000000005</v>
      </c>
      <c r="C62" s="627">
        <f>SUM(H62+J62+L62+N62)</f>
        <v>348.37800000000004</v>
      </c>
      <c r="D62" s="627">
        <f>E62</f>
        <v>348.38099999999997</v>
      </c>
      <c r="E62" s="627">
        <f>SUM(I62,K62,M62,O62,Q62,S62,U62,W62,Y62,AA62,AC62,AE62)</f>
        <v>348.38099999999997</v>
      </c>
      <c r="F62" s="627">
        <f>IFERROR(E62/B62*100,0)</f>
        <v>85.387918568228258</v>
      </c>
      <c r="G62" s="627">
        <f>IFERROR(E62/C62*100,0)</f>
        <v>100.00086113359626</v>
      </c>
      <c r="H62" s="627"/>
      <c r="I62" s="627"/>
      <c r="J62" s="627"/>
      <c r="K62" s="627"/>
      <c r="L62" s="627">
        <v>158.38200000000001</v>
      </c>
      <c r="M62" s="627">
        <v>158.38200000000001</v>
      </c>
      <c r="N62" s="627">
        <v>189.99600000000001</v>
      </c>
      <c r="O62" s="627">
        <v>189.999</v>
      </c>
      <c r="P62" s="627"/>
      <c r="Q62" s="627"/>
      <c r="R62" s="627"/>
      <c r="S62" s="627"/>
      <c r="T62" s="627"/>
      <c r="U62" s="627"/>
      <c r="V62" s="627"/>
      <c r="W62" s="627"/>
      <c r="X62" s="627"/>
      <c r="Y62" s="627"/>
      <c r="Z62" s="627"/>
      <c r="AA62" s="627"/>
      <c r="AB62" s="627"/>
      <c r="AC62" s="627"/>
      <c r="AD62" s="627">
        <v>59.62</v>
      </c>
      <c r="AE62" s="627"/>
      <c r="AF62" s="620"/>
      <c r="AG62" s="621">
        <f t="shared" si="1"/>
        <v>0</v>
      </c>
    </row>
    <row r="63" spans="1:33" s="622" customFormat="1" x14ac:dyDescent="0.3">
      <c r="A63" s="626" t="s">
        <v>32</v>
      </c>
      <c r="B63" s="627">
        <f>J63+L63+N63+P63+R63+T63+V63+X63+Z63+AB63+AD63+H63</f>
        <v>4798.4989999999998</v>
      </c>
      <c r="C63" s="627">
        <f>SUM(H63+J63+L63+N63)</f>
        <v>4097.4470000000001</v>
      </c>
      <c r="D63" s="627">
        <f>E63</f>
        <v>4097.4470000000001</v>
      </c>
      <c r="E63" s="627">
        <f>SUM(I63,K63,M63,O63,Q63,S63,U63,W63,Y63,AA63,AC63,AE63)</f>
        <v>4097.4470000000001</v>
      </c>
      <c r="F63" s="627"/>
      <c r="G63" s="627"/>
      <c r="H63" s="627"/>
      <c r="I63" s="627"/>
      <c r="J63" s="627"/>
      <c r="K63" s="627"/>
      <c r="L63" s="627">
        <v>1862.81</v>
      </c>
      <c r="M63" s="627">
        <v>1862.81</v>
      </c>
      <c r="N63" s="627">
        <v>2234.6370000000002</v>
      </c>
      <c r="O63" s="627">
        <v>2234.6370000000002</v>
      </c>
      <c r="P63" s="627"/>
      <c r="Q63" s="627"/>
      <c r="R63" s="627"/>
      <c r="S63" s="627"/>
      <c r="T63" s="627"/>
      <c r="U63" s="627"/>
      <c r="V63" s="627"/>
      <c r="W63" s="627"/>
      <c r="X63" s="627"/>
      <c r="Y63" s="627"/>
      <c r="Z63" s="627"/>
      <c r="AA63" s="627"/>
      <c r="AB63" s="627"/>
      <c r="AC63" s="627"/>
      <c r="AD63" s="627">
        <v>701.05200000000002</v>
      </c>
      <c r="AE63" s="627"/>
      <c r="AF63" s="620"/>
      <c r="AG63" s="621">
        <f t="shared" si="1"/>
        <v>0</v>
      </c>
    </row>
    <row r="64" spans="1:33" s="622" customFormat="1" x14ac:dyDescent="0.3">
      <c r="A64" s="626" t="s">
        <v>33</v>
      </c>
      <c r="B64" s="627">
        <f>J64+L64+N64+P64+R64+T64+V64+X64+Z64+AB64+AD64+H64</f>
        <v>274.09899999999999</v>
      </c>
      <c r="C64" s="627">
        <f>SUM(H64+J64+L64+N64)</f>
        <v>234.053</v>
      </c>
      <c r="D64" s="627">
        <f>E64</f>
        <v>234.054</v>
      </c>
      <c r="E64" s="627">
        <f>SUM(I64,K64,M64,O64,Q64,S64,U64,W64,Y64,AA64,AC64,AE64)</f>
        <v>234.054</v>
      </c>
      <c r="F64" s="627">
        <f>IFERROR(E64/B64*100,0)</f>
        <v>85.390315178092592</v>
      </c>
      <c r="G64" s="627">
        <f>IFERROR(E64/C64*100,0)</f>
        <v>100.00042725365623</v>
      </c>
      <c r="H64" s="627"/>
      <c r="I64" s="627"/>
      <c r="J64" s="627"/>
      <c r="K64" s="627"/>
      <c r="L64" s="627">
        <v>106.407</v>
      </c>
      <c r="M64" s="627">
        <v>106.41</v>
      </c>
      <c r="N64" s="627">
        <v>127.646</v>
      </c>
      <c r="O64" s="627">
        <v>127.64400000000001</v>
      </c>
      <c r="P64" s="627"/>
      <c r="Q64" s="627"/>
      <c r="R64" s="627"/>
      <c r="S64" s="627"/>
      <c r="T64" s="627"/>
      <c r="U64" s="627"/>
      <c r="V64" s="627"/>
      <c r="W64" s="627"/>
      <c r="X64" s="627"/>
      <c r="Y64" s="627"/>
      <c r="Z64" s="627"/>
      <c r="AA64" s="627"/>
      <c r="AB64" s="627"/>
      <c r="AC64" s="627"/>
      <c r="AD64" s="627">
        <v>40.045999999999999</v>
      </c>
      <c r="AE64" s="627"/>
      <c r="AF64" s="620"/>
      <c r="AG64" s="621">
        <f t="shared" si="1"/>
        <v>0</v>
      </c>
    </row>
    <row r="65" spans="1:33" s="622" customFormat="1" ht="37.5" x14ac:dyDescent="0.3">
      <c r="A65" s="633" t="s">
        <v>174</v>
      </c>
      <c r="B65" s="627">
        <f>J65+L65+N65+P65+R65+T65+V65+X65+Z65+AB65+AD65+H65</f>
        <v>274.09899999999999</v>
      </c>
      <c r="C65" s="627">
        <f>SUM(H65+J65+L65+N65)</f>
        <v>234.053</v>
      </c>
      <c r="D65" s="627">
        <f>E65</f>
        <v>234.054</v>
      </c>
      <c r="E65" s="627">
        <f>SUM(I65,K65,M65,O65,Q65,S65,U65,W65,Y65,AA65,AC65,AE65)</f>
        <v>234.054</v>
      </c>
      <c r="F65" s="627">
        <f>IFERROR(E65/B65*100,0)</f>
        <v>85.390315178092592</v>
      </c>
      <c r="G65" s="627">
        <f>IFERROR(E65/C65*100,0)</f>
        <v>100.00042725365623</v>
      </c>
      <c r="H65" s="627"/>
      <c r="I65" s="627"/>
      <c r="J65" s="627"/>
      <c r="K65" s="627"/>
      <c r="L65" s="627">
        <v>106.407</v>
      </c>
      <c r="M65" s="627">
        <v>106.41</v>
      </c>
      <c r="N65" s="627">
        <v>127.646</v>
      </c>
      <c r="O65" s="627">
        <v>127.64400000000001</v>
      </c>
      <c r="P65" s="627"/>
      <c r="Q65" s="627"/>
      <c r="R65" s="627"/>
      <c r="S65" s="627"/>
      <c r="T65" s="627"/>
      <c r="U65" s="627"/>
      <c r="V65" s="627"/>
      <c r="W65" s="627"/>
      <c r="X65" s="627"/>
      <c r="Y65" s="627"/>
      <c r="Z65" s="627"/>
      <c r="AA65" s="627"/>
      <c r="AB65" s="627"/>
      <c r="AC65" s="627"/>
      <c r="AD65" s="627">
        <v>40.045999999999999</v>
      </c>
      <c r="AE65" s="627"/>
      <c r="AF65" s="620"/>
      <c r="AG65" s="621"/>
    </row>
    <row r="66" spans="1:33" s="622" customFormat="1" x14ac:dyDescent="0.3">
      <c r="A66" s="626" t="s">
        <v>170</v>
      </c>
      <c r="B66" s="627">
        <f>J66+L66+N66+P66+R66+T66+V66+X66+Z66+AB66+AD66+H66</f>
        <v>0</v>
      </c>
      <c r="C66" s="627">
        <f>SUM(H66+J66+L66+N66)</f>
        <v>0</v>
      </c>
      <c r="D66" s="627">
        <f>E66</f>
        <v>0</v>
      </c>
      <c r="E66" s="627">
        <f>SUM(I66,K66,M66,O66,Q66,S66,U66,W66,Y66,AA66,AC66,AE66)</f>
        <v>0</v>
      </c>
      <c r="F66" s="627">
        <f>IFERROR(E66/B66*100,0)</f>
        <v>0</v>
      </c>
      <c r="G66" s="627">
        <f>IFERROR(E66/C66*100,0)</f>
        <v>0</v>
      </c>
      <c r="H66" s="627"/>
      <c r="I66" s="627"/>
      <c r="J66" s="627"/>
      <c r="K66" s="627"/>
      <c r="L66" s="627"/>
      <c r="M66" s="627"/>
      <c r="N66" s="627"/>
      <c r="O66" s="627"/>
      <c r="P66" s="627"/>
      <c r="Q66" s="627"/>
      <c r="R66" s="627"/>
      <c r="S66" s="627"/>
      <c r="T66" s="627"/>
      <c r="U66" s="627"/>
      <c r="V66" s="627"/>
      <c r="W66" s="627"/>
      <c r="X66" s="627"/>
      <c r="Y66" s="627"/>
      <c r="Z66" s="627"/>
      <c r="AA66" s="627"/>
      <c r="AB66" s="627"/>
      <c r="AC66" s="627"/>
      <c r="AD66" s="627"/>
      <c r="AE66" s="627"/>
      <c r="AF66" s="620"/>
      <c r="AG66" s="621">
        <f t="shared" si="1"/>
        <v>0</v>
      </c>
    </row>
    <row r="67" spans="1:33" s="622" customFormat="1" ht="168.75" x14ac:dyDescent="0.3">
      <c r="A67" s="629" t="s">
        <v>326</v>
      </c>
      <c r="B67" s="627"/>
      <c r="C67" s="635"/>
      <c r="D67" s="635"/>
      <c r="E67" s="635"/>
      <c r="F67" s="635"/>
      <c r="G67" s="635"/>
      <c r="H67" s="627"/>
      <c r="I67" s="627"/>
      <c r="J67" s="627"/>
      <c r="K67" s="627"/>
      <c r="L67" s="627"/>
      <c r="M67" s="627"/>
      <c r="N67" s="627"/>
      <c r="O67" s="627"/>
      <c r="P67" s="627"/>
      <c r="Q67" s="627"/>
      <c r="R67" s="627"/>
      <c r="S67" s="627"/>
      <c r="T67" s="627"/>
      <c r="U67" s="627"/>
      <c r="V67" s="627"/>
      <c r="W67" s="627"/>
      <c r="X67" s="627"/>
      <c r="Y67" s="627"/>
      <c r="Z67" s="627"/>
      <c r="AA67" s="627"/>
      <c r="AB67" s="627"/>
      <c r="AC67" s="627"/>
      <c r="AD67" s="627"/>
      <c r="AE67" s="627"/>
      <c r="AF67" s="620"/>
      <c r="AG67" s="621">
        <f t="shared" si="1"/>
        <v>0</v>
      </c>
    </row>
    <row r="68" spans="1:33" s="622" customFormat="1" x14ac:dyDescent="0.3">
      <c r="A68" s="623" t="s">
        <v>31</v>
      </c>
      <c r="B68" s="624">
        <f>B69+B70+B71+B72</f>
        <v>1981</v>
      </c>
      <c r="C68" s="624">
        <f>C69+C70+C71+C72</f>
        <v>0</v>
      </c>
      <c r="D68" s="624">
        <f>D69+D70+D71+D72</f>
        <v>0</v>
      </c>
      <c r="E68" s="624">
        <f>E69+E70+E71+E72</f>
        <v>0</v>
      </c>
      <c r="F68" s="627">
        <v>0</v>
      </c>
      <c r="G68" s="627">
        <v>0</v>
      </c>
      <c r="H68" s="624">
        <f>H69+H70+H71+H72</f>
        <v>0</v>
      </c>
      <c r="I68" s="624">
        <f t="shared" ref="I68:AE68" si="18">I69+I70+I71+I72</f>
        <v>0</v>
      </c>
      <c r="J68" s="624">
        <f t="shared" si="18"/>
        <v>0</v>
      </c>
      <c r="K68" s="624">
        <f t="shared" si="18"/>
        <v>0</v>
      </c>
      <c r="L68" s="624">
        <f t="shared" si="18"/>
        <v>0</v>
      </c>
      <c r="M68" s="624">
        <f t="shared" si="18"/>
        <v>0</v>
      </c>
      <c r="N68" s="624">
        <f t="shared" si="18"/>
        <v>0</v>
      </c>
      <c r="O68" s="624">
        <f t="shared" si="18"/>
        <v>0</v>
      </c>
      <c r="P68" s="624">
        <f t="shared" si="18"/>
        <v>0</v>
      </c>
      <c r="Q68" s="624">
        <f t="shared" si="18"/>
        <v>0</v>
      </c>
      <c r="R68" s="624">
        <f t="shared" si="18"/>
        <v>0</v>
      </c>
      <c r="S68" s="624">
        <f t="shared" si="18"/>
        <v>0</v>
      </c>
      <c r="T68" s="624">
        <f t="shared" si="18"/>
        <v>0</v>
      </c>
      <c r="U68" s="624">
        <f t="shared" si="18"/>
        <v>0</v>
      </c>
      <c r="V68" s="624">
        <f t="shared" si="18"/>
        <v>0</v>
      </c>
      <c r="W68" s="624">
        <f t="shared" si="18"/>
        <v>0</v>
      </c>
      <c r="X68" s="624">
        <f t="shared" si="18"/>
        <v>0</v>
      </c>
      <c r="Y68" s="624">
        <f t="shared" si="18"/>
        <v>0</v>
      </c>
      <c r="Z68" s="624">
        <f t="shared" si="18"/>
        <v>0</v>
      </c>
      <c r="AA68" s="624">
        <f t="shared" si="18"/>
        <v>0</v>
      </c>
      <c r="AB68" s="624">
        <f t="shared" si="18"/>
        <v>0</v>
      </c>
      <c r="AC68" s="624">
        <f t="shared" si="18"/>
        <v>0</v>
      </c>
      <c r="AD68" s="624">
        <f t="shared" si="18"/>
        <v>1981</v>
      </c>
      <c r="AE68" s="624">
        <f t="shared" si="18"/>
        <v>0</v>
      </c>
      <c r="AF68" s="620"/>
      <c r="AG68" s="621">
        <f t="shared" si="1"/>
        <v>0</v>
      </c>
    </row>
    <row r="69" spans="1:33" s="622" customFormat="1" x14ac:dyDescent="0.3">
      <c r="A69" s="626" t="s">
        <v>169</v>
      </c>
      <c r="B69" s="627">
        <f>J69+L69+N69+P69+R69+T69+V69+X69+Z69+AB69+AD69+H69</f>
        <v>1981</v>
      </c>
      <c r="C69" s="627">
        <f>SUM(H69+J69+L69+N69)</f>
        <v>0</v>
      </c>
      <c r="D69" s="627">
        <f>E69</f>
        <v>0</v>
      </c>
      <c r="E69" s="627">
        <f>SUM(I69,K69,M69,O69,Q69,S69,U69,W69,Y69,AA69,AC69,AE69)</f>
        <v>0</v>
      </c>
      <c r="F69" s="627"/>
      <c r="G69" s="627"/>
      <c r="H69" s="627"/>
      <c r="I69" s="627"/>
      <c r="J69" s="627"/>
      <c r="K69" s="627"/>
      <c r="L69" s="627"/>
      <c r="M69" s="627"/>
      <c r="N69" s="627"/>
      <c r="O69" s="627"/>
      <c r="P69" s="627"/>
      <c r="Q69" s="627"/>
      <c r="R69" s="627"/>
      <c r="S69" s="627"/>
      <c r="T69" s="627"/>
      <c r="U69" s="627"/>
      <c r="V69" s="627"/>
      <c r="W69" s="627"/>
      <c r="X69" s="627"/>
      <c r="Y69" s="627"/>
      <c r="Z69" s="627"/>
      <c r="AA69" s="627"/>
      <c r="AB69" s="627"/>
      <c r="AC69" s="627"/>
      <c r="AD69" s="627">
        <v>1981</v>
      </c>
      <c r="AE69" s="627"/>
      <c r="AF69" s="620"/>
      <c r="AG69" s="621">
        <f t="shared" si="1"/>
        <v>0</v>
      </c>
    </row>
    <row r="70" spans="1:33" s="622" customFormat="1" x14ac:dyDescent="0.3">
      <c r="A70" s="626" t="s">
        <v>32</v>
      </c>
      <c r="B70" s="627">
        <f>J70+L70+N70+P70+R70+T70+V70+X70+Z70+AB70+AD70+H70</f>
        <v>0</v>
      </c>
      <c r="C70" s="627">
        <f>SUM(H70+J70+L70+N70)</f>
        <v>0</v>
      </c>
      <c r="D70" s="627">
        <f>E70</f>
        <v>0</v>
      </c>
      <c r="E70" s="627">
        <f>SUM(I70,K70,M70,O70,Q70,S70,U70,W70,Y70,AA70,AC70,AE70)</f>
        <v>0</v>
      </c>
      <c r="F70" s="627"/>
      <c r="G70" s="627"/>
      <c r="H70" s="627"/>
      <c r="I70" s="627"/>
      <c r="J70" s="627"/>
      <c r="K70" s="627"/>
      <c r="L70" s="627"/>
      <c r="M70" s="627"/>
      <c r="N70" s="627"/>
      <c r="O70" s="627"/>
      <c r="P70" s="627"/>
      <c r="Q70" s="627"/>
      <c r="R70" s="627"/>
      <c r="S70" s="627"/>
      <c r="T70" s="627"/>
      <c r="U70" s="627"/>
      <c r="V70" s="627"/>
      <c r="W70" s="627"/>
      <c r="X70" s="627"/>
      <c r="Y70" s="627"/>
      <c r="Z70" s="627"/>
      <c r="AA70" s="627"/>
      <c r="AB70" s="627"/>
      <c r="AC70" s="627"/>
      <c r="AD70" s="627"/>
      <c r="AE70" s="627"/>
      <c r="AF70" s="620"/>
      <c r="AG70" s="621">
        <f t="shared" si="1"/>
        <v>0</v>
      </c>
    </row>
    <row r="71" spans="1:33" s="622" customFormat="1" x14ac:dyDescent="0.3">
      <c r="A71" s="626" t="s">
        <v>33</v>
      </c>
      <c r="B71" s="627">
        <f>J71+L71+N71+P71+R71+T71+V71+X71+Z71+AB71+AD71+H71</f>
        <v>0</v>
      </c>
      <c r="C71" s="627">
        <f>SUM(H71+J71+L71+N71)</f>
        <v>0</v>
      </c>
      <c r="D71" s="627">
        <f>E71</f>
        <v>0</v>
      </c>
      <c r="E71" s="627">
        <f>SUM(I71,K71,M71,O71,Q71,S71,U71,W71,Y71,AA71,AC71,AE71)</f>
        <v>0</v>
      </c>
      <c r="F71" s="627">
        <f>IFERROR(E71/B71*100,0)</f>
        <v>0</v>
      </c>
      <c r="G71" s="627">
        <f>IFERROR(E71/C71*100,0)</f>
        <v>0</v>
      </c>
      <c r="H71" s="627"/>
      <c r="I71" s="627"/>
      <c r="J71" s="627"/>
      <c r="K71" s="627"/>
      <c r="L71" s="627"/>
      <c r="M71" s="627"/>
      <c r="N71" s="627"/>
      <c r="O71" s="627"/>
      <c r="P71" s="627"/>
      <c r="Q71" s="627"/>
      <c r="R71" s="627"/>
      <c r="S71" s="627"/>
      <c r="T71" s="627"/>
      <c r="U71" s="627"/>
      <c r="V71" s="627"/>
      <c r="W71" s="627"/>
      <c r="X71" s="627"/>
      <c r="Y71" s="627"/>
      <c r="Z71" s="627"/>
      <c r="AA71" s="627"/>
      <c r="AB71" s="627"/>
      <c r="AC71" s="627"/>
      <c r="AD71" s="627"/>
      <c r="AE71" s="627"/>
      <c r="AF71" s="620"/>
      <c r="AG71" s="621">
        <f t="shared" si="1"/>
        <v>0</v>
      </c>
    </row>
    <row r="72" spans="1:33" s="622" customFormat="1" x14ac:dyDescent="0.3">
      <c r="A72" s="626" t="s">
        <v>170</v>
      </c>
      <c r="B72" s="627">
        <f>J72+L72+N72+P72+R72+T72+V72+X72+Z72+AB72+AD72+H72</f>
        <v>0</v>
      </c>
      <c r="C72" s="627">
        <f>SUM(H72+J72+L72+N72)</f>
        <v>0</v>
      </c>
      <c r="D72" s="627">
        <f>E72</f>
        <v>0</v>
      </c>
      <c r="E72" s="627">
        <f>SUM(I72,K72,M72,O72,Q72,S72,U72,W72,Y72,AA72,AC72,AE72)</f>
        <v>0</v>
      </c>
      <c r="F72" s="627"/>
      <c r="G72" s="627"/>
      <c r="H72" s="627"/>
      <c r="I72" s="627"/>
      <c r="J72" s="627"/>
      <c r="K72" s="627"/>
      <c r="L72" s="627"/>
      <c r="M72" s="627"/>
      <c r="N72" s="627"/>
      <c r="O72" s="627"/>
      <c r="P72" s="627"/>
      <c r="Q72" s="627"/>
      <c r="R72" s="627"/>
      <c r="S72" s="627"/>
      <c r="T72" s="627"/>
      <c r="U72" s="627"/>
      <c r="V72" s="627"/>
      <c r="W72" s="627"/>
      <c r="X72" s="627"/>
      <c r="Y72" s="627"/>
      <c r="Z72" s="627"/>
      <c r="AA72" s="627"/>
      <c r="AB72" s="627"/>
      <c r="AC72" s="627"/>
      <c r="AD72" s="627"/>
      <c r="AE72" s="627"/>
      <c r="AF72" s="620"/>
      <c r="AG72" s="621">
        <f t="shared" si="1"/>
        <v>0</v>
      </c>
    </row>
    <row r="73" spans="1:33" s="622" customFormat="1" ht="75" x14ac:dyDescent="0.3">
      <c r="A73" s="629" t="s">
        <v>327</v>
      </c>
      <c r="B73" s="627"/>
      <c r="C73" s="635"/>
      <c r="D73" s="635"/>
      <c r="E73" s="635"/>
      <c r="F73" s="635"/>
      <c r="G73" s="635"/>
      <c r="H73" s="627"/>
      <c r="I73" s="627"/>
      <c r="J73" s="627"/>
      <c r="K73" s="627"/>
      <c r="L73" s="627"/>
      <c r="M73" s="627"/>
      <c r="N73" s="627"/>
      <c r="O73" s="627"/>
      <c r="P73" s="627"/>
      <c r="Q73" s="627"/>
      <c r="R73" s="627"/>
      <c r="S73" s="627"/>
      <c r="T73" s="627"/>
      <c r="U73" s="627"/>
      <c r="V73" s="627"/>
      <c r="W73" s="627"/>
      <c r="X73" s="627"/>
      <c r="Y73" s="627"/>
      <c r="Z73" s="627"/>
      <c r="AA73" s="627"/>
      <c r="AB73" s="627"/>
      <c r="AC73" s="627"/>
      <c r="AD73" s="627"/>
      <c r="AE73" s="627"/>
      <c r="AF73" s="620"/>
      <c r="AG73" s="621">
        <f t="shared" si="1"/>
        <v>0</v>
      </c>
    </row>
    <row r="74" spans="1:33" s="622" customFormat="1" x14ac:dyDescent="0.3">
      <c r="A74" s="623" t="s">
        <v>31</v>
      </c>
      <c r="B74" s="624">
        <f>B75+B76+B77+B78</f>
        <v>2055.7999999999997</v>
      </c>
      <c r="C74" s="624">
        <f>C75+C76+C77+C78</f>
        <v>9.1999999999999993</v>
      </c>
      <c r="D74" s="624">
        <f>D75+D76+D77+D78</f>
        <v>0</v>
      </c>
      <c r="E74" s="624">
        <f>E75+E76+E77+E78</f>
        <v>0</v>
      </c>
      <c r="F74" s="627">
        <v>0</v>
      </c>
      <c r="G74" s="627">
        <v>0</v>
      </c>
      <c r="H74" s="624">
        <f>H75+H76+H77+H78</f>
        <v>0</v>
      </c>
      <c r="I74" s="624">
        <f t="shared" ref="I74:AE74" si="19">I75+I76+I77+I78</f>
        <v>0</v>
      </c>
      <c r="J74" s="624">
        <f t="shared" si="19"/>
        <v>0</v>
      </c>
      <c r="K74" s="624">
        <f t="shared" si="19"/>
        <v>0</v>
      </c>
      <c r="L74" s="624">
        <f t="shared" si="19"/>
        <v>0</v>
      </c>
      <c r="M74" s="624">
        <f t="shared" si="19"/>
        <v>0</v>
      </c>
      <c r="N74" s="624">
        <f t="shared" si="19"/>
        <v>9.1999999999999993</v>
      </c>
      <c r="O74" s="624">
        <f t="shared" si="19"/>
        <v>0</v>
      </c>
      <c r="P74" s="624">
        <f t="shared" si="19"/>
        <v>0</v>
      </c>
      <c r="Q74" s="624">
        <f t="shared" si="19"/>
        <v>0</v>
      </c>
      <c r="R74" s="624">
        <f t="shared" si="19"/>
        <v>0</v>
      </c>
      <c r="S74" s="624">
        <f t="shared" si="19"/>
        <v>0</v>
      </c>
      <c r="T74" s="624">
        <f t="shared" si="19"/>
        <v>0</v>
      </c>
      <c r="U74" s="624">
        <f t="shared" si="19"/>
        <v>0</v>
      </c>
      <c r="V74" s="624">
        <f t="shared" si="19"/>
        <v>0</v>
      </c>
      <c r="W74" s="624">
        <f t="shared" si="19"/>
        <v>0</v>
      </c>
      <c r="X74" s="624">
        <f t="shared" si="19"/>
        <v>0</v>
      </c>
      <c r="Y74" s="624">
        <f t="shared" si="19"/>
        <v>0</v>
      </c>
      <c r="Z74" s="624">
        <f t="shared" si="19"/>
        <v>0</v>
      </c>
      <c r="AA74" s="624">
        <f t="shared" si="19"/>
        <v>0</v>
      </c>
      <c r="AB74" s="624">
        <f t="shared" si="19"/>
        <v>0</v>
      </c>
      <c r="AC74" s="624">
        <f t="shared" si="19"/>
        <v>0</v>
      </c>
      <c r="AD74" s="624">
        <f t="shared" si="19"/>
        <v>2046.6</v>
      </c>
      <c r="AE74" s="624">
        <f t="shared" si="19"/>
        <v>0</v>
      </c>
      <c r="AF74" s="620"/>
      <c r="AG74" s="621">
        <f t="shared" si="1"/>
        <v>0</v>
      </c>
    </row>
    <row r="75" spans="1:33" s="622" customFormat="1" x14ac:dyDescent="0.3">
      <c r="A75" s="626" t="s">
        <v>169</v>
      </c>
      <c r="B75" s="627">
        <f>J75+L75+N75+P75+R75+T75+V75+X75+Z75+AB75+AD75+H75</f>
        <v>2046.6</v>
      </c>
      <c r="C75" s="627">
        <f>SUM(H75+J75+L75+N75)</f>
        <v>0</v>
      </c>
      <c r="D75" s="627">
        <f>E75</f>
        <v>0</v>
      </c>
      <c r="E75" s="627">
        <f>SUM(I75,K75,M75,O75,Q75,S75,U75,W75,Y75,AA75,AC75,AE75)</f>
        <v>0</v>
      </c>
      <c r="F75" s="627"/>
      <c r="G75" s="627"/>
      <c r="H75" s="627"/>
      <c r="I75" s="627"/>
      <c r="J75" s="627"/>
      <c r="K75" s="627"/>
      <c r="L75" s="627"/>
      <c r="M75" s="627"/>
      <c r="N75" s="627"/>
      <c r="O75" s="627"/>
      <c r="P75" s="627"/>
      <c r="Q75" s="627"/>
      <c r="R75" s="627"/>
      <c r="S75" s="627"/>
      <c r="T75" s="627"/>
      <c r="U75" s="627"/>
      <c r="V75" s="627"/>
      <c r="W75" s="627"/>
      <c r="X75" s="627"/>
      <c r="Y75" s="627"/>
      <c r="Z75" s="627"/>
      <c r="AA75" s="627"/>
      <c r="AB75" s="627"/>
      <c r="AC75" s="627"/>
      <c r="AD75" s="627">
        <v>2046.6</v>
      </c>
      <c r="AE75" s="627"/>
      <c r="AF75" s="620"/>
      <c r="AG75" s="621">
        <f t="shared" si="1"/>
        <v>0</v>
      </c>
    </row>
    <row r="76" spans="1:33" s="622" customFormat="1" x14ac:dyDescent="0.3">
      <c r="A76" s="626" t="s">
        <v>32</v>
      </c>
      <c r="B76" s="627">
        <f>J76+L76+N76+P76+R76+T76+V76+X76+Z76+AB76+AD76+H76</f>
        <v>9.1999999999999993</v>
      </c>
      <c r="C76" s="627">
        <f>SUM(H76+J76+L76+N76)</f>
        <v>9.1999999999999993</v>
      </c>
      <c r="D76" s="627">
        <f>E76</f>
        <v>0</v>
      </c>
      <c r="E76" s="627">
        <f>SUM(I76,K76,M76,O76,Q76,S76,U76,W76,Y76,AA76,AC76,AE76)</f>
        <v>0</v>
      </c>
      <c r="F76" s="627"/>
      <c r="G76" s="627"/>
      <c r="H76" s="627"/>
      <c r="I76" s="627"/>
      <c r="J76" s="627"/>
      <c r="K76" s="627"/>
      <c r="L76" s="627"/>
      <c r="M76" s="627"/>
      <c r="N76" s="627">
        <v>9.1999999999999993</v>
      </c>
      <c r="O76" s="627"/>
      <c r="P76" s="627"/>
      <c r="Q76" s="627"/>
      <c r="R76" s="627"/>
      <c r="S76" s="627"/>
      <c r="T76" s="627"/>
      <c r="U76" s="627"/>
      <c r="V76" s="627"/>
      <c r="W76" s="627"/>
      <c r="X76" s="627"/>
      <c r="Y76" s="627"/>
      <c r="Z76" s="627"/>
      <c r="AA76" s="627"/>
      <c r="AB76" s="627"/>
      <c r="AC76" s="627"/>
      <c r="AD76" s="627"/>
      <c r="AE76" s="627"/>
      <c r="AF76" s="620"/>
      <c r="AG76" s="621">
        <f t="shared" si="1"/>
        <v>0</v>
      </c>
    </row>
    <row r="77" spans="1:33" s="622" customFormat="1" x14ac:dyDescent="0.3">
      <c r="A77" s="626" t="s">
        <v>33</v>
      </c>
      <c r="B77" s="627">
        <f>J77+L77+N77+P77+R77+T77+V77+X77+Z77+AB77+AD77+H77</f>
        <v>0</v>
      </c>
      <c r="C77" s="627">
        <f>SUM(H77+J77+L77+N77)</f>
        <v>0</v>
      </c>
      <c r="D77" s="627">
        <f>E77</f>
        <v>0</v>
      </c>
      <c r="E77" s="627">
        <f>SUM(I77,K77,M77,O77,Q77,S77,U77,W77,Y77,AA77,AC77,AE77)</f>
        <v>0</v>
      </c>
      <c r="F77" s="627">
        <f>IFERROR(E77/B77*100,0)</f>
        <v>0</v>
      </c>
      <c r="G77" s="627">
        <f>IFERROR(E77/C77*100,0)</f>
        <v>0</v>
      </c>
      <c r="H77" s="627"/>
      <c r="I77" s="627"/>
      <c r="J77" s="627"/>
      <c r="K77" s="627"/>
      <c r="L77" s="627"/>
      <c r="M77" s="627"/>
      <c r="N77" s="627"/>
      <c r="O77" s="627"/>
      <c r="P77" s="627"/>
      <c r="Q77" s="627"/>
      <c r="R77" s="627"/>
      <c r="S77" s="627"/>
      <c r="T77" s="627"/>
      <c r="U77" s="627"/>
      <c r="V77" s="627"/>
      <c r="W77" s="627"/>
      <c r="X77" s="627"/>
      <c r="Y77" s="627"/>
      <c r="Z77" s="627"/>
      <c r="AA77" s="627"/>
      <c r="AB77" s="627"/>
      <c r="AC77" s="627"/>
      <c r="AD77" s="627"/>
      <c r="AE77" s="627"/>
      <c r="AF77" s="620"/>
      <c r="AG77" s="621">
        <f t="shared" si="1"/>
        <v>0</v>
      </c>
    </row>
    <row r="78" spans="1:33" s="622" customFormat="1" x14ac:dyDescent="0.3">
      <c r="A78" s="626" t="s">
        <v>170</v>
      </c>
      <c r="B78" s="627">
        <f>J78+L78+N78+P78+R78+T78+V78+X78+Z78+AB78+AD78+H78</f>
        <v>0</v>
      </c>
      <c r="C78" s="627">
        <f>SUM(H78+J78+L78+N78)</f>
        <v>0</v>
      </c>
      <c r="D78" s="627">
        <f>E78</f>
        <v>0</v>
      </c>
      <c r="E78" s="627">
        <f>SUM(I78,K78,M78,O78,Q78,S78,U78,W78,Y78,AA78,AC78,AE78)</f>
        <v>0</v>
      </c>
      <c r="F78" s="627"/>
      <c r="G78" s="627"/>
      <c r="H78" s="627"/>
      <c r="I78" s="627"/>
      <c r="J78" s="627"/>
      <c r="K78" s="627"/>
      <c r="L78" s="627"/>
      <c r="M78" s="627"/>
      <c r="N78" s="627"/>
      <c r="O78" s="627"/>
      <c r="P78" s="627"/>
      <c r="Q78" s="627"/>
      <c r="R78" s="627"/>
      <c r="S78" s="627"/>
      <c r="T78" s="627"/>
      <c r="U78" s="627"/>
      <c r="V78" s="627"/>
      <c r="W78" s="627"/>
      <c r="X78" s="627"/>
      <c r="Y78" s="627"/>
      <c r="Z78" s="627"/>
      <c r="AA78" s="627"/>
      <c r="AB78" s="627"/>
      <c r="AC78" s="627"/>
      <c r="AD78" s="627"/>
      <c r="AE78" s="627"/>
      <c r="AF78" s="620"/>
      <c r="AG78" s="621">
        <f t="shared" si="1"/>
        <v>0</v>
      </c>
    </row>
    <row r="79" spans="1:33" s="622" customFormat="1" ht="187.5" x14ac:dyDescent="0.3">
      <c r="A79" s="629" t="s">
        <v>328</v>
      </c>
      <c r="B79" s="627"/>
      <c r="C79" s="635"/>
      <c r="D79" s="635"/>
      <c r="E79" s="635"/>
      <c r="F79" s="635"/>
      <c r="G79" s="635"/>
      <c r="H79" s="627"/>
      <c r="I79" s="627"/>
      <c r="J79" s="627"/>
      <c r="K79" s="627"/>
      <c r="L79" s="627"/>
      <c r="M79" s="627"/>
      <c r="N79" s="627"/>
      <c r="O79" s="627"/>
      <c r="P79" s="627"/>
      <c r="Q79" s="627"/>
      <c r="R79" s="627"/>
      <c r="S79" s="627"/>
      <c r="T79" s="627"/>
      <c r="U79" s="627"/>
      <c r="V79" s="627"/>
      <c r="W79" s="627"/>
      <c r="X79" s="627"/>
      <c r="Y79" s="627"/>
      <c r="Z79" s="627"/>
      <c r="AA79" s="627"/>
      <c r="AB79" s="627"/>
      <c r="AC79" s="627"/>
      <c r="AD79" s="627"/>
      <c r="AE79" s="627"/>
      <c r="AF79" s="620"/>
      <c r="AG79" s="621">
        <f t="shared" si="1"/>
        <v>0</v>
      </c>
    </row>
    <row r="80" spans="1:33" s="622" customFormat="1" x14ac:dyDescent="0.3">
      <c r="A80" s="623" t="s">
        <v>31</v>
      </c>
      <c r="B80" s="624">
        <f>B81+B82+B83+B84</f>
        <v>0</v>
      </c>
      <c r="C80" s="624">
        <f>C81+C82+C83+C84</f>
        <v>0</v>
      </c>
      <c r="D80" s="624">
        <f>D81+D82+D83+D84</f>
        <v>0</v>
      </c>
      <c r="E80" s="624">
        <f>E81+E82+E83+E84</f>
        <v>0</v>
      </c>
      <c r="F80" s="627">
        <v>0</v>
      </c>
      <c r="G80" s="627">
        <v>0</v>
      </c>
      <c r="H80" s="624">
        <f>H81+H82+H83+H84</f>
        <v>0</v>
      </c>
      <c r="I80" s="624">
        <f t="shared" ref="I80:AE80" si="20">I81+I82+I83+I84</f>
        <v>0</v>
      </c>
      <c r="J80" s="624">
        <f t="shared" si="20"/>
        <v>0</v>
      </c>
      <c r="K80" s="624">
        <f t="shared" si="20"/>
        <v>0</v>
      </c>
      <c r="L80" s="624">
        <f t="shared" si="20"/>
        <v>0</v>
      </c>
      <c r="M80" s="624">
        <f t="shared" si="20"/>
        <v>0</v>
      </c>
      <c r="N80" s="624">
        <f t="shared" si="20"/>
        <v>0</v>
      </c>
      <c r="O80" s="624">
        <f t="shared" si="20"/>
        <v>0</v>
      </c>
      <c r="P80" s="624">
        <f t="shared" si="20"/>
        <v>0</v>
      </c>
      <c r="Q80" s="624">
        <f t="shared" si="20"/>
        <v>0</v>
      </c>
      <c r="R80" s="624">
        <f t="shared" si="20"/>
        <v>0</v>
      </c>
      <c r="S80" s="624">
        <f t="shared" si="20"/>
        <v>0</v>
      </c>
      <c r="T80" s="624">
        <f t="shared" si="20"/>
        <v>0</v>
      </c>
      <c r="U80" s="624">
        <f t="shared" si="20"/>
        <v>0</v>
      </c>
      <c r="V80" s="624">
        <f t="shared" si="20"/>
        <v>0</v>
      </c>
      <c r="W80" s="624">
        <f t="shared" si="20"/>
        <v>0</v>
      </c>
      <c r="X80" s="624">
        <f t="shared" si="20"/>
        <v>0</v>
      </c>
      <c r="Y80" s="624">
        <f t="shared" si="20"/>
        <v>0</v>
      </c>
      <c r="Z80" s="624">
        <f t="shared" si="20"/>
        <v>0</v>
      </c>
      <c r="AA80" s="624">
        <f t="shared" si="20"/>
        <v>0</v>
      </c>
      <c r="AB80" s="624">
        <f t="shared" si="20"/>
        <v>0</v>
      </c>
      <c r="AC80" s="624">
        <f t="shared" si="20"/>
        <v>0</v>
      </c>
      <c r="AD80" s="624">
        <f t="shared" si="20"/>
        <v>0</v>
      </c>
      <c r="AE80" s="624">
        <f t="shared" si="20"/>
        <v>0</v>
      </c>
      <c r="AF80" s="620"/>
      <c r="AG80" s="621">
        <f t="shared" si="1"/>
        <v>0</v>
      </c>
    </row>
    <row r="81" spans="1:33" s="622" customFormat="1" x14ac:dyDescent="0.3">
      <c r="A81" s="626" t="s">
        <v>169</v>
      </c>
      <c r="B81" s="627">
        <f>J81+L81+N81+P81+R81+T81+V81+X81+Z81+AB81+AD81+H81</f>
        <v>0</v>
      </c>
      <c r="C81" s="627">
        <f>SUM(H81+J81+L81+N81)</f>
        <v>0</v>
      </c>
      <c r="D81" s="627">
        <f>E81</f>
        <v>0</v>
      </c>
      <c r="E81" s="627">
        <f>SUM(I81,K81,M81,O81,Q81,S81,U81,W81,Y81,AA81,AC81,AE81)</f>
        <v>0</v>
      </c>
      <c r="F81" s="627"/>
      <c r="G81" s="627"/>
      <c r="H81" s="627"/>
      <c r="I81" s="627"/>
      <c r="J81" s="627"/>
      <c r="K81" s="627"/>
      <c r="L81" s="627"/>
      <c r="M81" s="627"/>
      <c r="N81" s="627"/>
      <c r="O81" s="627"/>
      <c r="P81" s="627"/>
      <c r="Q81" s="627"/>
      <c r="R81" s="627"/>
      <c r="S81" s="627"/>
      <c r="T81" s="627"/>
      <c r="U81" s="627"/>
      <c r="V81" s="627"/>
      <c r="W81" s="627"/>
      <c r="X81" s="627"/>
      <c r="Y81" s="627"/>
      <c r="Z81" s="627"/>
      <c r="AA81" s="627"/>
      <c r="AB81" s="627"/>
      <c r="AC81" s="627"/>
      <c r="AD81" s="627"/>
      <c r="AE81" s="627"/>
      <c r="AF81" s="620"/>
      <c r="AG81" s="621">
        <f t="shared" si="1"/>
        <v>0</v>
      </c>
    </row>
    <row r="82" spans="1:33" s="622" customFormat="1" x14ac:dyDescent="0.3">
      <c r="A82" s="626" t="s">
        <v>32</v>
      </c>
      <c r="B82" s="627">
        <f>J82+L82+N82+P82+R82+T82+V82+X82+Z82+AB82+AD82+H82</f>
        <v>0</v>
      </c>
      <c r="C82" s="627">
        <f>SUM(H82+J82+L82+N82)</f>
        <v>0</v>
      </c>
      <c r="D82" s="627">
        <f>E82</f>
        <v>0</v>
      </c>
      <c r="E82" s="627">
        <f>SUM(I82,K82,M82,O82,Q82,S82,U82,W82,Y82,AA82,AC82,AE82)</f>
        <v>0</v>
      </c>
      <c r="F82" s="627"/>
      <c r="G82" s="627"/>
      <c r="H82" s="627"/>
      <c r="I82" s="627"/>
      <c r="J82" s="627"/>
      <c r="K82" s="627"/>
      <c r="L82" s="627"/>
      <c r="M82" s="627"/>
      <c r="N82" s="627"/>
      <c r="O82" s="627"/>
      <c r="P82" s="627"/>
      <c r="Q82" s="627"/>
      <c r="R82" s="627"/>
      <c r="S82" s="627"/>
      <c r="T82" s="627"/>
      <c r="U82" s="627"/>
      <c r="V82" s="627"/>
      <c r="W82" s="627"/>
      <c r="X82" s="627"/>
      <c r="Y82" s="627"/>
      <c r="Z82" s="627"/>
      <c r="AA82" s="627"/>
      <c r="AB82" s="627"/>
      <c r="AC82" s="627"/>
      <c r="AD82" s="627"/>
      <c r="AE82" s="627"/>
      <c r="AF82" s="620"/>
      <c r="AG82" s="621">
        <f t="shared" si="1"/>
        <v>0</v>
      </c>
    </row>
    <row r="83" spans="1:33" s="622" customFormat="1" x14ac:dyDescent="0.3">
      <c r="A83" s="626" t="s">
        <v>33</v>
      </c>
      <c r="B83" s="627">
        <f>J83+L83+N83+P83+R83+T83+V83+X83+Z83+AB83+AD83+H83</f>
        <v>0</v>
      </c>
      <c r="C83" s="627">
        <f>SUM(H83+J83+L83+N83)</f>
        <v>0</v>
      </c>
      <c r="D83" s="627">
        <f>E83</f>
        <v>0</v>
      </c>
      <c r="E83" s="627">
        <f>SUM(I83,K83,M83,O83,Q83,S83,U83,W83,Y83,AA83,AC83,AE83)</f>
        <v>0</v>
      </c>
      <c r="F83" s="627">
        <f>IFERROR(E83/B83*100,0)</f>
        <v>0</v>
      </c>
      <c r="G83" s="627">
        <f>IFERROR(E83/C83*100,0)</f>
        <v>0</v>
      </c>
      <c r="H83" s="627"/>
      <c r="I83" s="627"/>
      <c r="J83" s="627"/>
      <c r="K83" s="627"/>
      <c r="L83" s="627"/>
      <c r="M83" s="627"/>
      <c r="N83" s="627"/>
      <c r="O83" s="627"/>
      <c r="P83" s="627"/>
      <c r="Q83" s="627"/>
      <c r="R83" s="627"/>
      <c r="S83" s="627"/>
      <c r="T83" s="627"/>
      <c r="U83" s="627"/>
      <c r="V83" s="627"/>
      <c r="W83" s="627"/>
      <c r="X83" s="627"/>
      <c r="Y83" s="627"/>
      <c r="Z83" s="627"/>
      <c r="AA83" s="627"/>
      <c r="AB83" s="627"/>
      <c r="AC83" s="627"/>
      <c r="AD83" s="627"/>
      <c r="AE83" s="627"/>
      <c r="AF83" s="620"/>
      <c r="AG83" s="621">
        <f t="shared" si="1"/>
        <v>0</v>
      </c>
    </row>
    <row r="84" spans="1:33" s="622" customFormat="1" x14ac:dyDescent="0.3">
      <c r="A84" s="626" t="s">
        <v>170</v>
      </c>
      <c r="B84" s="627">
        <f>J84+L84+N84+P84+R84+T84+V84+X84+Z84+AB84+AD84+H84</f>
        <v>0</v>
      </c>
      <c r="C84" s="627">
        <f>SUM(H84+J84+L84+N84)</f>
        <v>0</v>
      </c>
      <c r="D84" s="627">
        <f>E84</f>
        <v>0</v>
      </c>
      <c r="E84" s="627">
        <f>SUM(I84,K84,M84,O84,Q84,S84,U84,W84,Y84,AA84,AC84,AE84)</f>
        <v>0</v>
      </c>
      <c r="F84" s="627"/>
      <c r="G84" s="627"/>
      <c r="H84" s="627"/>
      <c r="I84" s="627"/>
      <c r="J84" s="627"/>
      <c r="K84" s="627"/>
      <c r="L84" s="627"/>
      <c r="M84" s="627"/>
      <c r="N84" s="627"/>
      <c r="O84" s="627"/>
      <c r="P84" s="627"/>
      <c r="Q84" s="627"/>
      <c r="R84" s="627"/>
      <c r="S84" s="627"/>
      <c r="T84" s="627"/>
      <c r="U84" s="627"/>
      <c r="V84" s="627"/>
      <c r="W84" s="627"/>
      <c r="X84" s="627"/>
      <c r="Y84" s="627"/>
      <c r="Z84" s="627"/>
      <c r="AA84" s="627"/>
      <c r="AB84" s="627"/>
      <c r="AC84" s="627"/>
      <c r="AD84" s="627"/>
      <c r="AE84" s="627"/>
      <c r="AF84" s="620"/>
      <c r="AG84" s="621">
        <f t="shared" si="1"/>
        <v>0</v>
      </c>
    </row>
    <row r="85" spans="1:33" ht="112.5" x14ac:dyDescent="0.3">
      <c r="A85" s="628" t="s">
        <v>329</v>
      </c>
      <c r="B85" s="628"/>
      <c r="C85" s="628"/>
      <c r="D85" s="628"/>
      <c r="E85" s="628"/>
      <c r="F85" s="628"/>
      <c r="G85" s="628"/>
      <c r="H85" s="628"/>
      <c r="I85" s="628"/>
      <c r="J85" s="628"/>
      <c r="K85" s="628"/>
      <c r="L85" s="628"/>
      <c r="M85" s="628"/>
      <c r="N85" s="628"/>
      <c r="O85" s="628"/>
      <c r="P85" s="628"/>
      <c r="Q85" s="628"/>
      <c r="R85" s="628"/>
      <c r="S85" s="628"/>
      <c r="T85" s="628"/>
      <c r="U85" s="628"/>
      <c r="V85" s="628"/>
      <c r="W85" s="628"/>
      <c r="X85" s="628"/>
      <c r="Y85" s="628"/>
      <c r="Z85" s="628"/>
      <c r="AA85" s="628"/>
      <c r="AB85" s="628"/>
      <c r="AC85" s="628"/>
      <c r="AD85" s="628"/>
      <c r="AE85" s="628"/>
      <c r="AF85" s="628"/>
      <c r="AG85" s="102">
        <f t="shared" si="1"/>
        <v>0</v>
      </c>
    </row>
    <row r="86" spans="1:33" s="622" customFormat="1" x14ac:dyDescent="0.3">
      <c r="A86" s="1047" t="s">
        <v>54</v>
      </c>
      <c r="B86" s="1048"/>
      <c r="C86" s="1048"/>
      <c r="D86" s="1048"/>
      <c r="E86" s="1048"/>
      <c r="F86" s="1048"/>
      <c r="G86" s="1048"/>
      <c r="H86" s="1048"/>
      <c r="I86" s="1048"/>
      <c r="J86" s="1048"/>
      <c r="K86" s="1048"/>
      <c r="L86" s="1048"/>
      <c r="M86" s="1048"/>
      <c r="N86" s="1048"/>
      <c r="O86" s="1048"/>
      <c r="P86" s="1048"/>
      <c r="Q86" s="1048"/>
      <c r="R86" s="1048"/>
      <c r="S86" s="1048"/>
      <c r="T86" s="1048"/>
      <c r="U86" s="1048"/>
      <c r="V86" s="1048"/>
      <c r="W86" s="1048"/>
      <c r="X86" s="1048"/>
      <c r="Y86" s="1048"/>
      <c r="Z86" s="1048"/>
      <c r="AA86" s="1048"/>
      <c r="AB86" s="1048"/>
      <c r="AC86" s="1048"/>
      <c r="AD86" s="1048"/>
      <c r="AE86" s="1048"/>
      <c r="AF86" s="1049"/>
      <c r="AG86" s="621">
        <f t="shared" si="1"/>
        <v>0</v>
      </c>
    </row>
    <row r="87" spans="1:33" s="622" customFormat="1" ht="93.75" x14ac:dyDescent="0.3">
      <c r="A87" s="636" t="s">
        <v>330</v>
      </c>
      <c r="B87" s="637"/>
      <c r="C87" s="638"/>
      <c r="D87" s="638"/>
      <c r="E87" s="638"/>
      <c r="F87" s="638"/>
      <c r="G87" s="638"/>
      <c r="H87" s="637"/>
      <c r="I87" s="637"/>
      <c r="J87" s="637"/>
      <c r="K87" s="637"/>
      <c r="L87" s="637"/>
      <c r="M87" s="637"/>
      <c r="N87" s="637"/>
      <c r="O87" s="637"/>
      <c r="P87" s="637"/>
      <c r="Q87" s="637"/>
      <c r="R87" s="637"/>
      <c r="S87" s="637"/>
      <c r="T87" s="637"/>
      <c r="U87" s="637"/>
      <c r="V87" s="637"/>
      <c r="W87" s="637"/>
      <c r="X87" s="637"/>
      <c r="Y87" s="637"/>
      <c r="Z87" s="637"/>
      <c r="AA87" s="637"/>
      <c r="AB87" s="637"/>
      <c r="AC87" s="637"/>
      <c r="AD87" s="637"/>
      <c r="AE87" s="637"/>
      <c r="AF87" s="620"/>
      <c r="AG87" s="621">
        <f t="shared" ref="AG87:AG126" si="21">B87-H87-J87-L87-N87-P87-R87-T87-V87-X87-Z87-AB87-AD87</f>
        <v>0</v>
      </c>
    </row>
    <row r="88" spans="1:33" s="622" customFormat="1" x14ac:dyDescent="0.3">
      <c r="A88" s="623" t="s">
        <v>31</v>
      </c>
      <c r="B88" s="624">
        <f>B89+B90+B91+B92</f>
        <v>10192.700000000001</v>
      </c>
      <c r="C88" s="624">
        <f>C89+C90+C91+C92</f>
        <v>4677.1139999999996</v>
      </c>
      <c r="D88" s="624">
        <f>D89+D90+D91+D92</f>
        <v>3355.6880000000001</v>
      </c>
      <c r="E88" s="624">
        <f>E89+E90+E91+E92</f>
        <v>3355.6880000000001</v>
      </c>
      <c r="F88" s="624">
        <f>IFERROR(E88/B88*100,0)</f>
        <v>32.922464116475517</v>
      </c>
      <c r="G88" s="624">
        <f>IFERROR(E88/C88*100,0)</f>
        <v>71.746979013126477</v>
      </c>
      <c r="H88" s="624">
        <f>H89+H90+H91+H92</f>
        <v>1346.835</v>
      </c>
      <c r="I88" s="624">
        <f t="shared" ref="I88:AE88" si="22">I89+I90+I91+I92</f>
        <v>505.76100000000002</v>
      </c>
      <c r="J88" s="624">
        <f t="shared" si="22"/>
        <v>860.06899999999996</v>
      </c>
      <c r="K88" s="624">
        <f t="shared" si="22"/>
        <v>875.25400000000002</v>
      </c>
      <c r="L88" s="624">
        <f t="shared" si="22"/>
        <v>683.37599999999998</v>
      </c>
      <c r="M88" s="624">
        <f t="shared" si="22"/>
        <v>565.35</v>
      </c>
      <c r="N88" s="624">
        <f t="shared" si="22"/>
        <v>1006.02</v>
      </c>
      <c r="O88" s="624">
        <f t="shared" si="22"/>
        <v>686.33299999999997</v>
      </c>
      <c r="P88" s="624">
        <f t="shared" si="22"/>
        <v>780.81399999999996</v>
      </c>
      <c r="Q88" s="624">
        <f t="shared" si="22"/>
        <v>722.99</v>
      </c>
      <c r="R88" s="624">
        <f t="shared" si="22"/>
        <v>683.37599999999998</v>
      </c>
      <c r="S88" s="624">
        <f t="shared" si="22"/>
        <v>0</v>
      </c>
      <c r="T88" s="624">
        <f t="shared" si="22"/>
        <v>1006.02</v>
      </c>
      <c r="U88" s="624">
        <f t="shared" si="22"/>
        <v>0</v>
      </c>
      <c r="V88" s="624">
        <f t="shared" si="22"/>
        <v>780.81399999999996</v>
      </c>
      <c r="W88" s="624">
        <f t="shared" si="22"/>
        <v>0</v>
      </c>
      <c r="X88" s="624">
        <f t="shared" si="22"/>
        <v>683.37599999999998</v>
      </c>
      <c r="Y88" s="624">
        <f t="shared" si="22"/>
        <v>0</v>
      </c>
      <c r="Z88" s="624">
        <f t="shared" si="22"/>
        <v>1006.02</v>
      </c>
      <c r="AA88" s="624">
        <f t="shared" si="22"/>
        <v>0</v>
      </c>
      <c r="AB88" s="624">
        <f t="shared" si="22"/>
        <v>780.81399999999996</v>
      </c>
      <c r="AC88" s="624">
        <f t="shared" si="22"/>
        <v>0</v>
      </c>
      <c r="AD88" s="624">
        <f t="shared" si="22"/>
        <v>575.16600000000005</v>
      </c>
      <c r="AE88" s="624">
        <f t="shared" si="22"/>
        <v>0</v>
      </c>
      <c r="AF88" s="620"/>
      <c r="AG88" s="621">
        <f t="shared" si="21"/>
        <v>9.0949470177292824E-13</v>
      </c>
    </row>
    <row r="89" spans="1:33" s="622" customFormat="1" x14ac:dyDescent="0.3">
      <c r="A89" s="626" t="s">
        <v>169</v>
      </c>
      <c r="B89" s="627">
        <f>J89+L89+N89+P89+R89+T89+V89+X89+Z89+AB89+AD89+H89</f>
        <v>0</v>
      </c>
      <c r="C89" s="627">
        <f>SUM(H89+J89+L89+N89)</f>
        <v>0</v>
      </c>
      <c r="D89" s="627">
        <f>E89</f>
        <v>0</v>
      </c>
      <c r="E89" s="627">
        <f>SUM(I89,K89,M89,O89,Q89,S89,U89,W89,Y89,AA89,AC89,AE89)</f>
        <v>0</v>
      </c>
      <c r="F89" s="627"/>
      <c r="G89" s="627"/>
      <c r="H89" s="627"/>
      <c r="I89" s="627"/>
      <c r="J89" s="627"/>
      <c r="K89" s="627"/>
      <c r="L89" s="627"/>
      <c r="M89" s="627"/>
      <c r="N89" s="627"/>
      <c r="O89" s="627"/>
      <c r="P89" s="627"/>
      <c r="Q89" s="627"/>
      <c r="R89" s="627"/>
      <c r="S89" s="627"/>
      <c r="T89" s="627"/>
      <c r="U89" s="627"/>
      <c r="V89" s="627"/>
      <c r="W89" s="627"/>
      <c r="X89" s="627"/>
      <c r="Y89" s="627"/>
      <c r="Z89" s="627"/>
      <c r="AA89" s="627"/>
      <c r="AB89" s="627"/>
      <c r="AC89" s="627"/>
      <c r="AD89" s="627"/>
      <c r="AE89" s="627"/>
      <c r="AF89" s="620"/>
      <c r="AG89" s="621">
        <f t="shared" si="21"/>
        <v>0</v>
      </c>
    </row>
    <row r="90" spans="1:33" s="622" customFormat="1" x14ac:dyDescent="0.3">
      <c r="A90" s="626" t="s">
        <v>32</v>
      </c>
      <c r="B90" s="627">
        <f>J90+L90+N90+P90+R90+T90+V90+X90+Z90+AB90+AD90+H90</f>
        <v>0</v>
      </c>
      <c r="C90" s="627">
        <f>SUM(H90+J90+L90+N90)</f>
        <v>0</v>
      </c>
      <c r="D90" s="627">
        <f>E90</f>
        <v>0</v>
      </c>
      <c r="E90" s="627">
        <f>SUM(I90,K90,M90,O90,Q90,S90,U90,W90,Y90,AA90,AC90,AE90)</f>
        <v>0</v>
      </c>
      <c r="F90" s="627"/>
      <c r="G90" s="627"/>
      <c r="H90" s="627"/>
      <c r="I90" s="627"/>
      <c r="J90" s="627"/>
      <c r="K90" s="627"/>
      <c r="L90" s="627"/>
      <c r="M90" s="627"/>
      <c r="N90" s="627"/>
      <c r="O90" s="627"/>
      <c r="P90" s="627"/>
      <c r="Q90" s="627"/>
      <c r="R90" s="627"/>
      <c r="S90" s="627"/>
      <c r="T90" s="627"/>
      <c r="U90" s="627"/>
      <c r="V90" s="627"/>
      <c r="W90" s="627"/>
      <c r="X90" s="627"/>
      <c r="Y90" s="627"/>
      <c r="Z90" s="627"/>
      <c r="AA90" s="627"/>
      <c r="AB90" s="627"/>
      <c r="AC90" s="627"/>
      <c r="AD90" s="627"/>
      <c r="AE90" s="627"/>
      <c r="AF90" s="620"/>
      <c r="AG90" s="621">
        <f t="shared" si="21"/>
        <v>0</v>
      </c>
    </row>
    <row r="91" spans="1:33" s="622" customFormat="1" x14ac:dyDescent="0.3">
      <c r="A91" s="626" t="s">
        <v>33</v>
      </c>
      <c r="B91" s="627">
        <f>J91+L91+N91+P91+R91+T91+V91+X91+Z91+AB91+AD91+H91</f>
        <v>10192.700000000001</v>
      </c>
      <c r="C91" s="627">
        <f>SUM(H91+J91+L91+P91+N91)</f>
        <v>4677.1139999999996</v>
      </c>
      <c r="D91" s="627">
        <f>E91</f>
        <v>3355.6880000000001</v>
      </c>
      <c r="E91" s="627">
        <f>SUM(I91,K91,M91,O91,Q91,S91,U91,W91,Y91,AA91,AC91,AE91)</f>
        <v>3355.6880000000001</v>
      </c>
      <c r="F91" s="627">
        <f>IFERROR(E91/B91*100,0)</f>
        <v>32.922464116475517</v>
      </c>
      <c r="G91" s="627">
        <f>IFERROR(E91/C91*100,0)</f>
        <v>71.746979013126477</v>
      </c>
      <c r="H91" s="627">
        <v>1346.835</v>
      </c>
      <c r="I91" s="627">
        <v>505.76100000000002</v>
      </c>
      <c r="J91" s="627">
        <v>860.06899999999996</v>
      </c>
      <c r="K91" s="627">
        <v>875.25400000000002</v>
      </c>
      <c r="L91" s="627">
        <v>683.37599999999998</v>
      </c>
      <c r="M91" s="627">
        <v>565.35</v>
      </c>
      <c r="N91" s="627">
        <v>1006.02</v>
      </c>
      <c r="O91" s="627">
        <v>686.33299999999997</v>
      </c>
      <c r="P91" s="627">
        <v>780.81399999999996</v>
      </c>
      <c r="Q91" s="627">
        <v>722.99</v>
      </c>
      <c r="R91" s="627">
        <v>683.37599999999998</v>
      </c>
      <c r="S91" s="627"/>
      <c r="T91" s="627">
        <v>1006.02</v>
      </c>
      <c r="U91" s="627"/>
      <c r="V91" s="627">
        <v>780.81399999999996</v>
      </c>
      <c r="W91" s="627"/>
      <c r="X91" s="627">
        <v>683.37599999999998</v>
      </c>
      <c r="Y91" s="627"/>
      <c r="Z91" s="627">
        <v>1006.02</v>
      </c>
      <c r="AA91" s="627"/>
      <c r="AB91" s="627">
        <v>780.81399999999996</v>
      </c>
      <c r="AC91" s="627"/>
      <c r="AD91" s="627">
        <v>575.16600000000005</v>
      </c>
      <c r="AE91" s="627"/>
      <c r="AF91" s="620"/>
      <c r="AG91" s="621">
        <f t="shared" si="21"/>
        <v>9.0949470177292824E-13</v>
      </c>
    </row>
    <row r="92" spans="1:33" s="622" customFormat="1" x14ac:dyDescent="0.3">
      <c r="A92" s="626" t="s">
        <v>170</v>
      </c>
      <c r="B92" s="627">
        <f>J92+L92+N92+P92+R92+T92+V92+X92+Z92+AB92+AD92+H92</f>
        <v>0</v>
      </c>
      <c r="C92" s="627">
        <f>SUM(H92+J92+L92+N92)</f>
        <v>0</v>
      </c>
      <c r="D92" s="627">
        <f>E92</f>
        <v>0</v>
      </c>
      <c r="E92" s="627">
        <f>SUM(I92,K92,M92,O92,Q92,S92,U92,W92,Y92,AA92,AC92,AE92)</f>
        <v>0</v>
      </c>
      <c r="F92" s="627"/>
      <c r="G92" s="627"/>
      <c r="H92" s="627"/>
      <c r="I92" s="627"/>
      <c r="J92" s="627"/>
      <c r="K92" s="627"/>
      <c r="L92" s="627"/>
      <c r="M92" s="627"/>
      <c r="N92" s="627"/>
      <c r="O92" s="627"/>
      <c r="P92" s="627"/>
      <c r="Q92" s="627"/>
      <c r="R92" s="627"/>
      <c r="S92" s="627"/>
      <c r="T92" s="627"/>
      <c r="U92" s="627"/>
      <c r="V92" s="627"/>
      <c r="W92" s="627"/>
      <c r="X92" s="627"/>
      <c r="Y92" s="627"/>
      <c r="Z92" s="627"/>
      <c r="AA92" s="627"/>
      <c r="AB92" s="627"/>
      <c r="AC92" s="627"/>
      <c r="AD92" s="627"/>
      <c r="AE92" s="627"/>
      <c r="AF92" s="620"/>
      <c r="AG92" s="621">
        <f t="shared" si="21"/>
        <v>0</v>
      </c>
    </row>
    <row r="93" spans="1:33" s="622" customFormat="1" ht="75" x14ac:dyDescent="0.3">
      <c r="A93" s="636" t="s">
        <v>331</v>
      </c>
      <c r="B93" s="637"/>
      <c r="C93" s="627"/>
      <c r="D93" s="638"/>
      <c r="E93" s="638"/>
      <c r="F93" s="638"/>
      <c r="G93" s="638"/>
      <c r="H93" s="637"/>
      <c r="I93" s="637"/>
      <c r="J93" s="637"/>
      <c r="K93" s="637"/>
      <c r="L93" s="637"/>
      <c r="M93" s="637"/>
      <c r="N93" s="637"/>
      <c r="O93" s="637"/>
      <c r="P93" s="637"/>
      <c r="Q93" s="637"/>
      <c r="R93" s="637"/>
      <c r="S93" s="637"/>
      <c r="T93" s="637"/>
      <c r="U93" s="637"/>
      <c r="V93" s="637"/>
      <c r="W93" s="637"/>
      <c r="X93" s="637"/>
      <c r="Y93" s="637"/>
      <c r="Z93" s="637"/>
      <c r="AA93" s="637"/>
      <c r="AB93" s="637"/>
      <c r="AC93" s="637"/>
      <c r="AD93" s="637"/>
      <c r="AE93" s="637"/>
      <c r="AF93" s="620"/>
      <c r="AG93" s="621">
        <f t="shared" si="21"/>
        <v>0</v>
      </c>
    </row>
    <row r="94" spans="1:33" s="622" customFormat="1" x14ac:dyDescent="0.3">
      <c r="A94" s="623" t="s">
        <v>31</v>
      </c>
      <c r="B94" s="624">
        <f>B95+B96+B97+B98</f>
        <v>18835</v>
      </c>
      <c r="C94" s="624">
        <f>C95+C96+C97+C98</f>
        <v>8613.7830000000013</v>
      </c>
      <c r="D94" s="624">
        <f>D95+D96+D97+D98</f>
        <v>7326.6329999999998</v>
      </c>
      <c r="E94" s="624">
        <f>E95+E96+E97+E98</f>
        <v>7326.6329999999998</v>
      </c>
      <c r="F94" s="624">
        <f>IFERROR(E94/B94*100,0)</f>
        <v>38.899033713830633</v>
      </c>
      <c r="G94" s="624">
        <f>IFERROR(E94/C94*100,0)</f>
        <v>85.057088157433242</v>
      </c>
      <c r="H94" s="624">
        <f>H95+H96+H97+H98</f>
        <v>2430.2660000000001</v>
      </c>
      <c r="I94" s="624">
        <f t="shared" ref="I94:AE94" si="23">I95+I96+I97+I98</f>
        <v>1047.0619999999999</v>
      </c>
      <c r="J94" s="624">
        <f t="shared" si="23"/>
        <v>1596.345</v>
      </c>
      <c r="K94" s="624">
        <f t="shared" si="23"/>
        <v>1690.673</v>
      </c>
      <c r="L94" s="624">
        <f t="shared" si="23"/>
        <v>1267.1220000000001</v>
      </c>
      <c r="M94" s="624">
        <f t="shared" si="23"/>
        <v>1305.6310000000001</v>
      </c>
      <c r="N94" s="624">
        <f t="shared" si="23"/>
        <v>1870.66</v>
      </c>
      <c r="O94" s="624">
        <f t="shared" si="23"/>
        <v>1312.827</v>
      </c>
      <c r="P94" s="624">
        <f t="shared" si="23"/>
        <v>1449.39</v>
      </c>
      <c r="Q94" s="624">
        <f t="shared" si="23"/>
        <v>1970.44</v>
      </c>
      <c r="R94" s="624">
        <f t="shared" si="23"/>
        <v>1267.1220000000001</v>
      </c>
      <c r="S94" s="624">
        <f t="shared" si="23"/>
        <v>0</v>
      </c>
      <c r="T94" s="624">
        <f t="shared" si="23"/>
        <v>1870.66</v>
      </c>
      <c r="U94" s="624">
        <f t="shared" si="23"/>
        <v>0</v>
      </c>
      <c r="V94" s="624">
        <f t="shared" si="23"/>
        <v>1449.39</v>
      </c>
      <c r="W94" s="624">
        <f t="shared" si="23"/>
        <v>0</v>
      </c>
      <c r="X94" s="624">
        <f t="shared" si="23"/>
        <v>1267.1220000000001</v>
      </c>
      <c r="Y94" s="624">
        <f t="shared" si="23"/>
        <v>0</v>
      </c>
      <c r="Z94" s="624">
        <f t="shared" si="23"/>
        <v>1870.66</v>
      </c>
      <c r="AA94" s="624">
        <f t="shared" si="23"/>
        <v>0</v>
      </c>
      <c r="AB94" s="624">
        <f t="shared" si="23"/>
        <v>1449.39</v>
      </c>
      <c r="AC94" s="624">
        <f t="shared" si="23"/>
        <v>0</v>
      </c>
      <c r="AD94" s="624">
        <f t="shared" si="23"/>
        <v>1046.873</v>
      </c>
      <c r="AE94" s="624">
        <f t="shared" si="23"/>
        <v>0</v>
      </c>
      <c r="AF94" s="620"/>
      <c r="AG94" s="621">
        <f t="shared" si="21"/>
        <v>2.5011104298755527E-12</v>
      </c>
    </row>
    <row r="95" spans="1:33" s="622" customFormat="1" x14ac:dyDescent="0.3">
      <c r="A95" s="626" t="s">
        <v>169</v>
      </c>
      <c r="B95" s="627">
        <f>J95+L95+N95+P95+R95+T95+V95+X95+Z95+AB95+AD95+H95</f>
        <v>0</v>
      </c>
      <c r="C95" s="627">
        <f>SUM(H95+J95+L95+N95)</f>
        <v>0</v>
      </c>
      <c r="D95" s="627">
        <f>E95</f>
        <v>0</v>
      </c>
      <c r="E95" s="627">
        <f>SUM(I95,K95,M95,O95,Q95,S95,U95,W95,Y95,AA95,AC95,AE95)</f>
        <v>0</v>
      </c>
      <c r="F95" s="627"/>
      <c r="G95" s="627"/>
      <c r="H95" s="627"/>
      <c r="I95" s="627"/>
      <c r="J95" s="627"/>
      <c r="K95" s="627"/>
      <c r="L95" s="627"/>
      <c r="M95" s="627"/>
      <c r="N95" s="627"/>
      <c r="O95" s="627"/>
      <c r="P95" s="627"/>
      <c r="Q95" s="627"/>
      <c r="R95" s="627"/>
      <c r="S95" s="627"/>
      <c r="T95" s="627"/>
      <c r="U95" s="627"/>
      <c r="V95" s="627"/>
      <c r="W95" s="627"/>
      <c r="X95" s="627"/>
      <c r="Y95" s="627"/>
      <c r="Z95" s="627"/>
      <c r="AA95" s="627"/>
      <c r="AB95" s="627"/>
      <c r="AC95" s="627"/>
      <c r="AD95" s="627"/>
      <c r="AE95" s="627"/>
      <c r="AF95" s="620"/>
      <c r="AG95" s="621">
        <f t="shared" si="21"/>
        <v>0</v>
      </c>
    </row>
    <row r="96" spans="1:33" s="622" customFormat="1" x14ac:dyDescent="0.3">
      <c r="A96" s="626" t="s">
        <v>32</v>
      </c>
      <c r="B96" s="627">
        <f>J96+L96+N96+P96+R96+T96+V96+X96+Z96+AB96+AD96+H96</f>
        <v>0</v>
      </c>
      <c r="C96" s="627">
        <f>SUM(H96+J96+L96+N96)</f>
        <v>0</v>
      </c>
      <c r="D96" s="627">
        <f>E96</f>
        <v>0</v>
      </c>
      <c r="E96" s="627">
        <f>SUM(I96,K96,M96,O96,Q96,S96,U96,W96,Y96,AA96,AC96,AE96)</f>
        <v>0</v>
      </c>
      <c r="F96" s="627"/>
      <c r="G96" s="627"/>
      <c r="H96" s="627"/>
      <c r="I96" s="627"/>
      <c r="J96" s="627"/>
      <c r="K96" s="627"/>
      <c r="L96" s="627"/>
      <c r="M96" s="627"/>
      <c r="N96" s="627"/>
      <c r="O96" s="627"/>
      <c r="P96" s="627"/>
      <c r="Q96" s="627"/>
      <c r="R96" s="627"/>
      <c r="S96" s="627"/>
      <c r="T96" s="627"/>
      <c r="U96" s="627"/>
      <c r="V96" s="627"/>
      <c r="W96" s="627"/>
      <c r="X96" s="627"/>
      <c r="Y96" s="627"/>
      <c r="Z96" s="627"/>
      <c r="AA96" s="627"/>
      <c r="AB96" s="627"/>
      <c r="AC96" s="627"/>
      <c r="AD96" s="627"/>
      <c r="AE96" s="627"/>
      <c r="AF96" s="620"/>
      <c r="AG96" s="621">
        <f t="shared" si="21"/>
        <v>0</v>
      </c>
    </row>
    <row r="97" spans="1:33" s="622" customFormat="1" x14ac:dyDescent="0.3">
      <c r="A97" s="626" t="s">
        <v>33</v>
      </c>
      <c r="B97" s="627">
        <f>J97+L97+N97+P97+R97+T97+V97+X97+Z97+AB97+AD97+H97</f>
        <v>18835</v>
      </c>
      <c r="C97" s="627">
        <f>SUM(H97+J97+L97+P97+N97)</f>
        <v>8613.7830000000013</v>
      </c>
      <c r="D97" s="627">
        <f>E97</f>
        <v>7326.6329999999998</v>
      </c>
      <c r="E97" s="627">
        <f>SUM(I97,K97,M97,O97,Q97,S97,U97,W97,Y97,AA97,AC97,AE97)</f>
        <v>7326.6329999999998</v>
      </c>
      <c r="F97" s="627">
        <f>IFERROR(E97/B97*100,0)</f>
        <v>38.899033713830633</v>
      </c>
      <c r="G97" s="627">
        <f>IFERROR(E97/C97*100,0)</f>
        <v>85.057088157433242</v>
      </c>
      <c r="H97" s="627">
        <v>2430.2660000000001</v>
      </c>
      <c r="I97" s="627">
        <v>1047.0619999999999</v>
      </c>
      <c r="J97" s="627">
        <v>1596.345</v>
      </c>
      <c r="K97" s="627">
        <v>1690.673</v>
      </c>
      <c r="L97" s="627">
        <v>1267.1220000000001</v>
      </c>
      <c r="M97" s="627">
        <v>1305.6310000000001</v>
      </c>
      <c r="N97" s="627">
        <v>1870.66</v>
      </c>
      <c r="O97" s="627">
        <v>1312.827</v>
      </c>
      <c r="P97" s="627">
        <v>1449.39</v>
      </c>
      <c r="Q97" s="627">
        <v>1970.44</v>
      </c>
      <c r="R97" s="627">
        <v>1267.1220000000001</v>
      </c>
      <c r="S97" s="627"/>
      <c r="T97" s="627">
        <v>1870.66</v>
      </c>
      <c r="U97" s="627"/>
      <c r="V97" s="627">
        <v>1449.39</v>
      </c>
      <c r="W97" s="627"/>
      <c r="X97" s="627">
        <v>1267.1220000000001</v>
      </c>
      <c r="Y97" s="627"/>
      <c r="Z97" s="627">
        <v>1870.66</v>
      </c>
      <c r="AA97" s="627"/>
      <c r="AB97" s="627">
        <v>1449.39</v>
      </c>
      <c r="AC97" s="627"/>
      <c r="AD97" s="627">
        <v>1046.873</v>
      </c>
      <c r="AE97" s="627"/>
      <c r="AF97" s="620"/>
      <c r="AG97" s="621">
        <f t="shared" si="21"/>
        <v>2.5011104298755527E-12</v>
      </c>
    </row>
    <row r="98" spans="1:33" s="622" customFormat="1" x14ac:dyDescent="0.3">
      <c r="A98" s="626" t="s">
        <v>170</v>
      </c>
      <c r="B98" s="627">
        <f>J98+L98+N98+P98+R98+T98+V98+X98+Z98+AB98+AD98+H98</f>
        <v>0</v>
      </c>
      <c r="C98" s="627">
        <f>SUM(H98+J98+L98+N98)</f>
        <v>0</v>
      </c>
      <c r="D98" s="627">
        <f>E98</f>
        <v>0</v>
      </c>
      <c r="E98" s="627">
        <f>SUM(I98,K98,M98,O98,Q98,S98,U98,W98,Y98,AA98,AC98,AE98)</f>
        <v>0</v>
      </c>
      <c r="F98" s="627"/>
      <c r="G98" s="627"/>
      <c r="H98" s="627"/>
      <c r="I98" s="627"/>
      <c r="J98" s="627"/>
      <c r="K98" s="627"/>
      <c r="L98" s="627"/>
      <c r="M98" s="627"/>
      <c r="N98" s="627"/>
      <c r="O98" s="627"/>
      <c r="P98" s="627"/>
      <c r="Q98" s="627"/>
      <c r="R98" s="627"/>
      <c r="S98" s="627"/>
      <c r="T98" s="627"/>
      <c r="U98" s="627"/>
      <c r="V98" s="627"/>
      <c r="W98" s="627"/>
      <c r="X98" s="627"/>
      <c r="Y98" s="627"/>
      <c r="Z98" s="627"/>
      <c r="AA98" s="627"/>
      <c r="AB98" s="627"/>
      <c r="AC98" s="627"/>
      <c r="AD98" s="627"/>
      <c r="AE98" s="627"/>
      <c r="AF98" s="620"/>
      <c r="AG98" s="621">
        <f t="shared" si="21"/>
        <v>0</v>
      </c>
    </row>
    <row r="99" spans="1:33" s="622" customFormat="1" ht="93.75" x14ac:dyDescent="0.3">
      <c r="A99" s="636" t="s">
        <v>332</v>
      </c>
      <c r="B99" s="637"/>
      <c r="C99" s="627">
        <f>SUM(H99+J99)</f>
        <v>0</v>
      </c>
      <c r="D99" s="638"/>
      <c r="E99" s="638"/>
      <c r="F99" s="638"/>
      <c r="G99" s="638"/>
      <c r="H99" s="637"/>
      <c r="I99" s="637"/>
      <c r="J99" s="637"/>
      <c r="K99" s="637"/>
      <c r="L99" s="637"/>
      <c r="M99" s="637"/>
      <c r="N99" s="637"/>
      <c r="O99" s="637"/>
      <c r="P99" s="637"/>
      <c r="Q99" s="637"/>
      <c r="R99" s="637"/>
      <c r="S99" s="637"/>
      <c r="T99" s="637"/>
      <c r="U99" s="637"/>
      <c r="V99" s="637"/>
      <c r="W99" s="637"/>
      <c r="X99" s="637"/>
      <c r="Y99" s="637"/>
      <c r="Z99" s="637"/>
      <c r="AA99" s="637"/>
      <c r="AB99" s="637"/>
      <c r="AC99" s="637"/>
      <c r="AD99" s="637"/>
      <c r="AE99" s="637"/>
      <c r="AF99" s="620"/>
      <c r="AG99" s="621">
        <f t="shared" si="21"/>
        <v>0</v>
      </c>
    </row>
    <row r="100" spans="1:33" s="622" customFormat="1" x14ac:dyDescent="0.3">
      <c r="A100" s="623" t="s">
        <v>31</v>
      </c>
      <c r="B100" s="624">
        <f>B101+B102+B103+B104</f>
        <v>79081.343549999991</v>
      </c>
      <c r="C100" s="624">
        <f>C101+C102+C103+C104</f>
        <v>31431.841550000001</v>
      </c>
      <c r="D100" s="624">
        <f>D101+D102+D103+D104</f>
        <v>29432.713</v>
      </c>
      <c r="E100" s="624">
        <f>E101+E102+E103+E104</f>
        <v>29432.713</v>
      </c>
      <c r="F100" s="627">
        <f>IFERROR(E100/B100*100,0)</f>
        <v>37.218276370571353</v>
      </c>
      <c r="G100" s="627">
        <f>IFERROR(E100/C100*100,0)</f>
        <v>93.639798206478304</v>
      </c>
      <c r="H100" s="624">
        <f>H101+H102+H103+H104</f>
        <v>6588.7505499999997</v>
      </c>
      <c r="I100" s="624">
        <f t="shared" ref="I100:AE100" si="24">I101+I102+I103+I104</f>
        <v>5979.4539999999997</v>
      </c>
      <c r="J100" s="624">
        <f t="shared" si="24"/>
        <v>7421.74</v>
      </c>
      <c r="K100" s="624">
        <f t="shared" si="24"/>
        <v>6464.2879999999996</v>
      </c>
      <c r="L100" s="624">
        <f t="shared" si="24"/>
        <v>5279.7759999999998</v>
      </c>
      <c r="M100" s="624">
        <f t="shared" si="24"/>
        <v>5272.8850000000002</v>
      </c>
      <c r="N100" s="624">
        <f t="shared" si="24"/>
        <v>6742.9430000000002</v>
      </c>
      <c r="O100" s="624">
        <f t="shared" si="24"/>
        <v>6129.0259999999998</v>
      </c>
      <c r="P100" s="624">
        <f t="shared" si="24"/>
        <v>5398.6319999999996</v>
      </c>
      <c r="Q100" s="624">
        <f t="shared" si="24"/>
        <v>5587.0599999999995</v>
      </c>
      <c r="R100" s="624">
        <f t="shared" si="24"/>
        <v>6103.192</v>
      </c>
      <c r="S100" s="624">
        <f t="shared" si="24"/>
        <v>0</v>
      </c>
      <c r="T100" s="624">
        <f t="shared" si="24"/>
        <v>7060.0469999999996</v>
      </c>
      <c r="U100" s="624">
        <f t="shared" si="24"/>
        <v>0</v>
      </c>
      <c r="V100" s="624">
        <f t="shared" si="24"/>
        <v>6328.192</v>
      </c>
      <c r="W100" s="624">
        <f t="shared" si="24"/>
        <v>0</v>
      </c>
      <c r="X100" s="624">
        <f t="shared" si="24"/>
        <v>5636.2929999999997</v>
      </c>
      <c r="Y100" s="624">
        <f t="shared" si="24"/>
        <v>0</v>
      </c>
      <c r="Z100" s="624">
        <f t="shared" si="24"/>
        <v>6150.33</v>
      </c>
      <c r="AA100" s="624">
        <f t="shared" si="24"/>
        <v>0</v>
      </c>
      <c r="AB100" s="624">
        <f t="shared" si="24"/>
        <v>5483.0929999999998</v>
      </c>
      <c r="AC100" s="624">
        <f t="shared" si="24"/>
        <v>0</v>
      </c>
      <c r="AD100" s="624">
        <f t="shared" si="24"/>
        <v>10888.355</v>
      </c>
      <c r="AE100" s="624">
        <f t="shared" si="24"/>
        <v>0</v>
      </c>
      <c r="AF100" s="620"/>
      <c r="AG100" s="621">
        <f t="shared" si="21"/>
        <v>0</v>
      </c>
    </row>
    <row r="101" spans="1:33" s="622" customFormat="1" x14ac:dyDescent="0.3">
      <c r="A101" s="626" t="s">
        <v>169</v>
      </c>
      <c r="B101" s="627">
        <f>J101+L101+N101+P101+R101+T101+V101+X101+Z101+AB101+AD101+H101</f>
        <v>0</v>
      </c>
      <c r="C101" s="627">
        <f>SUM(H101+J101+L101+P101+N101)</f>
        <v>0</v>
      </c>
      <c r="D101" s="627">
        <f>E101</f>
        <v>0</v>
      </c>
      <c r="E101" s="627">
        <f>SUM(I101,K101,M101,O101,Q101,S101,U101,W101,Y101,AA101,AC101,AE101)</f>
        <v>0</v>
      </c>
      <c r="F101" s="627"/>
      <c r="G101" s="627"/>
      <c r="H101" s="627"/>
      <c r="I101" s="627"/>
      <c r="J101" s="627"/>
      <c r="K101" s="627"/>
      <c r="L101" s="627"/>
      <c r="M101" s="627"/>
      <c r="N101" s="627"/>
      <c r="O101" s="627"/>
      <c r="P101" s="627"/>
      <c r="Q101" s="627"/>
      <c r="R101" s="627"/>
      <c r="S101" s="627"/>
      <c r="T101" s="627"/>
      <c r="U101" s="627"/>
      <c r="V101" s="627"/>
      <c r="W101" s="627"/>
      <c r="X101" s="627"/>
      <c r="Y101" s="627"/>
      <c r="Z101" s="627"/>
      <c r="AA101" s="627"/>
      <c r="AB101" s="627"/>
      <c r="AC101" s="627"/>
      <c r="AD101" s="627"/>
      <c r="AE101" s="627"/>
      <c r="AF101" s="620"/>
      <c r="AG101" s="621">
        <f t="shared" si="21"/>
        <v>0</v>
      </c>
    </row>
    <row r="102" spans="1:33" s="622" customFormat="1" x14ac:dyDescent="0.3">
      <c r="A102" s="626" t="s">
        <v>32</v>
      </c>
      <c r="B102" s="627">
        <f>J102+L102+N102+P102+R102+T102+V102+X102+Z102+AB102+AD102+H102</f>
        <v>22.45</v>
      </c>
      <c r="C102" s="627">
        <f>SUM(H102+J102+L102+P102+N102)</f>
        <v>22.45</v>
      </c>
      <c r="D102" s="627">
        <f>E102</f>
        <v>22.45</v>
      </c>
      <c r="E102" s="627">
        <f>SUM(I102,K102,M102,O102,Q102,S102,U102,W102,Y102,AA102,AC102,AE102)</f>
        <v>22.45</v>
      </c>
      <c r="F102" s="627"/>
      <c r="G102" s="627"/>
      <c r="H102" s="627"/>
      <c r="I102" s="627"/>
      <c r="J102" s="627"/>
      <c r="K102" s="627"/>
      <c r="L102" s="627"/>
      <c r="M102" s="627"/>
      <c r="N102" s="627"/>
      <c r="O102" s="627"/>
      <c r="P102" s="627">
        <v>22.45</v>
      </c>
      <c r="Q102" s="627">
        <v>22.45</v>
      </c>
      <c r="R102" s="627"/>
      <c r="S102" s="627"/>
      <c r="T102" s="627"/>
      <c r="U102" s="627"/>
      <c r="V102" s="627"/>
      <c r="W102" s="627"/>
      <c r="X102" s="627"/>
      <c r="Y102" s="627"/>
      <c r="Z102" s="627"/>
      <c r="AA102" s="627"/>
      <c r="AB102" s="627"/>
      <c r="AC102" s="627"/>
      <c r="AD102" s="627"/>
      <c r="AE102" s="627"/>
      <c r="AF102" s="620"/>
      <c r="AG102" s="621">
        <f t="shared" si="21"/>
        <v>0</v>
      </c>
    </row>
    <row r="103" spans="1:33" s="622" customFormat="1" x14ac:dyDescent="0.3">
      <c r="A103" s="626" t="s">
        <v>33</v>
      </c>
      <c r="B103" s="627">
        <f>J103+L103+N103+P103+R103+T103+V103+X103+Z103+AB103+AD103+H103</f>
        <v>79058.893549999993</v>
      </c>
      <c r="C103" s="627">
        <f>SUM(H103+J103+L103+P103+N103)</f>
        <v>31409.39155</v>
      </c>
      <c r="D103" s="627">
        <f>E103</f>
        <v>29410.262999999999</v>
      </c>
      <c r="E103" s="627">
        <f>SUM(I103,K103,M103,O103,Q103,S103,U103,W103,Y103,AA103,AC103,AE103)</f>
        <v>29410.262999999999</v>
      </c>
      <c r="F103" s="627">
        <f>IFERROR(E103/B103*100,0)</f>
        <v>37.20044852562954</v>
      </c>
      <c r="G103" s="627">
        <f>IFERROR(E103/C103*100,0)</f>
        <v>93.635252224425841</v>
      </c>
      <c r="H103" s="627">
        <v>6588.7505499999997</v>
      </c>
      <c r="I103" s="627">
        <v>5979.4539999999997</v>
      </c>
      <c r="J103" s="627">
        <v>7421.74</v>
      </c>
      <c r="K103" s="627">
        <v>6464.2879999999996</v>
      </c>
      <c r="L103" s="627">
        <v>5279.7759999999998</v>
      </c>
      <c r="M103" s="627">
        <v>5272.8850000000002</v>
      </c>
      <c r="N103" s="627">
        <v>6742.9430000000002</v>
      </c>
      <c r="O103" s="627">
        <v>6129.0259999999998</v>
      </c>
      <c r="P103" s="627">
        <v>5376.1819999999998</v>
      </c>
      <c r="Q103" s="627">
        <v>5564.61</v>
      </c>
      <c r="R103" s="627">
        <v>6103.192</v>
      </c>
      <c r="S103" s="627"/>
      <c r="T103" s="627">
        <v>7060.0469999999996</v>
      </c>
      <c r="U103" s="627"/>
      <c r="V103" s="627">
        <v>6328.192</v>
      </c>
      <c r="W103" s="627"/>
      <c r="X103" s="627">
        <v>5636.2929999999997</v>
      </c>
      <c r="Y103" s="627"/>
      <c r="Z103" s="627">
        <v>6150.33</v>
      </c>
      <c r="AA103" s="627"/>
      <c r="AB103" s="627">
        <v>5483.0929999999998</v>
      </c>
      <c r="AC103" s="627"/>
      <c r="AD103" s="627">
        <v>10888.355</v>
      </c>
      <c r="AE103" s="627"/>
      <c r="AF103" s="620"/>
      <c r="AG103" s="621">
        <f t="shared" si="21"/>
        <v>0</v>
      </c>
    </row>
    <row r="104" spans="1:33" s="622" customFormat="1" x14ac:dyDescent="0.3">
      <c r="A104" s="626" t="s">
        <v>170</v>
      </c>
      <c r="B104" s="627">
        <f>J104+L104+N104+P104+R104+T104+V104+X104+Z104+AB104+AD104+H104</f>
        <v>0</v>
      </c>
      <c r="C104" s="627">
        <f>SUM(H104+J104+L104+N104)</f>
        <v>0</v>
      </c>
      <c r="D104" s="627">
        <f>E104</f>
        <v>0</v>
      </c>
      <c r="E104" s="627">
        <f>SUM(I104,K104,M104,O104,Q104,S104,U104,W104,Y104,AA104,AC104,AE104)</f>
        <v>0</v>
      </c>
      <c r="F104" s="627"/>
      <c r="G104" s="627"/>
      <c r="H104" s="627"/>
      <c r="I104" s="627"/>
      <c r="J104" s="627"/>
      <c r="K104" s="627"/>
      <c r="L104" s="627"/>
      <c r="M104" s="627"/>
      <c r="N104" s="627"/>
      <c r="O104" s="627"/>
      <c r="P104" s="627"/>
      <c r="Q104" s="627"/>
      <c r="R104" s="627"/>
      <c r="S104" s="627"/>
      <c r="T104" s="627"/>
      <c r="U104" s="627"/>
      <c r="V104" s="627"/>
      <c r="W104" s="627"/>
      <c r="X104" s="627"/>
      <c r="Y104" s="627"/>
      <c r="Z104" s="627"/>
      <c r="AA104" s="627"/>
      <c r="AB104" s="627"/>
      <c r="AC104" s="627"/>
      <c r="AD104" s="627"/>
      <c r="AE104" s="627"/>
      <c r="AF104" s="620"/>
      <c r="AG104" s="621">
        <f t="shared" si="21"/>
        <v>0</v>
      </c>
    </row>
    <row r="105" spans="1:33" ht="37.5" x14ac:dyDescent="0.3">
      <c r="A105" s="640" t="s">
        <v>217</v>
      </c>
      <c r="B105" s="641">
        <f>B106+B107+B108+B110</f>
        <v>182561.64354999998</v>
      </c>
      <c r="C105" s="641">
        <f>C106+C107+C108+C110</f>
        <v>73688.131550000006</v>
      </c>
      <c r="D105" s="641">
        <f>D106+D107+D108+D110</f>
        <v>67104.525999999998</v>
      </c>
      <c r="E105" s="641">
        <f>E106+E107+E108+E110</f>
        <v>67104.525999999998</v>
      </c>
      <c r="F105" s="641">
        <f t="shared" ref="F105:F121" si="25">IFERROR(E105/B105*100,0)</f>
        <v>36.757187706639712</v>
      </c>
      <c r="G105" s="641">
        <f t="shared" ref="G105:G121" si="26">IFERROR(E105/C105*100,0)</f>
        <v>91.065582188723567</v>
      </c>
      <c r="H105" s="641">
        <f t="shared" ref="H105:AE105" si="27">H106+H107+H108+H110</f>
        <v>15042.351549999999</v>
      </c>
      <c r="I105" s="641">
        <f t="shared" si="27"/>
        <v>7953.1170000000002</v>
      </c>
      <c r="J105" s="641">
        <f t="shared" si="27"/>
        <v>17283.153999999999</v>
      </c>
      <c r="K105" s="641">
        <f t="shared" si="27"/>
        <v>20090.375</v>
      </c>
      <c r="L105" s="641">
        <f t="shared" si="27"/>
        <v>17013.317999999999</v>
      </c>
      <c r="M105" s="641">
        <f t="shared" si="27"/>
        <v>12552.253000000001</v>
      </c>
      <c r="N105" s="641">
        <f t="shared" si="27"/>
        <v>12751.101999999999</v>
      </c>
      <c r="O105" s="641">
        <f t="shared" si="27"/>
        <v>14941.421</v>
      </c>
      <c r="P105" s="641">
        <f t="shared" si="27"/>
        <v>11598.206</v>
      </c>
      <c r="Q105" s="641">
        <f t="shared" si="27"/>
        <v>11567.359999999999</v>
      </c>
      <c r="R105" s="641">
        <f t="shared" si="27"/>
        <v>10964.869000000001</v>
      </c>
      <c r="S105" s="641">
        <f t="shared" si="27"/>
        <v>0</v>
      </c>
      <c r="T105" s="641">
        <f t="shared" si="27"/>
        <v>9936.726999999999</v>
      </c>
      <c r="U105" s="641">
        <f t="shared" si="27"/>
        <v>0</v>
      </c>
      <c r="V105" s="641">
        <f t="shared" si="27"/>
        <v>8558.3960000000006</v>
      </c>
      <c r="W105" s="641">
        <f t="shared" si="27"/>
        <v>0</v>
      </c>
      <c r="X105" s="641">
        <f t="shared" si="27"/>
        <v>7586.7909999999993</v>
      </c>
      <c r="Y105" s="641">
        <f t="shared" si="27"/>
        <v>0</v>
      </c>
      <c r="Z105" s="641">
        <f t="shared" si="27"/>
        <v>9027.01</v>
      </c>
      <c r="AA105" s="641">
        <f t="shared" si="27"/>
        <v>0</v>
      </c>
      <c r="AB105" s="641">
        <f t="shared" si="27"/>
        <v>13924.507000000001</v>
      </c>
      <c r="AC105" s="641">
        <f t="shared" si="27"/>
        <v>0</v>
      </c>
      <c r="AD105" s="641">
        <f t="shared" si="27"/>
        <v>48875.212</v>
      </c>
      <c r="AE105" s="641">
        <f t="shared" si="27"/>
        <v>0</v>
      </c>
      <c r="AF105" s="641"/>
      <c r="AG105" s="102">
        <f t="shared" si="21"/>
        <v>0</v>
      </c>
    </row>
    <row r="106" spans="1:33" s="622" customFormat="1" x14ac:dyDescent="0.3">
      <c r="A106" s="626" t="s">
        <v>169</v>
      </c>
      <c r="B106" s="627">
        <f>B13+B19+B26+B33+B40+B47+B62+B69+B75+B81+B89+B95+B101+B53</f>
        <v>4435.598</v>
      </c>
      <c r="C106" s="627">
        <f t="shared" ref="C106:AE106" si="28">C13+C19+C26+C33+C40+C47+C62+C69+C75+C81+C89+C95+C101+C53</f>
        <v>348.37800000000004</v>
      </c>
      <c r="D106" s="627">
        <f t="shared" si="28"/>
        <v>348.38099999999997</v>
      </c>
      <c r="E106" s="627">
        <f t="shared" si="28"/>
        <v>348.38099999999997</v>
      </c>
      <c r="F106" s="627">
        <f t="shared" si="25"/>
        <v>7.8542059041418995</v>
      </c>
      <c r="G106" s="627">
        <f t="shared" si="26"/>
        <v>100.00086113359626</v>
      </c>
      <c r="H106" s="627">
        <f t="shared" si="28"/>
        <v>0</v>
      </c>
      <c r="I106" s="627">
        <f t="shared" si="28"/>
        <v>0</v>
      </c>
      <c r="J106" s="627">
        <f t="shared" si="28"/>
        <v>0</v>
      </c>
      <c r="K106" s="627">
        <f t="shared" si="28"/>
        <v>0</v>
      </c>
      <c r="L106" s="627">
        <f t="shared" si="28"/>
        <v>158.38200000000001</v>
      </c>
      <c r="M106" s="627">
        <f t="shared" si="28"/>
        <v>158.38200000000001</v>
      </c>
      <c r="N106" s="627">
        <f t="shared" si="28"/>
        <v>189.99600000000001</v>
      </c>
      <c r="O106" s="627">
        <f t="shared" si="28"/>
        <v>189.999</v>
      </c>
      <c r="P106" s="627">
        <f t="shared" si="28"/>
        <v>0</v>
      </c>
      <c r="Q106" s="627">
        <f t="shared" si="28"/>
        <v>0</v>
      </c>
      <c r="R106" s="627">
        <f t="shared" si="28"/>
        <v>0</v>
      </c>
      <c r="S106" s="627">
        <f t="shared" si="28"/>
        <v>0</v>
      </c>
      <c r="T106" s="627">
        <f t="shared" si="28"/>
        <v>0</v>
      </c>
      <c r="U106" s="627">
        <f t="shared" si="28"/>
        <v>0</v>
      </c>
      <c r="V106" s="627">
        <f t="shared" si="28"/>
        <v>0</v>
      </c>
      <c r="W106" s="627">
        <f t="shared" si="28"/>
        <v>0</v>
      </c>
      <c r="X106" s="627">
        <f t="shared" si="28"/>
        <v>0</v>
      </c>
      <c r="Y106" s="627">
        <f t="shared" si="28"/>
        <v>0</v>
      </c>
      <c r="Z106" s="627">
        <f t="shared" si="28"/>
        <v>0</v>
      </c>
      <c r="AA106" s="627">
        <f t="shared" si="28"/>
        <v>0</v>
      </c>
      <c r="AB106" s="627">
        <f t="shared" si="28"/>
        <v>0</v>
      </c>
      <c r="AC106" s="627">
        <f t="shared" si="28"/>
        <v>0</v>
      </c>
      <c r="AD106" s="627">
        <f t="shared" si="28"/>
        <v>4087.22</v>
      </c>
      <c r="AE106" s="627">
        <f t="shared" si="28"/>
        <v>0</v>
      </c>
      <c r="AF106" s="627"/>
      <c r="AG106" s="621">
        <f t="shared" si="21"/>
        <v>0</v>
      </c>
    </row>
    <row r="107" spans="1:33" s="622" customFormat="1" x14ac:dyDescent="0.3">
      <c r="A107" s="626" t="s">
        <v>32</v>
      </c>
      <c r="B107" s="627">
        <f>B14+B20+B27+B34+B41+B48+B63+B70+B76+B82+B90+B96+B102+B54</f>
        <v>62360.439999999988</v>
      </c>
      <c r="C107" s="627">
        <f>C14+C20+C27+C34+C41+C48+C63+C70+C76+C82+C90+C96+C102+C54</f>
        <v>25524.281999999999</v>
      </c>
      <c r="D107" s="627">
        <f t="shared" ref="D107:AE107" si="29">D14+D20+D27+D34+D41+D48+D63+D70+D76+D82+D90+D96+D102+D54</f>
        <v>24313.537</v>
      </c>
      <c r="E107" s="627">
        <f t="shared" si="29"/>
        <v>24313.537</v>
      </c>
      <c r="F107" s="627">
        <f t="shared" si="25"/>
        <v>38.988719450985279</v>
      </c>
      <c r="G107" s="627">
        <f t="shared" si="26"/>
        <v>95.256497322823819</v>
      </c>
      <c r="H107" s="627">
        <f t="shared" si="29"/>
        <v>4255.5</v>
      </c>
      <c r="I107" s="627">
        <f t="shared" si="29"/>
        <v>0</v>
      </c>
      <c r="J107" s="627">
        <f t="shared" si="29"/>
        <v>6738.55</v>
      </c>
      <c r="K107" s="627">
        <f t="shared" si="29"/>
        <v>10447.709999999999</v>
      </c>
      <c r="L107" s="627">
        <f t="shared" si="29"/>
        <v>8133.1149999999998</v>
      </c>
      <c r="M107" s="627">
        <f t="shared" si="29"/>
        <v>4469.4549999999999</v>
      </c>
      <c r="N107" s="627">
        <f t="shared" si="29"/>
        <v>2762.5370000000003</v>
      </c>
      <c r="O107" s="627">
        <f t="shared" si="29"/>
        <v>6444.2919999999995</v>
      </c>
      <c r="P107" s="627">
        <f t="shared" si="29"/>
        <v>3634.58</v>
      </c>
      <c r="Q107" s="627">
        <f t="shared" si="29"/>
        <v>2952.08</v>
      </c>
      <c r="R107" s="627">
        <f t="shared" si="29"/>
        <v>2649.136</v>
      </c>
      <c r="S107" s="627">
        <f t="shared" si="29"/>
        <v>0</v>
      </c>
      <c r="T107" s="627">
        <f t="shared" si="29"/>
        <v>0</v>
      </c>
      <c r="U107" s="627">
        <f t="shared" si="29"/>
        <v>0</v>
      </c>
      <c r="V107" s="627">
        <f t="shared" si="29"/>
        <v>0</v>
      </c>
      <c r="W107" s="627">
        <f t="shared" si="29"/>
        <v>0</v>
      </c>
      <c r="X107" s="627">
        <f t="shared" si="29"/>
        <v>0</v>
      </c>
      <c r="Y107" s="627">
        <f t="shared" si="29"/>
        <v>0</v>
      </c>
      <c r="Z107" s="627">
        <f t="shared" si="29"/>
        <v>0</v>
      </c>
      <c r="AA107" s="627">
        <f t="shared" si="29"/>
        <v>0</v>
      </c>
      <c r="AB107" s="627">
        <f t="shared" si="29"/>
        <v>5652.2</v>
      </c>
      <c r="AC107" s="627">
        <f t="shared" si="29"/>
        <v>0</v>
      </c>
      <c r="AD107" s="627">
        <f t="shared" si="29"/>
        <v>28534.822</v>
      </c>
      <c r="AE107" s="627">
        <f t="shared" si="29"/>
        <v>0</v>
      </c>
      <c r="AF107" s="627"/>
      <c r="AG107" s="621">
        <f t="shared" si="21"/>
        <v>0</v>
      </c>
    </row>
    <row r="108" spans="1:33" s="622" customFormat="1" x14ac:dyDescent="0.3">
      <c r="A108" s="626" t="s">
        <v>33</v>
      </c>
      <c r="B108" s="627">
        <f>B15+B21+B28+B35+B42+B49+B64+B71+B77+B83+B91+B97+B103+B55</f>
        <v>114050.60554999999</v>
      </c>
      <c r="C108" s="627">
        <f t="shared" ref="C108:AE108" si="30">C15+C21+C28+C35+C42+C49+C64+C71+C77+C83+C91+C97+C103+C55</f>
        <v>47050.471550000002</v>
      </c>
      <c r="D108" s="627">
        <f t="shared" si="30"/>
        <v>42442.608</v>
      </c>
      <c r="E108" s="627">
        <f t="shared" si="30"/>
        <v>42442.608</v>
      </c>
      <c r="F108" s="627">
        <f t="shared" si="25"/>
        <v>37.21383836177273</v>
      </c>
      <c r="G108" s="627">
        <f t="shared" si="26"/>
        <v>90.206551819351532</v>
      </c>
      <c r="H108" s="627">
        <f t="shared" si="30"/>
        <v>10786.851549999999</v>
      </c>
      <c r="I108" s="627">
        <f t="shared" si="30"/>
        <v>7953.1170000000002</v>
      </c>
      <c r="J108" s="627">
        <f t="shared" si="30"/>
        <v>10544.603999999999</v>
      </c>
      <c r="K108" s="627">
        <f t="shared" si="30"/>
        <v>9642.6650000000009</v>
      </c>
      <c r="L108" s="627">
        <f t="shared" si="30"/>
        <v>7956.8209999999999</v>
      </c>
      <c r="M108" s="627">
        <f t="shared" si="30"/>
        <v>7924.4160000000002</v>
      </c>
      <c r="N108" s="627">
        <f t="shared" si="30"/>
        <v>9798.5689999999995</v>
      </c>
      <c r="O108" s="627">
        <f t="shared" si="30"/>
        <v>8307.130000000001</v>
      </c>
      <c r="P108" s="627">
        <f t="shared" si="30"/>
        <v>7963.6260000000002</v>
      </c>
      <c r="Q108" s="627">
        <f t="shared" si="30"/>
        <v>8615.2799999999988</v>
      </c>
      <c r="R108" s="627">
        <f t="shared" si="30"/>
        <v>8315.7330000000002</v>
      </c>
      <c r="S108" s="627">
        <f t="shared" si="30"/>
        <v>0</v>
      </c>
      <c r="T108" s="627">
        <f t="shared" si="30"/>
        <v>9936.726999999999</v>
      </c>
      <c r="U108" s="627">
        <f t="shared" si="30"/>
        <v>0</v>
      </c>
      <c r="V108" s="627">
        <f t="shared" si="30"/>
        <v>8558.3960000000006</v>
      </c>
      <c r="W108" s="627">
        <f t="shared" si="30"/>
        <v>0</v>
      </c>
      <c r="X108" s="627">
        <f t="shared" si="30"/>
        <v>7586.7909999999993</v>
      </c>
      <c r="Y108" s="627">
        <f t="shared" si="30"/>
        <v>0</v>
      </c>
      <c r="Z108" s="627">
        <f t="shared" si="30"/>
        <v>9027.01</v>
      </c>
      <c r="AA108" s="627">
        <f t="shared" si="30"/>
        <v>0</v>
      </c>
      <c r="AB108" s="627">
        <f t="shared" si="30"/>
        <v>8272.3070000000007</v>
      </c>
      <c r="AC108" s="627">
        <f t="shared" si="30"/>
        <v>0</v>
      </c>
      <c r="AD108" s="627">
        <f t="shared" si="30"/>
        <v>15303.17</v>
      </c>
      <c r="AE108" s="627">
        <f t="shared" si="30"/>
        <v>0</v>
      </c>
      <c r="AF108" s="627"/>
      <c r="AG108" s="621">
        <f t="shared" si="21"/>
        <v>0</v>
      </c>
    </row>
    <row r="109" spans="1:33" s="622" customFormat="1" ht="37.5" x14ac:dyDescent="0.3">
      <c r="A109" s="633" t="s">
        <v>174</v>
      </c>
      <c r="B109" s="627">
        <f>B29+B36+B43+B56+B65</f>
        <v>5964.0120000000006</v>
      </c>
      <c r="C109" s="627">
        <f t="shared" ref="C109:AE109" si="31">C29+C36+C43+C56+C65</f>
        <v>2350.183</v>
      </c>
      <c r="D109" s="627">
        <f t="shared" si="31"/>
        <v>2350.0240000000003</v>
      </c>
      <c r="E109" s="627">
        <f t="shared" si="31"/>
        <v>2350.0240000000003</v>
      </c>
      <c r="F109" s="627">
        <f t="shared" si="25"/>
        <v>39.403408309708297</v>
      </c>
      <c r="G109" s="627">
        <f t="shared" si="26"/>
        <v>99.993234569393124</v>
      </c>
      <c r="H109" s="627">
        <f t="shared" si="31"/>
        <v>421</v>
      </c>
      <c r="I109" s="627">
        <f t="shared" si="31"/>
        <v>420.84</v>
      </c>
      <c r="J109" s="627">
        <f t="shared" si="31"/>
        <v>666.45</v>
      </c>
      <c r="K109" s="627">
        <f t="shared" si="31"/>
        <v>612.45000000000005</v>
      </c>
      <c r="L109" s="627">
        <f t="shared" si="31"/>
        <v>726.54700000000003</v>
      </c>
      <c r="M109" s="627">
        <f t="shared" si="31"/>
        <v>780.55</v>
      </c>
      <c r="N109" s="627">
        <f t="shared" si="31"/>
        <v>178.946</v>
      </c>
      <c r="O109" s="627">
        <f t="shared" si="31"/>
        <v>178.94400000000002</v>
      </c>
      <c r="P109" s="627">
        <f t="shared" si="31"/>
        <v>357.24</v>
      </c>
      <c r="Q109" s="627">
        <f t="shared" si="31"/>
        <v>357.24</v>
      </c>
      <c r="R109" s="627">
        <f t="shared" si="31"/>
        <v>262.04300000000001</v>
      </c>
      <c r="S109" s="627">
        <f t="shared" si="31"/>
        <v>0</v>
      </c>
      <c r="T109" s="627">
        <f t="shared" si="31"/>
        <v>0</v>
      </c>
      <c r="U109" s="627">
        <f t="shared" si="31"/>
        <v>0</v>
      </c>
      <c r="V109" s="627">
        <f t="shared" si="31"/>
        <v>0</v>
      </c>
      <c r="W109" s="627">
        <f t="shared" si="31"/>
        <v>0</v>
      </c>
      <c r="X109" s="627">
        <f t="shared" si="31"/>
        <v>0</v>
      </c>
      <c r="Y109" s="627">
        <f t="shared" si="31"/>
        <v>0</v>
      </c>
      <c r="Z109" s="627">
        <f t="shared" si="31"/>
        <v>0</v>
      </c>
      <c r="AA109" s="627">
        <f t="shared" si="31"/>
        <v>0</v>
      </c>
      <c r="AB109" s="627">
        <f t="shared" si="31"/>
        <v>559.01</v>
      </c>
      <c r="AC109" s="627">
        <f t="shared" si="31"/>
        <v>0</v>
      </c>
      <c r="AD109" s="627">
        <f t="shared" si="31"/>
        <v>2792.7759999999998</v>
      </c>
      <c r="AE109" s="627">
        <f t="shared" si="31"/>
        <v>0</v>
      </c>
      <c r="AF109" s="627"/>
      <c r="AG109" s="621"/>
    </row>
    <row r="110" spans="1:33" s="622" customFormat="1" x14ac:dyDescent="0.3">
      <c r="A110" s="639" t="s">
        <v>170</v>
      </c>
      <c r="B110" s="627">
        <f>B16+B22+B30+B37+B44+B50+B66+B72+B78+B84+B92+B98+B104+B57</f>
        <v>1715</v>
      </c>
      <c r="C110" s="627">
        <f t="shared" ref="C110:AE110" si="32">C16+C22+C30+C37+C44+C50+C66+C72+C78+C84+C92+C98+C104+C57</f>
        <v>765</v>
      </c>
      <c r="D110" s="627">
        <f t="shared" si="32"/>
        <v>0</v>
      </c>
      <c r="E110" s="627">
        <f t="shared" si="32"/>
        <v>0</v>
      </c>
      <c r="F110" s="627">
        <f t="shared" si="25"/>
        <v>0</v>
      </c>
      <c r="G110" s="627">
        <f t="shared" si="26"/>
        <v>0</v>
      </c>
      <c r="H110" s="627">
        <f t="shared" si="32"/>
        <v>0</v>
      </c>
      <c r="I110" s="627">
        <f t="shared" si="32"/>
        <v>0</v>
      </c>
      <c r="J110" s="627">
        <f t="shared" si="32"/>
        <v>0</v>
      </c>
      <c r="K110" s="627">
        <f t="shared" si="32"/>
        <v>0</v>
      </c>
      <c r="L110" s="627">
        <f t="shared" si="32"/>
        <v>765</v>
      </c>
      <c r="M110" s="627">
        <f t="shared" si="32"/>
        <v>0</v>
      </c>
      <c r="N110" s="627">
        <f t="shared" si="32"/>
        <v>0</v>
      </c>
      <c r="O110" s="627">
        <f t="shared" si="32"/>
        <v>0</v>
      </c>
      <c r="P110" s="627">
        <f t="shared" si="32"/>
        <v>0</v>
      </c>
      <c r="Q110" s="627">
        <f t="shared" si="32"/>
        <v>0</v>
      </c>
      <c r="R110" s="627">
        <f t="shared" si="32"/>
        <v>0</v>
      </c>
      <c r="S110" s="627">
        <f t="shared" si="32"/>
        <v>0</v>
      </c>
      <c r="T110" s="627">
        <f t="shared" si="32"/>
        <v>0</v>
      </c>
      <c r="U110" s="627">
        <f t="shared" si="32"/>
        <v>0</v>
      </c>
      <c r="V110" s="627">
        <f t="shared" si="32"/>
        <v>0</v>
      </c>
      <c r="W110" s="627">
        <f t="shared" si="32"/>
        <v>0</v>
      </c>
      <c r="X110" s="627">
        <f t="shared" si="32"/>
        <v>0</v>
      </c>
      <c r="Y110" s="627">
        <f t="shared" si="32"/>
        <v>0</v>
      </c>
      <c r="Z110" s="627">
        <f t="shared" si="32"/>
        <v>0</v>
      </c>
      <c r="AA110" s="627">
        <f t="shared" si="32"/>
        <v>0</v>
      </c>
      <c r="AB110" s="627">
        <f t="shared" si="32"/>
        <v>0</v>
      </c>
      <c r="AC110" s="627">
        <f t="shared" si="32"/>
        <v>0</v>
      </c>
      <c r="AD110" s="627">
        <f t="shared" si="32"/>
        <v>950</v>
      </c>
      <c r="AE110" s="627">
        <f t="shared" si="32"/>
        <v>0</v>
      </c>
      <c r="AF110" s="627"/>
      <c r="AG110" s="621">
        <f t="shared" si="21"/>
        <v>0</v>
      </c>
    </row>
    <row r="111" spans="1:33" ht="37.5" x14ac:dyDescent="0.3">
      <c r="A111" s="640" t="s">
        <v>218</v>
      </c>
      <c r="B111" s="641">
        <f>B112+B113+B114+B115</f>
        <v>0</v>
      </c>
      <c r="C111" s="641">
        <f>C112+C113+C114</f>
        <v>0</v>
      </c>
      <c r="D111" s="641">
        <f>D112+D113+D114</f>
        <v>0</v>
      </c>
      <c r="E111" s="641">
        <f>E112+E113+E114</f>
        <v>0</v>
      </c>
      <c r="F111" s="641">
        <f t="shared" si="25"/>
        <v>0</v>
      </c>
      <c r="G111" s="641">
        <f t="shared" si="26"/>
        <v>0</v>
      </c>
      <c r="H111" s="641">
        <f t="shared" ref="H111:AE111" si="33">H112+H113+H114+H115</f>
        <v>0</v>
      </c>
      <c r="I111" s="641">
        <f t="shared" si="33"/>
        <v>0</v>
      </c>
      <c r="J111" s="641">
        <f t="shared" si="33"/>
        <v>0</v>
      </c>
      <c r="K111" s="641">
        <f t="shared" si="33"/>
        <v>0</v>
      </c>
      <c r="L111" s="641">
        <f t="shared" si="33"/>
        <v>0</v>
      </c>
      <c r="M111" s="641">
        <f t="shared" si="33"/>
        <v>0</v>
      </c>
      <c r="N111" s="641">
        <f t="shared" si="33"/>
        <v>0</v>
      </c>
      <c r="O111" s="641">
        <f t="shared" si="33"/>
        <v>0</v>
      </c>
      <c r="P111" s="641">
        <f t="shared" si="33"/>
        <v>0</v>
      </c>
      <c r="Q111" s="641">
        <f t="shared" si="33"/>
        <v>0</v>
      </c>
      <c r="R111" s="641">
        <f t="shared" si="33"/>
        <v>0</v>
      </c>
      <c r="S111" s="641">
        <f t="shared" si="33"/>
        <v>0</v>
      </c>
      <c r="T111" s="641">
        <f t="shared" si="33"/>
        <v>0</v>
      </c>
      <c r="U111" s="641">
        <f t="shared" si="33"/>
        <v>0</v>
      </c>
      <c r="V111" s="641">
        <f t="shared" si="33"/>
        <v>0</v>
      </c>
      <c r="W111" s="641">
        <f t="shared" si="33"/>
        <v>0</v>
      </c>
      <c r="X111" s="641">
        <f t="shared" si="33"/>
        <v>0</v>
      </c>
      <c r="Y111" s="641">
        <f t="shared" si="33"/>
        <v>0</v>
      </c>
      <c r="Z111" s="641">
        <f t="shared" si="33"/>
        <v>0</v>
      </c>
      <c r="AA111" s="641">
        <f t="shared" si="33"/>
        <v>0</v>
      </c>
      <c r="AB111" s="641">
        <f t="shared" si="33"/>
        <v>0</v>
      </c>
      <c r="AC111" s="641">
        <f t="shared" si="33"/>
        <v>0</v>
      </c>
      <c r="AD111" s="641">
        <f t="shared" si="33"/>
        <v>0</v>
      </c>
      <c r="AE111" s="641">
        <f t="shared" si="33"/>
        <v>0</v>
      </c>
      <c r="AF111" s="641"/>
      <c r="AG111" s="102">
        <f t="shared" si="21"/>
        <v>0</v>
      </c>
    </row>
    <row r="112" spans="1:33" s="622" customFormat="1" x14ac:dyDescent="0.3">
      <c r="A112" s="626" t="s">
        <v>169</v>
      </c>
      <c r="B112" s="627">
        <f>B13+B19</f>
        <v>0</v>
      </c>
      <c r="C112" s="627">
        <f>C13+C19</f>
        <v>0</v>
      </c>
      <c r="D112" s="627">
        <f>D13+D19</f>
        <v>0</v>
      </c>
      <c r="E112" s="627">
        <f>E13+E19</f>
        <v>0</v>
      </c>
      <c r="F112" s="627">
        <f t="shared" si="25"/>
        <v>0</v>
      </c>
      <c r="G112" s="627">
        <f t="shared" si="26"/>
        <v>0</v>
      </c>
      <c r="H112" s="627">
        <f t="shared" ref="H112:AE112" si="34">H13+H19</f>
        <v>0</v>
      </c>
      <c r="I112" s="627">
        <f t="shared" si="34"/>
        <v>0</v>
      </c>
      <c r="J112" s="627">
        <f t="shared" si="34"/>
        <v>0</v>
      </c>
      <c r="K112" s="627">
        <f t="shared" si="34"/>
        <v>0</v>
      </c>
      <c r="L112" s="627">
        <f t="shared" si="34"/>
        <v>0</v>
      </c>
      <c r="M112" s="627">
        <f t="shared" si="34"/>
        <v>0</v>
      </c>
      <c r="N112" s="627">
        <f t="shared" si="34"/>
        <v>0</v>
      </c>
      <c r="O112" s="627">
        <f t="shared" si="34"/>
        <v>0</v>
      </c>
      <c r="P112" s="627">
        <f t="shared" si="34"/>
        <v>0</v>
      </c>
      <c r="Q112" s="627">
        <f t="shared" si="34"/>
        <v>0</v>
      </c>
      <c r="R112" s="627">
        <f t="shared" si="34"/>
        <v>0</v>
      </c>
      <c r="S112" s="627">
        <f t="shared" si="34"/>
        <v>0</v>
      </c>
      <c r="T112" s="627">
        <f t="shared" si="34"/>
        <v>0</v>
      </c>
      <c r="U112" s="627">
        <f t="shared" si="34"/>
        <v>0</v>
      </c>
      <c r="V112" s="627">
        <f t="shared" si="34"/>
        <v>0</v>
      </c>
      <c r="W112" s="627">
        <f t="shared" si="34"/>
        <v>0</v>
      </c>
      <c r="X112" s="627">
        <f t="shared" si="34"/>
        <v>0</v>
      </c>
      <c r="Y112" s="627">
        <f t="shared" si="34"/>
        <v>0</v>
      </c>
      <c r="Z112" s="627">
        <f t="shared" si="34"/>
        <v>0</v>
      </c>
      <c r="AA112" s="627">
        <f t="shared" si="34"/>
        <v>0</v>
      </c>
      <c r="AB112" s="627">
        <f t="shared" si="34"/>
        <v>0</v>
      </c>
      <c r="AC112" s="627">
        <f t="shared" si="34"/>
        <v>0</v>
      </c>
      <c r="AD112" s="627">
        <f t="shared" si="34"/>
        <v>0</v>
      </c>
      <c r="AE112" s="627">
        <f t="shared" si="34"/>
        <v>0</v>
      </c>
      <c r="AF112" s="627"/>
      <c r="AG112" s="621">
        <f t="shared" si="21"/>
        <v>0</v>
      </c>
    </row>
    <row r="113" spans="1:33" s="622" customFormat="1" x14ac:dyDescent="0.3">
      <c r="A113" s="626" t="s">
        <v>32</v>
      </c>
      <c r="B113" s="627">
        <f>B14+B20</f>
        <v>0</v>
      </c>
      <c r="C113" s="627">
        <f t="shared" ref="C113:E115" si="35">C14+C20</f>
        <v>0</v>
      </c>
      <c r="D113" s="627">
        <f t="shared" si="35"/>
        <v>0</v>
      </c>
      <c r="E113" s="627">
        <f t="shared" si="35"/>
        <v>0</v>
      </c>
      <c r="F113" s="627">
        <f t="shared" si="25"/>
        <v>0</v>
      </c>
      <c r="G113" s="627">
        <f t="shared" si="26"/>
        <v>0</v>
      </c>
      <c r="H113" s="627">
        <f t="shared" ref="H113:AE113" si="36">H14+H20</f>
        <v>0</v>
      </c>
      <c r="I113" s="627">
        <f t="shared" si="36"/>
        <v>0</v>
      </c>
      <c r="J113" s="627">
        <f t="shared" si="36"/>
        <v>0</v>
      </c>
      <c r="K113" s="627">
        <f t="shared" si="36"/>
        <v>0</v>
      </c>
      <c r="L113" s="627">
        <f t="shared" si="36"/>
        <v>0</v>
      </c>
      <c r="M113" s="627">
        <f t="shared" si="36"/>
        <v>0</v>
      </c>
      <c r="N113" s="627">
        <f t="shared" si="36"/>
        <v>0</v>
      </c>
      <c r="O113" s="627">
        <f t="shared" si="36"/>
        <v>0</v>
      </c>
      <c r="P113" s="627">
        <f t="shared" si="36"/>
        <v>0</v>
      </c>
      <c r="Q113" s="627">
        <f t="shared" si="36"/>
        <v>0</v>
      </c>
      <c r="R113" s="627">
        <f t="shared" si="36"/>
        <v>0</v>
      </c>
      <c r="S113" s="627">
        <f t="shared" si="36"/>
        <v>0</v>
      </c>
      <c r="T113" s="627">
        <f t="shared" si="36"/>
        <v>0</v>
      </c>
      <c r="U113" s="627">
        <f t="shared" si="36"/>
        <v>0</v>
      </c>
      <c r="V113" s="627">
        <f t="shared" si="36"/>
        <v>0</v>
      </c>
      <c r="W113" s="627">
        <f t="shared" si="36"/>
        <v>0</v>
      </c>
      <c r="X113" s="627">
        <f t="shared" si="36"/>
        <v>0</v>
      </c>
      <c r="Y113" s="627">
        <f t="shared" si="36"/>
        <v>0</v>
      </c>
      <c r="Z113" s="627">
        <f t="shared" si="36"/>
        <v>0</v>
      </c>
      <c r="AA113" s="627">
        <f t="shared" si="36"/>
        <v>0</v>
      </c>
      <c r="AB113" s="627">
        <f t="shared" si="36"/>
        <v>0</v>
      </c>
      <c r="AC113" s="627">
        <f t="shared" si="36"/>
        <v>0</v>
      </c>
      <c r="AD113" s="627">
        <f t="shared" si="36"/>
        <v>0</v>
      </c>
      <c r="AE113" s="627">
        <f t="shared" si="36"/>
        <v>0</v>
      </c>
      <c r="AF113" s="627"/>
      <c r="AG113" s="621">
        <f t="shared" si="21"/>
        <v>0</v>
      </c>
    </row>
    <row r="114" spans="1:33" s="622" customFormat="1" x14ac:dyDescent="0.3">
      <c r="A114" s="626" t="s">
        <v>33</v>
      </c>
      <c r="B114" s="627">
        <f>B15+B21</f>
        <v>0</v>
      </c>
      <c r="C114" s="627">
        <f t="shared" si="35"/>
        <v>0</v>
      </c>
      <c r="D114" s="627">
        <f t="shared" si="35"/>
        <v>0</v>
      </c>
      <c r="E114" s="627">
        <f t="shared" si="35"/>
        <v>0</v>
      </c>
      <c r="F114" s="627">
        <f t="shared" si="25"/>
        <v>0</v>
      </c>
      <c r="G114" s="627">
        <f t="shared" si="26"/>
        <v>0</v>
      </c>
      <c r="H114" s="627">
        <f t="shared" ref="H114:AE114" si="37">H15+H21</f>
        <v>0</v>
      </c>
      <c r="I114" s="627">
        <f t="shared" si="37"/>
        <v>0</v>
      </c>
      <c r="J114" s="627">
        <f t="shared" si="37"/>
        <v>0</v>
      </c>
      <c r="K114" s="627">
        <f t="shared" si="37"/>
        <v>0</v>
      </c>
      <c r="L114" s="627">
        <f t="shared" si="37"/>
        <v>0</v>
      </c>
      <c r="M114" s="627">
        <f t="shared" si="37"/>
        <v>0</v>
      </c>
      <c r="N114" s="627">
        <f t="shared" si="37"/>
        <v>0</v>
      </c>
      <c r="O114" s="627">
        <f t="shared" si="37"/>
        <v>0</v>
      </c>
      <c r="P114" s="627">
        <f t="shared" si="37"/>
        <v>0</v>
      </c>
      <c r="Q114" s="627">
        <f t="shared" si="37"/>
        <v>0</v>
      </c>
      <c r="R114" s="627">
        <f t="shared" si="37"/>
        <v>0</v>
      </c>
      <c r="S114" s="627">
        <f t="shared" si="37"/>
        <v>0</v>
      </c>
      <c r="T114" s="627">
        <f t="shared" si="37"/>
        <v>0</v>
      </c>
      <c r="U114" s="627">
        <f t="shared" si="37"/>
        <v>0</v>
      </c>
      <c r="V114" s="627">
        <f t="shared" si="37"/>
        <v>0</v>
      </c>
      <c r="W114" s="627">
        <f t="shared" si="37"/>
        <v>0</v>
      </c>
      <c r="X114" s="627">
        <f t="shared" si="37"/>
        <v>0</v>
      </c>
      <c r="Y114" s="627">
        <f t="shared" si="37"/>
        <v>0</v>
      </c>
      <c r="Z114" s="627">
        <f t="shared" si="37"/>
        <v>0</v>
      </c>
      <c r="AA114" s="627">
        <f t="shared" si="37"/>
        <v>0</v>
      </c>
      <c r="AB114" s="627">
        <f t="shared" si="37"/>
        <v>0</v>
      </c>
      <c r="AC114" s="627">
        <f t="shared" si="37"/>
        <v>0</v>
      </c>
      <c r="AD114" s="627">
        <f t="shared" si="37"/>
        <v>0</v>
      </c>
      <c r="AE114" s="627">
        <f t="shared" si="37"/>
        <v>0</v>
      </c>
      <c r="AF114" s="627"/>
      <c r="AG114" s="621">
        <f t="shared" si="21"/>
        <v>0</v>
      </c>
    </row>
    <row r="115" spans="1:33" s="622" customFormat="1" x14ac:dyDescent="0.3">
      <c r="A115" s="639" t="s">
        <v>170</v>
      </c>
      <c r="B115" s="627">
        <f>B16+B22</f>
        <v>0</v>
      </c>
      <c r="C115" s="627">
        <f t="shared" si="35"/>
        <v>0</v>
      </c>
      <c r="D115" s="627">
        <f t="shared" si="35"/>
        <v>0</v>
      </c>
      <c r="E115" s="627">
        <f t="shared" si="35"/>
        <v>0</v>
      </c>
      <c r="F115" s="627">
        <f t="shared" si="25"/>
        <v>0</v>
      </c>
      <c r="G115" s="627">
        <f t="shared" si="26"/>
        <v>0</v>
      </c>
      <c r="H115" s="627">
        <f t="shared" ref="H115:AE115" si="38">H16+H22</f>
        <v>0</v>
      </c>
      <c r="I115" s="627">
        <f t="shared" si="38"/>
        <v>0</v>
      </c>
      <c r="J115" s="627">
        <f t="shared" si="38"/>
        <v>0</v>
      </c>
      <c r="K115" s="627">
        <f t="shared" si="38"/>
        <v>0</v>
      </c>
      <c r="L115" s="627">
        <f t="shared" si="38"/>
        <v>0</v>
      </c>
      <c r="M115" s="627">
        <f t="shared" si="38"/>
        <v>0</v>
      </c>
      <c r="N115" s="627">
        <f t="shared" si="38"/>
        <v>0</v>
      </c>
      <c r="O115" s="627">
        <f t="shared" si="38"/>
        <v>0</v>
      </c>
      <c r="P115" s="627">
        <f t="shared" si="38"/>
        <v>0</v>
      </c>
      <c r="Q115" s="627">
        <f t="shared" si="38"/>
        <v>0</v>
      </c>
      <c r="R115" s="627">
        <f t="shared" si="38"/>
        <v>0</v>
      </c>
      <c r="S115" s="627">
        <f t="shared" si="38"/>
        <v>0</v>
      </c>
      <c r="T115" s="627">
        <f t="shared" si="38"/>
        <v>0</v>
      </c>
      <c r="U115" s="627">
        <f t="shared" si="38"/>
        <v>0</v>
      </c>
      <c r="V115" s="627">
        <f t="shared" si="38"/>
        <v>0</v>
      </c>
      <c r="W115" s="627">
        <f t="shared" si="38"/>
        <v>0</v>
      </c>
      <c r="X115" s="627">
        <f t="shared" si="38"/>
        <v>0</v>
      </c>
      <c r="Y115" s="627">
        <f t="shared" si="38"/>
        <v>0</v>
      </c>
      <c r="Z115" s="627">
        <f t="shared" si="38"/>
        <v>0</v>
      </c>
      <c r="AA115" s="627">
        <f t="shared" si="38"/>
        <v>0</v>
      </c>
      <c r="AB115" s="627">
        <f t="shared" si="38"/>
        <v>0</v>
      </c>
      <c r="AC115" s="627">
        <f t="shared" si="38"/>
        <v>0</v>
      </c>
      <c r="AD115" s="627">
        <f t="shared" si="38"/>
        <v>0</v>
      </c>
      <c r="AE115" s="627">
        <f t="shared" si="38"/>
        <v>0</v>
      </c>
      <c r="AF115" s="627"/>
      <c r="AG115" s="621">
        <f t="shared" si="21"/>
        <v>0</v>
      </c>
    </row>
    <row r="116" spans="1:33" ht="37.5" x14ac:dyDescent="0.3">
      <c r="A116" s="640" t="s">
        <v>219</v>
      </c>
      <c r="B116" s="641">
        <f>B117+B118+B119+B121</f>
        <v>182561.64354999998</v>
      </c>
      <c r="C116" s="641">
        <f>C117+C118+C119+C121</f>
        <v>73688.131550000006</v>
      </c>
      <c r="D116" s="641">
        <f>D117+D118+D119+D121</f>
        <v>67104.525999999998</v>
      </c>
      <c r="E116" s="641">
        <f>E117+E118+E119+E121</f>
        <v>67104.525999999998</v>
      </c>
      <c r="F116" s="641">
        <f t="shared" si="25"/>
        <v>36.757187706639712</v>
      </c>
      <c r="G116" s="641">
        <f t="shared" si="26"/>
        <v>91.065582188723567</v>
      </c>
      <c r="H116" s="641">
        <f>H117+H118+H119+H121</f>
        <v>15042.351549999999</v>
      </c>
      <c r="I116" s="641">
        <f t="shared" ref="I116:AE116" si="39">I117+I118+I119+I121</f>
        <v>7953.1170000000002</v>
      </c>
      <c r="J116" s="641">
        <f t="shared" si="39"/>
        <v>17283.153999999999</v>
      </c>
      <c r="K116" s="641">
        <f t="shared" si="39"/>
        <v>20090.375</v>
      </c>
      <c r="L116" s="641">
        <f t="shared" si="39"/>
        <v>17013.317999999999</v>
      </c>
      <c r="M116" s="641">
        <f t="shared" si="39"/>
        <v>12552.253000000001</v>
      </c>
      <c r="N116" s="641">
        <f t="shared" si="39"/>
        <v>12751.101999999999</v>
      </c>
      <c r="O116" s="641">
        <f t="shared" si="39"/>
        <v>14941.421</v>
      </c>
      <c r="P116" s="641">
        <f t="shared" si="39"/>
        <v>11598.206</v>
      </c>
      <c r="Q116" s="641">
        <f t="shared" si="39"/>
        <v>11567.359999999999</v>
      </c>
      <c r="R116" s="641">
        <f t="shared" si="39"/>
        <v>10964.869000000001</v>
      </c>
      <c r="S116" s="641">
        <f t="shared" si="39"/>
        <v>0</v>
      </c>
      <c r="T116" s="641">
        <f t="shared" si="39"/>
        <v>9936.726999999999</v>
      </c>
      <c r="U116" s="641">
        <f t="shared" si="39"/>
        <v>0</v>
      </c>
      <c r="V116" s="641">
        <f t="shared" si="39"/>
        <v>8558.3960000000006</v>
      </c>
      <c r="W116" s="641">
        <f t="shared" si="39"/>
        <v>0</v>
      </c>
      <c r="X116" s="641">
        <f t="shared" si="39"/>
        <v>7586.7909999999993</v>
      </c>
      <c r="Y116" s="641">
        <f t="shared" si="39"/>
        <v>0</v>
      </c>
      <c r="Z116" s="641">
        <f t="shared" si="39"/>
        <v>9027.01</v>
      </c>
      <c r="AA116" s="641">
        <f t="shared" si="39"/>
        <v>0</v>
      </c>
      <c r="AB116" s="641">
        <f t="shared" si="39"/>
        <v>13924.507000000001</v>
      </c>
      <c r="AC116" s="641">
        <f t="shared" si="39"/>
        <v>0</v>
      </c>
      <c r="AD116" s="641">
        <f t="shared" si="39"/>
        <v>48875.212</v>
      </c>
      <c r="AE116" s="641">
        <f t="shared" si="39"/>
        <v>0</v>
      </c>
      <c r="AF116" s="641"/>
      <c r="AG116" s="102">
        <f t="shared" si="21"/>
        <v>0</v>
      </c>
    </row>
    <row r="117" spans="1:33" s="622" customFormat="1" x14ac:dyDescent="0.3">
      <c r="A117" s="626" t="s">
        <v>169</v>
      </c>
      <c r="B117" s="627">
        <f>H117+J117+L117+N117+P117+R117+T117+V117+X117+Z117+AB117+AD117</f>
        <v>4435.598</v>
      </c>
      <c r="C117" s="627">
        <f t="shared" ref="C117:E119" si="40">C26+C33+C40+C47+C62+C69+C75+C81+C89+C95+C101+C53</f>
        <v>348.37800000000004</v>
      </c>
      <c r="D117" s="627">
        <f t="shared" si="40"/>
        <v>348.38099999999997</v>
      </c>
      <c r="E117" s="627">
        <f t="shared" si="40"/>
        <v>348.38099999999997</v>
      </c>
      <c r="F117" s="627">
        <f t="shared" si="25"/>
        <v>7.8542059041418995</v>
      </c>
      <c r="G117" s="627">
        <f t="shared" si="26"/>
        <v>100.00086113359626</v>
      </c>
      <c r="H117" s="627">
        <f>H26+H33+H40+H47+H62+H69+H75+H81+H89+H95+H101+H53</f>
        <v>0</v>
      </c>
      <c r="I117" s="627">
        <f t="shared" ref="I117:AE117" si="41">I26+I33+I40+I47+I62+I69+I75+I81+I89+I95+I101+I53</f>
        <v>0</v>
      </c>
      <c r="J117" s="627">
        <f t="shared" si="41"/>
        <v>0</v>
      </c>
      <c r="K117" s="627">
        <f t="shared" si="41"/>
        <v>0</v>
      </c>
      <c r="L117" s="627">
        <f t="shared" si="41"/>
        <v>158.38200000000001</v>
      </c>
      <c r="M117" s="627">
        <f t="shared" si="41"/>
        <v>158.38200000000001</v>
      </c>
      <c r="N117" s="627">
        <f t="shared" si="41"/>
        <v>189.99600000000001</v>
      </c>
      <c r="O117" s="627">
        <f t="shared" si="41"/>
        <v>189.999</v>
      </c>
      <c r="P117" s="627">
        <f t="shared" si="41"/>
        <v>0</v>
      </c>
      <c r="Q117" s="627">
        <f t="shared" si="41"/>
        <v>0</v>
      </c>
      <c r="R117" s="627">
        <f t="shared" si="41"/>
        <v>0</v>
      </c>
      <c r="S117" s="627">
        <f t="shared" si="41"/>
        <v>0</v>
      </c>
      <c r="T117" s="627">
        <f t="shared" si="41"/>
        <v>0</v>
      </c>
      <c r="U117" s="627">
        <f t="shared" si="41"/>
        <v>0</v>
      </c>
      <c r="V117" s="627">
        <f t="shared" si="41"/>
        <v>0</v>
      </c>
      <c r="W117" s="627">
        <f t="shared" si="41"/>
        <v>0</v>
      </c>
      <c r="X117" s="627">
        <f t="shared" si="41"/>
        <v>0</v>
      </c>
      <c r="Y117" s="627">
        <f t="shared" si="41"/>
        <v>0</v>
      </c>
      <c r="Z117" s="627">
        <f t="shared" si="41"/>
        <v>0</v>
      </c>
      <c r="AA117" s="627">
        <f t="shared" si="41"/>
        <v>0</v>
      </c>
      <c r="AB117" s="627">
        <f t="shared" si="41"/>
        <v>0</v>
      </c>
      <c r="AC117" s="627">
        <f t="shared" si="41"/>
        <v>0</v>
      </c>
      <c r="AD117" s="627">
        <f t="shared" si="41"/>
        <v>4087.22</v>
      </c>
      <c r="AE117" s="627">
        <f t="shared" si="41"/>
        <v>0</v>
      </c>
      <c r="AF117" s="627"/>
      <c r="AG117" s="621">
        <f t="shared" si="21"/>
        <v>0</v>
      </c>
    </row>
    <row r="118" spans="1:33" s="622" customFormat="1" x14ac:dyDescent="0.3">
      <c r="A118" s="626" t="s">
        <v>32</v>
      </c>
      <c r="B118" s="627">
        <f>H118+J118+L118+N118+P118+R118+T118+V118+X118+Z118+AB118+AD118</f>
        <v>62360.439999999995</v>
      </c>
      <c r="C118" s="627">
        <f t="shared" si="40"/>
        <v>25524.281999999999</v>
      </c>
      <c r="D118" s="627">
        <f t="shared" si="40"/>
        <v>24313.537</v>
      </c>
      <c r="E118" s="627">
        <f t="shared" si="40"/>
        <v>24313.537</v>
      </c>
      <c r="F118" s="627">
        <f t="shared" si="25"/>
        <v>38.988719450985279</v>
      </c>
      <c r="G118" s="627">
        <f t="shared" si="26"/>
        <v>95.256497322823819</v>
      </c>
      <c r="H118" s="627">
        <f>H27+H34+H41+H48+H63+H70+H76+H82+H90+H96+H102+H54</f>
        <v>4255.5</v>
      </c>
      <c r="I118" s="627">
        <f t="shared" ref="I118:AE118" si="42">I27+I34+I41+I48+I63+I70+I76+I82+I90+I96+I102+I54</f>
        <v>0</v>
      </c>
      <c r="J118" s="627">
        <f t="shared" si="42"/>
        <v>6738.55</v>
      </c>
      <c r="K118" s="627">
        <f t="shared" si="42"/>
        <v>10447.709999999999</v>
      </c>
      <c r="L118" s="627">
        <f t="shared" si="42"/>
        <v>8133.1149999999998</v>
      </c>
      <c r="M118" s="627">
        <f t="shared" si="42"/>
        <v>4469.4549999999999</v>
      </c>
      <c r="N118" s="627">
        <f t="shared" si="42"/>
        <v>2762.5370000000003</v>
      </c>
      <c r="O118" s="627">
        <f t="shared" si="42"/>
        <v>6444.2919999999995</v>
      </c>
      <c r="P118" s="627">
        <f t="shared" si="42"/>
        <v>3634.58</v>
      </c>
      <c r="Q118" s="627">
        <f t="shared" si="42"/>
        <v>2952.08</v>
      </c>
      <c r="R118" s="627">
        <f t="shared" si="42"/>
        <v>2649.136</v>
      </c>
      <c r="S118" s="627">
        <f t="shared" si="42"/>
        <v>0</v>
      </c>
      <c r="T118" s="627">
        <f t="shared" si="42"/>
        <v>0</v>
      </c>
      <c r="U118" s="627">
        <f t="shared" si="42"/>
        <v>0</v>
      </c>
      <c r="V118" s="627">
        <f t="shared" si="42"/>
        <v>0</v>
      </c>
      <c r="W118" s="627">
        <f t="shared" si="42"/>
        <v>0</v>
      </c>
      <c r="X118" s="627">
        <f t="shared" si="42"/>
        <v>0</v>
      </c>
      <c r="Y118" s="627">
        <f t="shared" si="42"/>
        <v>0</v>
      </c>
      <c r="Z118" s="627">
        <f t="shared" si="42"/>
        <v>0</v>
      </c>
      <c r="AA118" s="627">
        <f t="shared" si="42"/>
        <v>0</v>
      </c>
      <c r="AB118" s="627">
        <f t="shared" si="42"/>
        <v>5652.2</v>
      </c>
      <c r="AC118" s="627">
        <f t="shared" si="42"/>
        <v>0</v>
      </c>
      <c r="AD118" s="627">
        <f t="shared" si="42"/>
        <v>28534.822</v>
      </c>
      <c r="AE118" s="627">
        <f t="shared" si="42"/>
        <v>0</v>
      </c>
      <c r="AF118" s="627"/>
      <c r="AG118" s="621">
        <f t="shared" si="21"/>
        <v>0</v>
      </c>
    </row>
    <row r="119" spans="1:33" s="622" customFormat="1" x14ac:dyDescent="0.3">
      <c r="A119" s="626" t="s">
        <v>33</v>
      </c>
      <c r="B119" s="627">
        <f>H119+J119+L119+N119+P119+R119+T119+V119+X119+Z119+AB119+AD119</f>
        <v>114050.60554999999</v>
      </c>
      <c r="C119" s="627">
        <f t="shared" si="40"/>
        <v>47050.471550000002</v>
      </c>
      <c r="D119" s="627">
        <f t="shared" si="40"/>
        <v>42442.608</v>
      </c>
      <c r="E119" s="627">
        <f t="shared" si="40"/>
        <v>42442.608</v>
      </c>
      <c r="F119" s="627">
        <f t="shared" si="25"/>
        <v>37.21383836177273</v>
      </c>
      <c r="G119" s="627">
        <f t="shared" si="26"/>
        <v>90.206551819351532</v>
      </c>
      <c r="H119" s="627">
        <f>H28+H35+H42+H49+H64+H71+H77+H83+H91+H97+H103+H55</f>
        <v>10786.851549999999</v>
      </c>
      <c r="I119" s="627">
        <f t="shared" ref="I119:AE119" si="43">I28+I35+I42+I49+I64+I71+I77+I83+I91+I97+I103+I55</f>
        <v>7953.1170000000002</v>
      </c>
      <c r="J119" s="627">
        <f t="shared" si="43"/>
        <v>10544.603999999999</v>
      </c>
      <c r="K119" s="627">
        <f t="shared" si="43"/>
        <v>9642.6650000000009</v>
      </c>
      <c r="L119" s="627">
        <f t="shared" si="43"/>
        <v>7956.8209999999999</v>
      </c>
      <c r="M119" s="627">
        <f t="shared" si="43"/>
        <v>7924.4160000000002</v>
      </c>
      <c r="N119" s="627">
        <f t="shared" si="43"/>
        <v>9798.5689999999995</v>
      </c>
      <c r="O119" s="627">
        <f t="shared" si="43"/>
        <v>8307.130000000001</v>
      </c>
      <c r="P119" s="627">
        <f t="shared" si="43"/>
        <v>7963.6260000000002</v>
      </c>
      <c r="Q119" s="627">
        <f t="shared" si="43"/>
        <v>8615.2799999999988</v>
      </c>
      <c r="R119" s="627">
        <f t="shared" si="43"/>
        <v>8315.7330000000002</v>
      </c>
      <c r="S119" s="627">
        <f t="shared" si="43"/>
        <v>0</v>
      </c>
      <c r="T119" s="627">
        <f t="shared" si="43"/>
        <v>9936.726999999999</v>
      </c>
      <c r="U119" s="627">
        <f t="shared" si="43"/>
        <v>0</v>
      </c>
      <c r="V119" s="627">
        <f t="shared" si="43"/>
        <v>8558.3960000000006</v>
      </c>
      <c r="W119" s="627">
        <f t="shared" si="43"/>
        <v>0</v>
      </c>
      <c r="X119" s="627">
        <f t="shared" si="43"/>
        <v>7586.7909999999993</v>
      </c>
      <c r="Y119" s="627">
        <f t="shared" si="43"/>
        <v>0</v>
      </c>
      <c r="Z119" s="627">
        <f t="shared" si="43"/>
        <v>9027.01</v>
      </c>
      <c r="AA119" s="627">
        <f t="shared" si="43"/>
        <v>0</v>
      </c>
      <c r="AB119" s="627">
        <f t="shared" si="43"/>
        <v>8272.3070000000007</v>
      </c>
      <c r="AC119" s="627">
        <f t="shared" si="43"/>
        <v>0</v>
      </c>
      <c r="AD119" s="627">
        <f t="shared" si="43"/>
        <v>15303.17</v>
      </c>
      <c r="AE119" s="627">
        <f t="shared" si="43"/>
        <v>0</v>
      </c>
      <c r="AF119" s="627"/>
      <c r="AG119" s="621">
        <f t="shared" si="21"/>
        <v>0</v>
      </c>
    </row>
    <row r="120" spans="1:33" s="622" customFormat="1" ht="37.5" x14ac:dyDescent="0.3">
      <c r="A120" s="633" t="s">
        <v>174</v>
      </c>
      <c r="B120" s="627">
        <f>H120+J120+L120+N120+P120+R120+T120+V120+X120+Z120+AB120+AD120</f>
        <v>5964.0119999999997</v>
      </c>
      <c r="C120" s="627">
        <f>C29+C36+C43+C56+C65</f>
        <v>2350.183</v>
      </c>
      <c r="D120" s="627">
        <f>D29+D36+D43+D56+D65</f>
        <v>2350.0240000000003</v>
      </c>
      <c r="E120" s="627">
        <f>E29+E36+E43+E56+E65</f>
        <v>2350.0240000000003</v>
      </c>
      <c r="F120" s="627">
        <f t="shared" si="25"/>
        <v>39.403408309708304</v>
      </c>
      <c r="G120" s="627">
        <f t="shared" si="26"/>
        <v>99.993234569393124</v>
      </c>
      <c r="H120" s="627">
        <f>H29+H36+H43+H56+H65</f>
        <v>421</v>
      </c>
      <c r="I120" s="627">
        <f t="shared" ref="I120:AE120" si="44">I29+I36+I43+I56+I65</f>
        <v>420.84</v>
      </c>
      <c r="J120" s="627">
        <f t="shared" si="44"/>
        <v>666.45</v>
      </c>
      <c r="K120" s="627">
        <f t="shared" si="44"/>
        <v>612.45000000000005</v>
      </c>
      <c r="L120" s="627">
        <f t="shared" si="44"/>
        <v>726.54700000000003</v>
      </c>
      <c r="M120" s="627">
        <f t="shared" si="44"/>
        <v>780.55</v>
      </c>
      <c r="N120" s="627">
        <f t="shared" si="44"/>
        <v>178.946</v>
      </c>
      <c r="O120" s="627">
        <f t="shared" si="44"/>
        <v>178.94400000000002</v>
      </c>
      <c r="P120" s="627">
        <f t="shared" si="44"/>
        <v>357.24</v>
      </c>
      <c r="Q120" s="627">
        <f t="shared" si="44"/>
        <v>357.24</v>
      </c>
      <c r="R120" s="627">
        <f t="shared" si="44"/>
        <v>262.04300000000001</v>
      </c>
      <c r="S120" s="627">
        <f t="shared" si="44"/>
        <v>0</v>
      </c>
      <c r="T120" s="627">
        <f t="shared" si="44"/>
        <v>0</v>
      </c>
      <c r="U120" s="627">
        <f t="shared" si="44"/>
        <v>0</v>
      </c>
      <c r="V120" s="627">
        <f t="shared" si="44"/>
        <v>0</v>
      </c>
      <c r="W120" s="627">
        <f t="shared" si="44"/>
        <v>0</v>
      </c>
      <c r="X120" s="627">
        <f t="shared" si="44"/>
        <v>0</v>
      </c>
      <c r="Y120" s="627">
        <f t="shared" si="44"/>
        <v>0</v>
      </c>
      <c r="Z120" s="627">
        <f t="shared" si="44"/>
        <v>0</v>
      </c>
      <c r="AA120" s="627">
        <f t="shared" si="44"/>
        <v>0</v>
      </c>
      <c r="AB120" s="627">
        <f t="shared" si="44"/>
        <v>559.01</v>
      </c>
      <c r="AC120" s="627">
        <f t="shared" si="44"/>
        <v>0</v>
      </c>
      <c r="AD120" s="627">
        <f t="shared" si="44"/>
        <v>2792.7759999999998</v>
      </c>
      <c r="AE120" s="627">
        <f t="shared" si="44"/>
        <v>0</v>
      </c>
      <c r="AF120" s="627"/>
      <c r="AG120" s="621"/>
    </row>
    <row r="121" spans="1:33" s="622" customFormat="1" x14ac:dyDescent="0.3">
      <c r="A121" s="639" t="s">
        <v>170</v>
      </c>
      <c r="B121" s="627">
        <f>H121+J121+L121+N121+P121+R121+T121+V121+X121+Z121+AB121+AD121</f>
        <v>1715</v>
      </c>
      <c r="C121" s="627">
        <f>C30+C37+C44+C50+C66+C72+C78+C84+C92+C98+C104+C57</f>
        <v>765</v>
      </c>
      <c r="D121" s="627">
        <f>D30+D37+D44+D50+D66+D72+D78+D84+D92+D98+D104+D57</f>
        <v>0</v>
      </c>
      <c r="E121" s="627">
        <f>E30+E37+E44+E50+E66+E72+E78+E84+E92+E98+E104+E57</f>
        <v>0</v>
      </c>
      <c r="F121" s="627">
        <f t="shared" si="25"/>
        <v>0</v>
      </c>
      <c r="G121" s="627">
        <f t="shared" si="26"/>
        <v>0</v>
      </c>
      <c r="H121" s="627">
        <f>H30+H37+H44+H50+H66+H72+H78+H84+H92+H98+H104+H57</f>
        <v>0</v>
      </c>
      <c r="I121" s="627">
        <f t="shared" ref="I121:AE121" si="45">I30+I37+I44+I50+I66+I72+I78+I84+I92+I98+I104+I57</f>
        <v>0</v>
      </c>
      <c r="J121" s="627">
        <f t="shared" si="45"/>
        <v>0</v>
      </c>
      <c r="K121" s="627">
        <f t="shared" si="45"/>
        <v>0</v>
      </c>
      <c r="L121" s="627">
        <f t="shared" si="45"/>
        <v>765</v>
      </c>
      <c r="M121" s="627">
        <f t="shared" si="45"/>
        <v>0</v>
      </c>
      <c r="N121" s="627">
        <f t="shared" si="45"/>
        <v>0</v>
      </c>
      <c r="O121" s="627">
        <f t="shared" si="45"/>
        <v>0</v>
      </c>
      <c r="P121" s="627">
        <f t="shared" si="45"/>
        <v>0</v>
      </c>
      <c r="Q121" s="627">
        <f t="shared" si="45"/>
        <v>0</v>
      </c>
      <c r="R121" s="627">
        <f t="shared" si="45"/>
        <v>0</v>
      </c>
      <c r="S121" s="627">
        <f t="shared" si="45"/>
        <v>0</v>
      </c>
      <c r="T121" s="627">
        <f t="shared" si="45"/>
        <v>0</v>
      </c>
      <c r="U121" s="627">
        <f t="shared" si="45"/>
        <v>0</v>
      </c>
      <c r="V121" s="627">
        <f t="shared" si="45"/>
        <v>0</v>
      </c>
      <c r="W121" s="627">
        <f t="shared" si="45"/>
        <v>0</v>
      </c>
      <c r="X121" s="627">
        <f t="shared" si="45"/>
        <v>0</v>
      </c>
      <c r="Y121" s="627">
        <f t="shared" si="45"/>
        <v>0</v>
      </c>
      <c r="Z121" s="627">
        <f t="shared" si="45"/>
        <v>0</v>
      </c>
      <c r="AA121" s="627">
        <f t="shared" si="45"/>
        <v>0</v>
      </c>
      <c r="AB121" s="627">
        <f t="shared" si="45"/>
        <v>0</v>
      </c>
      <c r="AC121" s="627">
        <f t="shared" si="45"/>
        <v>0</v>
      </c>
      <c r="AD121" s="627">
        <f t="shared" si="45"/>
        <v>950</v>
      </c>
      <c r="AE121" s="627">
        <f t="shared" si="45"/>
        <v>0</v>
      </c>
      <c r="AF121" s="627"/>
      <c r="AG121" s="621">
        <f t="shared" si="21"/>
        <v>0</v>
      </c>
    </row>
    <row r="122" spans="1:33" hidden="1" x14ac:dyDescent="0.3">
      <c r="B122" s="155">
        <f t="shared" ref="B122:E125" si="46">B105-B111-B116</f>
        <v>0</v>
      </c>
      <c r="C122" s="155">
        <f t="shared" si="46"/>
        <v>0</v>
      </c>
      <c r="D122" s="155">
        <f t="shared" si="46"/>
        <v>0</v>
      </c>
      <c r="E122" s="155">
        <f t="shared" si="46"/>
        <v>0</v>
      </c>
      <c r="F122" s="155"/>
      <c r="G122" s="155"/>
      <c r="H122" s="155">
        <f t="shared" ref="H122:AE122" si="47">H105-H111-H116</f>
        <v>0</v>
      </c>
      <c r="I122" s="155">
        <f t="shared" si="47"/>
        <v>0</v>
      </c>
      <c r="J122" s="155">
        <f t="shared" si="47"/>
        <v>0</v>
      </c>
      <c r="K122" s="155">
        <f t="shared" si="47"/>
        <v>0</v>
      </c>
      <c r="L122" s="155">
        <f t="shared" si="47"/>
        <v>0</v>
      </c>
      <c r="M122" s="155">
        <f t="shared" si="47"/>
        <v>0</v>
      </c>
      <c r="N122" s="155">
        <f t="shared" si="47"/>
        <v>0</v>
      </c>
      <c r="O122" s="155">
        <f t="shared" si="47"/>
        <v>0</v>
      </c>
      <c r="P122" s="155">
        <f t="shared" si="47"/>
        <v>0</v>
      </c>
      <c r="Q122" s="155">
        <f t="shared" si="47"/>
        <v>0</v>
      </c>
      <c r="R122" s="155">
        <f t="shared" si="47"/>
        <v>0</v>
      </c>
      <c r="S122" s="155">
        <f t="shared" si="47"/>
        <v>0</v>
      </c>
      <c r="T122" s="155">
        <f t="shared" si="47"/>
        <v>0</v>
      </c>
      <c r="U122" s="155">
        <f t="shared" si="47"/>
        <v>0</v>
      </c>
      <c r="V122" s="155">
        <f t="shared" si="47"/>
        <v>0</v>
      </c>
      <c r="W122" s="155">
        <f t="shared" si="47"/>
        <v>0</v>
      </c>
      <c r="X122" s="155">
        <f t="shared" si="47"/>
        <v>0</v>
      </c>
      <c r="Y122" s="155">
        <f t="shared" si="47"/>
        <v>0</v>
      </c>
      <c r="Z122" s="155">
        <f t="shared" si="47"/>
        <v>0</v>
      </c>
      <c r="AA122" s="155">
        <f t="shared" si="47"/>
        <v>0</v>
      </c>
      <c r="AB122" s="155">
        <f t="shared" si="47"/>
        <v>0</v>
      </c>
      <c r="AC122" s="155">
        <f t="shared" si="47"/>
        <v>0</v>
      </c>
      <c r="AD122" s="155">
        <f t="shared" si="47"/>
        <v>0</v>
      </c>
      <c r="AE122" s="155">
        <f t="shared" si="47"/>
        <v>0</v>
      </c>
      <c r="AG122" s="102">
        <f t="shared" si="21"/>
        <v>0</v>
      </c>
    </row>
    <row r="123" spans="1:33" hidden="1" x14ac:dyDescent="0.3">
      <c r="A123" s="156" t="s">
        <v>169</v>
      </c>
      <c r="B123" s="155">
        <f t="shared" si="46"/>
        <v>0</v>
      </c>
      <c r="C123" s="155">
        <f t="shared" si="46"/>
        <v>0</v>
      </c>
      <c r="D123" s="155">
        <f t="shared" si="46"/>
        <v>0</v>
      </c>
      <c r="E123" s="155">
        <f t="shared" si="46"/>
        <v>0</v>
      </c>
      <c r="F123" s="155"/>
      <c r="G123" s="155"/>
      <c r="H123" s="155">
        <f t="shared" ref="H123:AE123" si="48">H106-H112-H117</f>
        <v>0</v>
      </c>
      <c r="I123" s="155">
        <f t="shared" si="48"/>
        <v>0</v>
      </c>
      <c r="J123" s="155">
        <f t="shared" si="48"/>
        <v>0</v>
      </c>
      <c r="K123" s="155">
        <f t="shared" si="48"/>
        <v>0</v>
      </c>
      <c r="L123" s="155">
        <f t="shared" si="48"/>
        <v>0</v>
      </c>
      <c r="M123" s="155">
        <f t="shared" si="48"/>
        <v>0</v>
      </c>
      <c r="N123" s="155">
        <f t="shared" si="48"/>
        <v>0</v>
      </c>
      <c r="O123" s="155">
        <f t="shared" si="48"/>
        <v>0</v>
      </c>
      <c r="P123" s="155">
        <f t="shared" si="48"/>
        <v>0</v>
      </c>
      <c r="Q123" s="155">
        <f t="shared" si="48"/>
        <v>0</v>
      </c>
      <c r="R123" s="155">
        <f t="shared" si="48"/>
        <v>0</v>
      </c>
      <c r="S123" s="155">
        <f t="shared" si="48"/>
        <v>0</v>
      </c>
      <c r="T123" s="155">
        <f t="shared" si="48"/>
        <v>0</v>
      </c>
      <c r="U123" s="155">
        <f t="shared" si="48"/>
        <v>0</v>
      </c>
      <c r="V123" s="155">
        <f t="shared" si="48"/>
        <v>0</v>
      </c>
      <c r="W123" s="155">
        <f t="shared" si="48"/>
        <v>0</v>
      </c>
      <c r="X123" s="155">
        <f t="shared" si="48"/>
        <v>0</v>
      </c>
      <c r="Y123" s="155">
        <f t="shared" si="48"/>
        <v>0</v>
      </c>
      <c r="Z123" s="155">
        <f t="shared" si="48"/>
        <v>0</v>
      </c>
      <c r="AA123" s="155">
        <f t="shared" si="48"/>
        <v>0</v>
      </c>
      <c r="AB123" s="155">
        <f t="shared" si="48"/>
        <v>0</v>
      </c>
      <c r="AC123" s="155">
        <f t="shared" si="48"/>
        <v>0</v>
      </c>
      <c r="AD123" s="155">
        <f t="shared" si="48"/>
        <v>0</v>
      </c>
      <c r="AE123" s="155">
        <f t="shared" si="48"/>
        <v>0</v>
      </c>
      <c r="AG123" s="102">
        <f t="shared" si="21"/>
        <v>0</v>
      </c>
    </row>
    <row r="124" spans="1:33" hidden="1" x14ac:dyDescent="0.3">
      <c r="A124" s="156" t="s">
        <v>32</v>
      </c>
      <c r="B124" s="155">
        <f t="shared" si="46"/>
        <v>0</v>
      </c>
      <c r="C124" s="155">
        <f t="shared" si="46"/>
        <v>0</v>
      </c>
      <c r="D124" s="155">
        <f t="shared" si="46"/>
        <v>0</v>
      </c>
      <c r="E124" s="155">
        <f t="shared" si="46"/>
        <v>0</v>
      </c>
      <c r="F124" s="155"/>
      <c r="G124" s="155"/>
      <c r="H124" s="155">
        <f t="shared" ref="H124:AE124" si="49">H107-H113-H118</f>
        <v>0</v>
      </c>
      <c r="I124" s="155">
        <f t="shared" si="49"/>
        <v>0</v>
      </c>
      <c r="J124" s="155">
        <f t="shared" si="49"/>
        <v>0</v>
      </c>
      <c r="K124" s="155">
        <f t="shared" si="49"/>
        <v>0</v>
      </c>
      <c r="L124" s="155">
        <f t="shared" si="49"/>
        <v>0</v>
      </c>
      <c r="M124" s="155">
        <f t="shared" si="49"/>
        <v>0</v>
      </c>
      <c r="N124" s="155">
        <f t="shared" si="49"/>
        <v>0</v>
      </c>
      <c r="O124" s="155">
        <f t="shared" si="49"/>
        <v>0</v>
      </c>
      <c r="P124" s="155">
        <f t="shared" si="49"/>
        <v>0</v>
      </c>
      <c r="Q124" s="155">
        <f t="shared" si="49"/>
        <v>0</v>
      </c>
      <c r="R124" s="155">
        <f t="shared" si="49"/>
        <v>0</v>
      </c>
      <c r="S124" s="155">
        <f t="shared" si="49"/>
        <v>0</v>
      </c>
      <c r="T124" s="155">
        <f t="shared" si="49"/>
        <v>0</v>
      </c>
      <c r="U124" s="155">
        <f t="shared" si="49"/>
        <v>0</v>
      </c>
      <c r="V124" s="155">
        <f t="shared" si="49"/>
        <v>0</v>
      </c>
      <c r="W124" s="155">
        <f t="shared" si="49"/>
        <v>0</v>
      </c>
      <c r="X124" s="155">
        <f t="shared" si="49"/>
        <v>0</v>
      </c>
      <c r="Y124" s="155">
        <f t="shared" si="49"/>
        <v>0</v>
      </c>
      <c r="Z124" s="155">
        <f t="shared" si="49"/>
        <v>0</v>
      </c>
      <c r="AA124" s="155">
        <f t="shared" si="49"/>
        <v>0</v>
      </c>
      <c r="AB124" s="155">
        <f t="shared" si="49"/>
        <v>0</v>
      </c>
      <c r="AC124" s="155">
        <f t="shared" si="49"/>
        <v>0</v>
      </c>
      <c r="AD124" s="155">
        <f t="shared" si="49"/>
        <v>0</v>
      </c>
      <c r="AE124" s="155">
        <f t="shared" si="49"/>
        <v>0</v>
      </c>
      <c r="AG124" s="102">
        <f t="shared" si="21"/>
        <v>0</v>
      </c>
    </row>
    <row r="125" spans="1:33" hidden="1" x14ac:dyDescent="0.3">
      <c r="A125" s="156" t="s">
        <v>33</v>
      </c>
      <c r="B125" s="155">
        <f t="shared" si="46"/>
        <v>0</v>
      </c>
      <c r="C125" s="155">
        <f t="shared" si="46"/>
        <v>0</v>
      </c>
      <c r="D125" s="155">
        <f t="shared" si="46"/>
        <v>0</v>
      </c>
      <c r="E125" s="155">
        <f t="shared" si="46"/>
        <v>0</v>
      </c>
      <c r="F125" s="155"/>
      <c r="G125" s="155"/>
      <c r="H125" s="155">
        <f t="shared" ref="H125:AE125" si="50">H108-H114-H119</f>
        <v>0</v>
      </c>
      <c r="I125" s="155">
        <f t="shared" si="50"/>
        <v>0</v>
      </c>
      <c r="J125" s="155">
        <f t="shared" si="50"/>
        <v>0</v>
      </c>
      <c r="K125" s="155">
        <f t="shared" si="50"/>
        <v>0</v>
      </c>
      <c r="L125" s="155">
        <f t="shared" si="50"/>
        <v>0</v>
      </c>
      <c r="M125" s="155">
        <f t="shared" si="50"/>
        <v>0</v>
      </c>
      <c r="N125" s="155">
        <f t="shared" si="50"/>
        <v>0</v>
      </c>
      <c r="O125" s="155">
        <f t="shared" si="50"/>
        <v>0</v>
      </c>
      <c r="P125" s="155">
        <f t="shared" si="50"/>
        <v>0</v>
      </c>
      <c r="Q125" s="155">
        <f t="shared" si="50"/>
        <v>0</v>
      </c>
      <c r="R125" s="155">
        <f t="shared" si="50"/>
        <v>0</v>
      </c>
      <c r="S125" s="155">
        <f t="shared" si="50"/>
        <v>0</v>
      </c>
      <c r="T125" s="155">
        <f t="shared" si="50"/>
        <v>0</v>
      </c>
      <c r="U125" s="155">
        <f t="shared" si="50"/>
        <v>0</v>
      </c>
      <c r="V125" s="155">
        <f t="shared" si="50"/>
        <v>0</v>
      </c>
      <c r="W125" s="155">
        <f t="shared" si="50"/>
        <v>0</v>
      </c>
      <c r="X125" s="155">
        <f t="shared" si="50"/>
        <v>0</v>
      </c>
      <c r="Y125" s="155">
        <f t="shared" si="50"/>
        <v>0</v>
      </c>
      <c r="Z125" s="155">
        <f t="shared" si="50"/>
        <v>0</v>
      </c>
      <c r="AA125" s="155">
        <f t="shared" si="50"/>
        <v>0</v>
      </c>
      <c r="AB125" s="155">
        <f t="shared" si="50"/>
        <v>0</v>
      </c>
      <c r="AC125" s="155">
        <f t="shared" si="50"/>
        <v>0</v>
      </c>
      <c r="AD125" s="155">
        <f t="shared" si="50"/>
        <v>0</v>
      </c>
      <c r="AE125" s="155">
        <f t="shared" si="50"/>
        <v>0</v>
      </c>
      <c r="AG125" s="102">
        <f t="shared" si="21"/>
        <v>0</v>
      </c>
    </row>
    <row r="126" spans="1:33" hidden="1" x14ac:dyDescent="0.3">
      <c r="A126" s="156" t="s">
        <v>170</v>
      </c>
      <c r="B126" s="155">
        <f>B110-B115-B121</f>
        <v>0</v>
      </c>
      <c r="C126" s="155">
        <f>C110-C115-C121</f>
        <v>0</v>
      </c>
      <c r="D126" s="155">
        <f>D110-D115-D121</f>
        <v>0</v>
      </c>
      <c r="E126" s="155">
        <f>E110-E115-E121</f>
        <v>0</v>
      </c>
      <c r="F126" s="155"/>
      <c r="G126" s="155"/>
      <c r="H126" s="155">
        <f t="shared" ref="H126:AE126" si="51">H110-H115-H121</f>
        <v>0</v>
      </c>
      <c r="I126" s="155">
        <f t="shared" si="51"/>
        <v>0</v>
      </c>
      <c r="J126" s="155">
        <f t="shared" si="51"/>
        <v>0</v>
      </c>
      <c r="K126" s="155">
        <f t="shared" si="51"/>
        <v>0</v>
      </c>
      <c r="L126" s="155">
        <f t="shared" si="51"/>
        <v>0</v>
      </c>
      <c r="M126" s="155">
        <f t="shared" si="51"/>
        <v>0</v>
      </c>
      <c r="N126" s="155">
        <f t="shared" si="51"/>
        <v>0</v>
      </c>
      <c r="O126" s="155">
        <f t="shared" si="51"/>
        <v>0</v>
      </c>
      <c r="P126" s="155">
        <f t="shared" si="51"/>
        <v>0</v>
      </c>
      <c r="Q126" s="155">
        <f t="shared" si="51"/>
        <v>0</v>
      </c>
      <c r="R126" s="155">
        <f t="shared" si="51"/>
        <v>0</v>
      </c>
      <c r="S126" s="155">
        <f t="shared" si="51"/>
        <v>0</v>
      </c>
      <c r="T126" s="155">
        <f t="shared" si="51"/>
        <v>0</v>
      </c>
      <c r="U126" s="155">
        <f t="shared" si="51"/>
        <v>0</v>
      </c>
      <c r="V126" s="155">
        <f t="shared" si="51"/>
        <v>0</v>
      </c>
      <c r="W126" s="155">
        <f t="shared" si="51"/>
        <v>0</v>
      </c>
      <c r="X126" s="155">
        <f t="shared" si="51"/>
        <v>0</v>
      </c>
      <c r="Y126" s="155">
        <f t="shared" si="51"/>
        <v>0</v>
      </c>
      <c r="Z126" s="155">
        <f t="shared" si="51"/>
        <v>0</v>
      </c>
      <c r="AA126" s="155">
        <f t="shared" si="51"/>
        <v>0</v>
      </c>
      <c r="AB126" s="155">
        <f t="shared" si="51"/>
        <v>0</v>
      </c>
      <c r="AC126" s="155">
        <f t="shared" si="51"/>
        <v>0</v>
      </c>
      <c r="AD126" s="155">
        <f t="shared" si="51"/>
        <v>0</v>
      </c>
      <c r="AE126" s="155">
        <f t="shared" si="51"/>
        <v>0</v>
      </c>
      <c r="AG126" s="102">
        <f t="shared" si="21"/>
        <v>0</v>
      </c>
    </row>
    <row r="127" spans="1:33" hidden="1" x14ac:dyDescent="0.3"/>
    <row r="128" spans="1:33" x14ac:dyDescent="0.3">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c r="AA128" s="155"/>
      <c r="AB128" s="155"/>
      <c r="AC128" s="155"/>
      <c r="AD128" s="155"/>
      <c r="AE128" s="155"/>
    </row>
    <row r="129" spans="1:31" x14ac:dyDescent="0.3">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c r="AA129" s="155"/>
      <c r="AB129" s="155"/>
      <c r="AC129" s="155"/>
      <c r="AD129" s="155"/>
      <c r="AE129" s="155"/>
    </row>
    <row r="130" spans="1:31" x14ac:dyDescent="0.3">
      <c r="B130" s="706"/>
      <c r="C130" s="706"/>
      <c r="D130" s="706"/>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c r="AA130" s="155"/>
      <c r="AB130" s="155"/>
      <c r="AC130" s="155"/>
      <c r="AD130" s="155"/>
      <c r="AE130" s="155"/>
    </row>
    <row r="131" spans="1:31" x14ac:dyDescent="0.3">
      <c r="A131" s="517"/>
      <c r="B131" s="825"/>
      <c r="C131" s="825"/>
      <c r="D131" s="826"/>
      <c r="E131" s="745"/>
      <c r="F131" s="745"/>
      <c r="G131" s="155"/>
      <c r="H131" s="155"/>
      <c r="I131" s="155"/>
      <c r="J131" s="155"/>
      <c r="K131" s="155"/>
      <c r="L131" s="155"/>
      <c r="M131" s="155"/>
      <c r="N131" s="155"/>
      <c r="O131" s="155"/>
      <c r="P131" s="155"/>
      <c r="Q131" s="155"/>
      <c r="R131" s="155"/>
      <c r="S131" s="155"/>
      <c r="T131" s="155"/>
      <c r="U131" s="155"/>
      <c r="V131" s="155"/>
      <c r="W131" s="155"/>
      <c r="X131" s="155"/>
      <c r="Y131" s="155"/>
      <c r="Z131" s="155"/>
      <c r="AA131" s="155"/>
      <c r="AB131" s="155"/>
      <c r="AC131" s="155"/>
      <c r="AD131" s="155"/>
      <c r="AE131" s="155"/>
    </row>
    <row r="132" spans="1:31" x14ac:dyDescent="0.3">
      <c r="A132" s="516"/>
      <c r="B132" s="827"/>
      <c r="C132" s="827"/>
      <c r="D132" s="827"/>
      <c r="E132" s="745"/>
      <c r="F132" s="745"/>
      <c r="G132" s="155"/>
      <c r="H132" s="155"/>
      <c r="I132" s="155"/>
      <c r="J132" s="155"/>
      <c r="K132" s="155"/>
      <c r="L132" s="155"/>
      <c r="M132" s="155"/>
      <c r="N132" s="155"/>
      <c r="O132" s="155"/>
      <c r="P132" s="155"/>
      <c r="Q132" s="155"/>
      <c r="R132" s="155"/>
      <c r="S132" s="155"/>
      <c r="T132" s="155"/>
      <c r="U132" s="155"/>
      <c r="V132" s="155"/>
      <c r="W132" s="155"/>
      <c r="X132" s="155"/>
      <c r="Y132" s="155"/>
      <c r="Z132" s="155"/>
      <c r="AA132" s="155"/>
      <c r="AB132" s="155"/>
      <c r="AC132" s="155"/>
      <c r="AD132" s="155"/>
      <c r="AE132" s="155"/>
    </row>
    <row r="133" spans="1:31" x14ac:dyDescent="0.3">
      <c r="A133" s="517"/>
      <c r="B133" s="828"/>
      <c r="C133" s="828"/>
      <c r="D133" s="828"/>
      <c r="E133" s="745"/>
      <c r="F133" s="745"/>
      <c r="G133" s="155"/>
      <c r="H133" s="155"/>
      <c r="I133" s="155"/>
      <c r="J133" s="155"/>
      <c r="K133" s="155"/>
      <c r="L133" s="155"/>
      <c r="M133" s="155"/>
      <c r="N133" s="155"/>
      <c r="O133" s="155"/>
      <c r="P133" s="155"/>
      <c r="Q133" s="155"/>
      <c r="R133" s="155"/>
      <c r="S133" s="155"/>
      <c r="T133" s="155"/>
      <c r="U133" s="155"/>
      <c r="V133" s="155"/>
      <c r="W133" s="155"/>
      <c r="X133" s="155"/>
      <c r="Y133" s="155"/>
      <c r="Z133" s="155"/>
      <c r="AA133" s="155"/>
      <c r="AB133" s="155"/>
      <c r="AC133" s="155"/>
      <c r="AD133" s="155"/>
      <c r="AE133" s="155"/>
    </row>
    <row r="134" spans="1:31" x14ac:dyDescent="0.3">
      <c r="A134" s="622"/>
      <c r="B134" s="745"/>
      <c r="C134" s="745"/>
      <c r="D134" s="745"/>
      <c r="E134" s="745"/>
      <c r="F134" s="745"/>
      <c r="G134" s="155"/>
      <c r="H134" s="155"/>
      <c r="I134" s="155"/>
      <c r="J134" s="155"/>
      <c r="K134" s="155"/>
      <c r="L134" s="155"/>
      <c r="M134" s="155"/>
      <c r="N134" s="155"/>
      <c r="O134" s="155"/>
      <c r="P134" s="155"/>
      <c r="Q134" s="155"/>
      <c r="R134" s="155"/>
      <c r="S134" s="155"/>
      <c r="T134" s="155"/>
      <c r="U134" s="155"/>
      <c r="V134" s="155"/>
      <c r="W134" s="155"/>
      <c r="X134" s="155"/>
      <c r="Y134" s="155"/>
      <c r="Z134" s="155"/>
      <c r="AA134" s="155"/>
      <c r="AB134" s="155"/>
      <c r="AC134" s="155"/>
      <c r="AD134" s="155"/>
      <c r="AE134" s="155"/>
    </row>
    <row r="135" spans="1:31" x14ac:dyDescent="0.3">
      <c r="A135" s="622"/>
      <c r="B135" s="745"/>
      <c r="C135" s="745"/>
      <c r="D135" s="745"/>
      <c r="E135" s="745"/>
      <c r="F135" s="745"/>
      <c r="G135" s="155"/>
      <c r="H135" s="155"/>
      <c r="I135" s="155"/>
      <c r="J135" s="155"/>
      <c r="K135" s="155"/>
      <c r="L135" s="155"/>
      <c r="M135" s="155"/>
      <c r="N135" s="155"/>
      <c r="O135" s="155"/>
      <c r="P135" s="155"/>
      <c r="Q135" s="155"/>
      <c r="R135" s="155"/>
      <c r="S135" s="155"/>
      <c r="T135" s="155"/>
      <c r="U135" s="155"/>
      <c r="V135" s="155"/>
      <c r="W135" s="155"/>
      <c r="X135" s="155"/>
      <c r="Y135" s="155"/>
      <c r="Z135" s="155"/>
      <c r="AA135" s="155"/>
      <c r="AB135" s="155"/>
      <c r="AC135" s="155"/>
      <c r="AD135" s="155"/>
      <c r="AE135" s="155"/>
    </row>
    <row r="136" spans="1:31" x14ac:dyDescent="0.3">
      <c r="A136" s="622"/>
      <c r="B136" s="622"/>
      <c r="C136" s="622"/>
      <c r="D136" s="622"/>
      <c r="E136" s="622"/>
      <c r="F136" s="622"/>
    </row>
  </sheetData>
  <customSheetViews>
    <customSheetView guid="{7C130984-112A-4861-AA43-E2940708E3DC}" scale="60" hiddenRows="1" hiddenColumns="1" state="hidden">
      <pane xSplit="2" ySplit="11" topLeftCell="Z27" activePane="bottomRight" state="frozen"/>
      <selection pane="bottomRight" activeCell="AA37" sqref="AA37"/>
      <pageMargins left="0.7" right="0.7" top="0.75" bottom="0.75" header="0.3" footer="0.3"/>
      <pageSetup paperSize="9" orientation="portrait" r:id="rId1"/>
    </customSheetView>
    <customSheetView guid="{4F41B9CC-959D-442C-80B0-1F0DB2C76D27}" scale="60" hiddenRows="1" hiddenColumns="1">
      <pane xSplit="2" ySplit="10" topLeftCell="C39" activePane="bottomRight" state="frozen"/>
      <selection pane="bottomRight" activeCell="N31" sqref="N31"/>
      <pageMargins left="0.7" right="0.7" top="0.75" bottom="0.75" header="0.3" footer="0.3"/>
      <pageSetup paperSize="9" orientation="portrait" r:id="rId2"/>
    </customSheetView>
    <customSheetView guid="{391AB76E-B386-49C1-800F-016A48AA1A46}" scale="60" hiddenRows="1" hiddenColumns="1">
      <pane xSplit="2" ySplit="11" topLeftCell="C39" activePane="bottomRight" state="frozen"/>
      <selection pane="bottomRight" activeCell="N31" sqref="N31"/>
      <pageMargins left="0.7" right="0.7" top="0.75" bottom="0.75" header="0.3" footer="0.3"/>
      <pageSetup paperSize="9" orientation="portrait" r:id="rId3"/>
    </customSheetView>
    <customSheetView guid="{D01FA037-9AEC-4167-ADB8-2F327C01ECE6}" scale="60" hiddenRows="1" hiddenColumns="1">
      <pane xSplit="2" ySplit="11" topLeftCell="C39" activePane="bottomRight" state="frozen"/>
      <selection pane="bottomRight" activeCell="N31" sqref="N31"/>
      <pageMargins left="0.7" right="0.7" top="0.75" bottom="0.75" header="0.3" footer="0.3"/>
      <pageSetup paperSize="9" orientation="portrait" r:id="rId4"/>
    </customSheetView>
    <customSheetView guid="{6A602CB8-B24C-4ED4-B378-B27354BE0A1A}" scale="60" hiddenRows="1" hiddenColumns="1">
      <pane xSplit="2" ySplit="11" topLeftCell="C39" activePane="bottomRight" state="frozen"/>
      <selection pane="bottomRight" activeCell="N31" sqref="N31"/>
      <pageMargins left="0.7" right="0.7" top="0.75" bottom="0.75" header="0.3" footer="0.3"/>
      <pageSetup paperSize="9" orientation="portrait" r:id="rId5"/>
    </customSheetView>
    <customSheetView guid="{DAA8A688-7558-4B5B-8DBD-E2629BD9E9A8}" scale="60" hiddenRows="1" hiddenColumns="1">
      <pane xSplit="2" ySplit="11" topLeftCell="C39" activePane="bottomRight" state="frozen"/>
      <selection pane="bottomRight" activeCell="N31" sqref="N31"/>
      <pageMargins left="0.7" right="0.7" top="0.75" bottom="0.75" header="0.3" footer="0.3"/>
      <pageSetup paperSize="9" orientation="portrait" r:id="rId6"/>
    </customSheetView>
    <customSheetView guid="{0C2B9C2A-7B94-41EF-A2E6-F8AC9A67DE25}" scale="60" hiddenRows="1" hiddenColumns="1">
      <pane xSplit="2" ySplit="11" topLeftCell="C39" activePane="bottomRight" state="frozen"/>
      <selection pane="bottomRight" activeCell="N31" sqref="N31"/>
      <pageMargins left="0.7" right="0.7" top="0.75" bottom="0.75" header="0.3" footer="0.3"/>
      <pageSetup paperSize="9" orientation="portrait" r:id="rId7"/>
    </customSheetView>
    <customSheetView guid="{87218168-6C8E-4D5B-A5E5-DCCC26803AA3}" scale="60" hiddenRows="1" hiddenColumns="1">
      <pane xSplit="2" ySplit="11" topLeftCell="D102" activePane="bottomRight" state="frozen"/>
      <selection pane="bottomRight" activeCell="E104" sqref="E103:E104"/>
      <pageMargins left="0.7" right="0.7" top="0.75" bottom="0.75" header="0.3" footer="0.3"/>
      <pageSetup paperSize="9" orientation="portrait" r:id="rId8"/>
    </customSheetView>
    <customSheetView guid="{533DC55B-6AD4-4674-9488-685EF2039F3E}" scale="60" hiddenRows="1" hiddenColumns="1">
      <pane xSplit="2" ySplit="11" topLeftCell="D102" activePane="bottomRight" state="frozen"/>
      <selection pane="bottomRight" activeCell="E104" sqref="E103:E104"/>
      <pageMargins left="0.7" right="0.7" top="0.75" bottom="0.75" header="0.3" footer="0.3"/>
      <pageSetup paperSize="9" orientation="portrait" r:id="rId9"/>
    </customSheetView>
    <customSheetView guid="{69DABE6F-6182-4403-A4A2-969F10F1C13A}" scale="60" hiddenRows="1" hiddenColumns="1">
      <pane xSplit="2" ySplit="11" topLeftCell="D102" activePane="bottomRight" state="frozen"/>
      <selection pane="bottomRight" activeCell="E104" sqref="E103:E104"/>
      <pageMargins left="0.7" right="0.7" top="0.75" bottom="0.75" header="0.3" footer="0.3"/>
      <pageSetup paperSize="9" orientation="portrait" r:id="rId10"/>
    </customSheetView>
    <customSheetView guid="{84867370-1F3E-4368-AF79-FBCE46FFFE92}" scale="60" hiddenRows="1" hiddenColumns="1">
      <pane xSplit="2" ySplit="11" topLeftCell="D102" activePane="bottomRight" state="frozen"/>
      <selection pane="bottomRight" activeCell="E104" sqref="E103:E104"/>
      <pageMargins left="0.7" right="0.7" top="0.75" bottom="0.75" header="0.3" footer="0.3"/>
      <pageSetup paperSize="9" orientation="portrait" r:id="rId11"/>
    </customSheetView>
    <customSheetView guid="{47B983AB-FE5F-4725-860C-A2F29420596D}" scale="60" hiddenRows="1" hiddenColumns="1">
      <pane xSplit="2" ySplit="11" topLeftCell="C12" activePane="bottomRight" state="frozen"/>
      <selection pane="bottomRight" activeCell="A109" sqref="A109"/>
      <pageMargins left="0.7" right="0.7" top="0.75" bottom="0.75" header="0.3" footer="0.3"/>
    </customSheetView>
    <customSheetView guid="{959E901C-5DDE-42EE-AE94-AB8976B5E00B}" scale="60" hiddenRows="1" hiddenColumns="1">
      <pane xSplit="2" ySplit="11" topLeftCell="C12" activePane="bottomRight" state="frozen"/>
      <selection pane="bottomRight" activeCell="A109" sqref="A109"/>
      <pageMargins left="0.7" right="0.7" top="0.75" bottom="0.75" header="0.3" footer="0.3"/>
    </customSheetView>
    <customSheetView guid="{F679EF4A-C5FD-4B86-B87B-D85968E0F2CA}" scale="60" hiddenRows="1" hiddenColumns="1">
      <pane xSplit="2" ySplit="11" topLeftCell="C12" activePane="bottomRight" state="frozen"/>
      <selection pane="bottomRight" activeCell="A109" sqref="A109"/>
      <pageMargins left="0.7" right="0.7" top="0.75" bottom="0.75" header="0.3" footer="0.3"/>
    </customSheetView>
    <customSheetView guid="{009B3074-D8EC-4952-BF50-43CD64449612}" scale="60" hiddenRows="1" hiddenColumns="1">
      <pane xSplit="2" ySplit="11" topLeftCell="C100" activePane="bottomRight" state="frozen"/>
      <selection pane="bottomRight" activeCell="N135" sqref="N135"/>
      <pageMargins left="0.7" right="0.7" top="0.75" bottom="0.75" header="0.3" footer="0.3"/>
    </customSheetView>
    <customSheetView guid="{770624BF-07F3-44B6-94C3-4CC447CDD45C}" scale="60" hiddenRows="1" hiddenColumns="1">
      <pane xSplit="2" ySplit="11" topLeftCell="C100" activePane="bottomRight" state="frozen"/>
      <selection pane="bottomRight" activeCell="N135" sqref="N135"/>
      <pageMargins left="0.7" right="0.7" top="0.75" bottom="0.75" header="0.3" footer="0.3"/>
    </customSheetView>
    <customSheetView guid="{B82BA08A-1A30-4F4D-A478-74A6BD09EA97}" scale="70">
      <pane xSplit="2" ySplit="11" topLeftCell="C12" activePane="bottomRight" state="frozen"/>
      <selection pane="bottomRight" activeCell="O30" sqref="O30"/>
      <pageMargins left="0.7" right="0.7" top="0.75" bottom="0.75" header="0.3" footer="0.3"/>
    </customSheetView>
    <customSheetView guid="{874882D1-E741-4CCA-BF0D-E72FA60B771D}" scale="70">
      <pane xSplit="2" ySplit="11" topLeftCell="C12" activePane="bottomRight" state="frozen"/>
      <selection pane="bottomRight" activeCell="O30" sqref="O30"/>
      <pageMargins left="0.7" right="0.7" top="0.75" bottom="0.75" header="0.3" footer="0.3"/>
    </customSheetView>
    <customSheetView guid="{C236B307-BD63-48C4-A75F-B3F3717BF55C}" scale="70">
      <pane xSplit="2" ySplit="11" topLeftCell="C12" activePane="bottomRight" state="frozen"/>
      <selection pane="bottomRight" activeCell="O30" sqref="O30"/>
      <pageMargins left="0.7" right="0.7" top="0.75" bottom="0.75" header="0.3" footer="0.3"/>
    </customSheetView>
    <customSheetView guid="{BCD82A82-B724-4763-8580-D765356E09BA}" scale="70">
      <pane xSplit="2" ySplit="11" topLeftCell="C12" activePane="bottomRight" state="frozen"/>
      <selection pane="bottomRight" activeCell="O30" sqref="O30"/>
      <pageMargins left="0.7" right="0.7" top="0.75" bottom="0.75" header="0.3" footer="0.3"/>
    </customSheetView>
    <customSheetView guid="{B1BF08D1-D416-4B47-ADD0-4F59132DC9E8}" scale="60" hiddenRows="1" hiddenColumns="1">
      <pane xSplit="2" ySplit="11" topLeftCell="C12" activePane="bottomRight" state="frozen"/>
      <selection pane="bottomRight" activeCell="A109" sqref="A109"/>
      <pageMargins left="0.7" right="0.7" top="0.75" bottom="0.75" header="0.3" footer="0.3"/>
    </customSheetView>
    <customSheetView guid="{85F4575B-DBC5-482A-9916-255D8F0BC94E}" scale="60" hiddenRows="1" hiddenColumns="1">
      <pane xSplit="2" ySplit="11" topLeftCell="C12" activePane="bottomRight" state="frozen"/>
      <selection pane="bottomRight" activeCell="A109" sqref="A109"/>
      <pageMargins left="0.7" right="0.7" top="0.75" bottom="0.75" header="0.3" footer="0.3"/>
    </customSheetView>
    <customSheetView guid="{74870EE6-26B9-40F7-9DC9-260EF16D8959}" scale="60" hiddenRows="1" hiddenColumns="1">
      <pane xSplit="2" ySplit="11" topLeftCell="D102" activePane="bottomRight" state="frozen"/>
      <selection pane="bottomRight" activeCell="E104" sqref="E103:E104"/>
      <pageMargins left="0.7" right="0.7" top="0.75" bottom="0.75" header="0.3" footer="0.3"/>
      <pageSetup paperSize="9" orientation="portrait" r:id="rId12"/>
    </customSheetView>
    <customSheetView guid="{E508E171-4ED9-4B07-84DF-DA28C60E1969}" scale="60" hiddenRows="1" hiddenColumns="1">
      <pane xSplit="2" ySplit="11" topLeftCell="D102" activePane="bottomRight" state="frozen"/>
      <selection pane="bottomRight" activeCell="E104" sqref="E103:E104"/>
      <pageMargins left="0.7" right="0.7" top="0.75" bottom="0.75" header="0.3" footer="0.3"/>
      <pageSetup paperSize="9" orientation="portrait" r:id="rId13"/>
    </customSheetView>
    <customSheetView guid="{4D0DFB57-2CBA-42F2-9A97-C453A6851FBA}" scale="60" hiddenRows="1" hiddenColumns="1">
      <pane xSplit="2" ySplit="11" topLeftCell="D102" activePane="bottomRight" state="frozen"/>
      <selection pane="bottomRight" activeCell="E104" sqref="E103:E104"/>
      <pageMargins left="0.7" right="0.7" top="0.75" bottom="0.75" header="0.3" footer="0.3"/>
      <pageSetup paperSize="9" orientation="portrait" r:id="rId14"/>
    </customSheetView>
    <customSheetView guid="{CE1CCA00-200D-4EAA-9FBE-F8EE7C5F82FE}" scale="60" hiddenRows="1" hiddenColumns="1">
      <pane xSplit="2" ySplit="11" topLeftCell="C60" activePane="bottomRight" state="frozen"/>
      <selection pane="bottomRight" activeCell="F98" sqref="F98"/>
      <pageMargins left="0.7" right="0.7" top="0.75" bottom="0.75" header="0.3" footer="0.3"/>
      <pageSetup paperSize="9" orientation="portrait" r:id="rId15"/>
    </customSheetView>
    <customSheetView guid="{442F2C94-DD1B-4A01-8694-513D4D6F3BD9}" scale="60" hiddenRows="1" hiddenColumns="1">
      <pane xSplit="2" ySplit="11" topLeftCell="C39" activePane="bottomRight" state="frozen"/>
      <selection pane="bottomRight" activeCell="N31" sqref="N31"/>
      <pageMargins left="0.7" right="0.7" top="0.75" bottom="0.75" header="0.3" footer="0.3"/>
      <pageSetup paperSize="9" orientation="portrait" r:id="rId16"/>
    </customSheetView>
    <customSheetView guid="{AC2D5927-4079-4C74-AF69-1BFAC505648F}" scale="60" hiddenRows="1" hiddenColumns="1">
      <pane xSplit="2" ySplit="11" topLeftCell="C39" activePane="bottomRight" state="frozen"/>
      <selection pane="bottomRight" activeCell="N31" sqref="N31"/>
      <pageMargins left="0.7" right="0.7" top="0.75" bottom="0.75" header="0.3" footer="0.3"/>
      <pageSetup paperSize="9" orientation="portrait" r:id="rId17"/>
    </customSheetView>
    <customSheetView guid="{602C8EDB-B9EF-4C85-B0D5-0558C3A0ABAB}" scale="60" hiddenRows="1" hiddenColumns="1">
      <pane xSplit="2" ySplit="11" topLeftCell="C39" activePane="bottomRight" state="frozen"/>
      <selection pane="bottomRight" activeCell="N31" sqref="N31"/>
      <pageMargins left="0.7" right="0.7" top="0.75" bottom="0.75" header="0.3" footer="0.3"/>
      <pageSetup paperSize="9" orientation="portrait" r:id="rId18"/>
    </customSheetView>
    <customSheetView guid="{09C3E205-981E-4A4E-BE89-8B7044192060}" scale="60" hiddenRows="1" hiddenColumns="1">
      <pane xSplit="2" ySplit="11" topLeftCell="Z27" activePane="bottomRight" state="frozen"/>
      <selection pane="bottomRight" activeCell="AA37" sqref="AA37"/>
      <pageMargins left="0.7" right="0.7" top="0.75" bottom="0.75" header="0.3" footer="0.3"/>
      <pageSetup paperSize="9" orientation="portrait" r:id="rId19"/>
    </customSheetView>
  </customSheetViews>
  <mergeCells count="20">
    <mergeCell ref="A86:AF86"/>
    <mergeCell ref="A10:AF10"/>
    <mergeCell ref="A23:AF23"/>
    <mergeCell ref="A59:AF59"/>
    <mergeCell ref="AF6:AF7"/>
    <mergeCell ref="A4:AF4"/>
    <mergeCell ref="A6:A7"/>
    <mergeCell ref="F6:G6"/>
    <mergeCell ref="H6:I6"/>
    <mergeCell ref="J6:K6"/>
    <mergeCell ref="L6:M6"/>
    <mergeCell ref="N6:O6"/>
    <mergeCell ref="P6:Q6"/>
    <mergeCell ref="R6:S6"/>
    <mergeCell ref="T6:U6"/>
    <mergeCell ref="V6:W6"/>
    <mergeCell ref="X6:Y6"/>
    <mergeCell ref="Z6:AA6"/>
    <mergeCell ref="AB6:AC6"/>
    <mergeCell ref="AD6:AE6"/>
  </mergeCells>
  <hyperlinks>
    <hyperlink ref="A4:AF4" location="Оглавление!A1" display="Комплексный план (сетевой график) по реализации муниципальной программы  &quot;Развитие жилищной сферы в городе Когалыме&quot;"/>
  </hyperlinks>
  <pageMargins left="0.7" right="0.7" top="0.75" bottom="0.75" header="0.3" footer="0.3"/>
  <pageSetup paperSize="9" orientation="portrait" r:id="rId2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57"/>
  <sheetViews>
    <sheetView zoomScale="70" zoomScaleNormal="70" workbookViewId="0">
      <pane xSplit="4" ySplit="10" topLeftCell="V125" activePane="bottomRight" state="frozen"/>
      <selection pane="topRight" activeCell="E1" sqref="E1"/>
      <selection pane="bottomLeft" activeCell="A11" sqref="A11"/>
      <selection pane="bottomRight" activeCell="AH136" sqref="AH136"/>
    </sheetView>
  </sheetViews>
  <sheetFormatPr defaultColWidth="9.140625" defaultRowHeight="15" x14ac:dyDescent="0.25"/>
  <cols>
    <col min="1" max="1" width="43.5703125" style="496" customWidth="1"/>
    <col min="2" max="2" width="18" style="433" customWidth="1"/>
    <col min="3" max="3" width="14.7109375" style="433" customWidth="1"/>
    <col min="4" max="4" width="17.140625" style="433" customWidth="1"/>
    <col min="5" max="5" width="17.85546875" style="433" customWidth="1"/>
    <col min="6" max="6" width="12.140625" style="433" customWidth="1"/>
    <col min="7" max="7" width="10.85546875" style="433" customWidth="1"/>
    <col min="8" max="8" width="11.42578125" style="433" customWidth="1"/>
    <col min="9" max="9" width="14.7109375" style="433" customWidth="1"/>
    <col min="10" max="10" width="12.42578125" style="433" customWidth="1"/>
    <col min="11" max="11" width="13" style="433" customWidth="1"/>
    <col min="12" max="31" width="11.5703125" style="433" customWidth="1"/>
    <col min="32" max="32" width="58.28515625" style="433" customWidth="1"/>
    <col min="33" max="16384" width="9.140625" style="433"/>
  </cols>
  <sheetData>
    <row r="1" spans="1:33" ht="12.75" customHeight="1" x14ac:dyDescent="0.25">
      <c r="A1" s="426"/>
      <c r="B1" s="427"/>
      <c r="C1" s="427"/>
      <c r="D1" s="427"/>
      <c r="E1" s="427"/>
      <c r="F1" s="427"/>
      <c r="G1" s="427"/>
      <c r="H1" s="428"/>
      <c r="I1" s="428"/>
      <c r="J1" s="429"/>
      <c r="K1" s="428"/>
      <c r="L1" s="428"/>
      <c r="M1" s="429"/>
      <c r="N1" s="428"/>
      <c r="O1" s="428"/>
      <c r="P1" s="429"/>
      <c r="Q1" s="428"/>
      <c r="R1" s="428"/>
      <c r="S1" s="428"/>
      <c r="T1" s="430"/>
      <c r="U1" s="430"/>
      <c r="V1" s="430"/>
      <c r="W1" s="430"/>
      <c r="X1" s="430"/>
      <c r="Y1" s="430"/>
      <c r="Z1" s="430"/>
      <c r="AA1" s="430"/>
      <c r="AB1" s="431"/>
      <c r="AC1" s="431"/>
      <c r="AD1" s="431"/>
      <c r="AE1" s="428"/>
      <c r="AF1" s="432"/>
    </row>
    <row r="2" spans="1:33" ht="20.25" x14ac:dyDescent="0.25">
      <c r="A2" s="1050" t="s">
        <v>0</v>
      </c>
      <c r="B2" s="1050"/>
      <c r="C2" s="1050"/>
      <c r="D2" s="1050"/>
      <c r="E2" s="1050"/>
      <c r="F2" s="1050"/>
      <c r="G2" s="1050"/>
      <c r="H2" s="1050"/>
      <c r="I2" s="1050"/>
      <c r="J2" s="1050"/>
      <c r="K2" s="1050"/>
      <c r="L2" s="1050"/>
      <c r="M2" s="1050"/>
      <c r="N2" s="1050"/>
      <c r="O2" s="1050"/>
      <c r="P2" s="1050"/>
      <c r="Q2" s="1050"/>
      <c r="R2" s="434"/>
      <c r="S2" s="434"/>
      <c r="T2" s="434"/>
      <c r="U2" s="434"/>
      <c r="V2" s="434"/>
      <c r="W2" s="434"/>
      <c r="X2" s="434"/>
      <c r="Y2" s="434"/>
      <c r="Z2" s="434"/>
      <c r="AA2" s="434"/>
      <c r="AB2" s="434"/>
      <c r="AC2" s="434"/>
      <c r="AD2" s="434"/>
      <c r="AE2" s="434"/>
      <c r="AF2" s="434"/>
    </row>
    <row r="3" spans="1:33" ht="30.75" customHeight="1" x14ac:dyDescent="0.25">
      <c r="A3" s="1001" t="s">
        <v>333</v>
      </c>
      <c r="B3" s="1001"/>
      <c r="C3" s="1001"/>
      <c r="D3" s="1001"/>
      <c r="E3" s="1001"/>
      <c r="F3" s="1001"/>
      <c r="G3" s="1001"/>
      <c r="H3" s="1001"/>
      <c r="I3" s="1001"/>
      <c r="J3" s="1001"/>
      <c r="K3" s="1001"/>
      <c r="L3" s="1001"/>
      <c r="M3" s="1001"/>
      <c r="N3" s="1001"/>
      <c r="O3" s="1001"/>
      <c r="P3" s="1001"/>
      <c r="Q3" s="1001"/>
      <c r="R3" s="435"/>
      <c r="S3" s="435"/>
      <c r="T3" s="435"/>
      <c r="U3" s="435"/>
      <c r="V3" s="435"/>
      <c r="W3" s="435"/>
      <c r="X3" s="435"/>
      <c r="Y3" s="435"/>
      <c r="Z3" s="435"/>
      <c r="AA3" s="435"/>
      <c r="AB3" s="436"/>
      <c r="AC3" s="437"/>
      <c r="AD3" s="437"/>
      <c r="AE3" s="436" t="s">
        <v>1</v>
      </c>
      <c r="AF3" s="437"/>
    </row>
    <row r="4" spans="1:33" x14ac:dyDescent="0.25">
      <c r="A4" s="1051" t="s">
        <v>2</v>
      </c>
      <c r="B4" s="1054" t="s">
        <v>3</v>
      </c>
      <c r="C4" s="1054" t="s">
        <v>3</v>
      </c>
      <c r="D4" s="1054" t="s">
        <v>4</v>
      </c>
      <c r="E4" s="1054" t="s">
        <v>5</v>
      </c>
      <c r="F4" s="1056" t="s">
        <v>6</v>
      </c>
      <c r="G4" s="1057"/>
      <c r="H4" s="1056" t="s">
        <v>7</v>
      </c>
      <c r="I4" s="1057"/>
      <c r="J4" s="1056" t="s">
        <v>8</v>
      </c>
      <c r="K4" s="1057"/>
      <c r="L4" s="1056" t="s">
        <v>9</v>
      </c>
      <c r="M4" s="1057"/>
      <c r="N4" s="1056" t="s">
        <v>10</v>
      </c>
      <c r="O4" s="1057"/>
      <c r="P4" s="1056" t="s">
        <v>11</v>
      </c>
      <c r="Q4" s="1057"/>
      <c r="R4" s="1056" t="s">
        <v>12</v>
      </c>
      <c r="S4" s="1057"/>
      <c r="T4" s="1056" t="s">
        <v>13</v>
      </c>
      <c r="U4" s="1057"/>
      <c r="V4" s="1056" t="s">
        <v>14</v>
      </c>
      <c r="W4" s="1057"/>
      <c r="X4" s="1056" t="s">
        <v>15</v>
      </c>
      <c r="Y4" s="1057"/>
      <c r="Z4" s="1056" t="s">
        <v>16</v>
      </c>
      <c r="AA4" s="1057"/>
      <c r="AB4" s="1056" t="s">
        <v>17</v>
      </c>
      <c r="AC4" s="1057"/>
      <c r="AD4" s="1056" t="s">
        <v>18</v>
      </c>
      <c r="AE4" s="1057"/>
      <c r="AF4" s="1060" t="s">
        <v>19</v>
      </c>
    </row>
    <row r="5" spans="1:33" ht="21" customHeight="1" x14ac:dyDescent="0.25">
      <c r="A5" s="1052"/>
      <c r="B5" s="1055"/>
      <c r="C5" s="1055"/>
      <c r="D5" s="1055"/>
      <c r="E5" s="1055"/>
      <c r="F5" s="1058"/>
      <c r="G5" s="1059"/>
      <c r="H5" s="1058"/>
      <c r="I5" s="1059"/>
      <c r="J5" s="1058"/>
      <c r="K5" s="1059"/>
      <c r="L5" s="1058"/>
      <c r="M5" s="1059"/>
      <c r="N5" s="1058"/>
      <c r="O5" s="1059"/>
      <c r="P5" s="1058"/>
      <c r="Q5" s="1059"/>
      <c r="R5" s="1058"/>
      <c r="S5" s="1059"/>
      <c r="T5" s="1058"/>
      <c r="U5" s="1059"/>
      <c r="V5" s="1058"/>
      <c r="W5" s="1059"/>
      <c r="X5" s="1058"/>
      <c r="Y5" s="1059"/>
      <c r="Z5" s="1058"/>
      <c r="AA5" s="1059"/>
      <c r="AB5" s="1058"/>
      <c r="AC5" s="1059"/>
      <c r="AD5" s="1058"/>
      <c r="AE5" s="1059"/>
      <c r="AF5" s="1061"/>
    </row>
    <row r="6" spans="1:33" ht="64.5" customHeight="1" x14ac:dyDescent="0.25">
      <c r="A6" s="1053"/>
      <c r="B6" s="438">
        <v>2024</v>
      </c>
      <c r="C6" s="497">
        <v>45474</v>
      </c>
      <c r="D6" s="439">
        <f>C6</f>
        <v>45474</v>
      </c>
      <c r="E6" s="439">
        <f>C6</f>
        <v>45474</v>
      </c>
      <c r="F6" s="440" t="s">
        <v>20</v>
      </c>
      <c r="G6" s="440" t="s">
        <v>21</v>
      </c>
      <c r="H6" s="440" t="s">
        <v>22</v>
      </c>
      <c r="I6" s="440" t="s">
        <v>23</v>
      </c>
      <c r="J6" s="440" t="s">
        <v>22</v>
      </c>
      <c r="K6" s="440" t="s">
        <v>23</v>
      </c>
      <c r="L6" s="440" t="s">
        <v>22</v>
      </c>
      <c r="M6" s="440" t="s">
        <v>23</v>
      </c>
      <c r="N6" s="440" t="s">
        <v>22</v>
      </c>
      <c r="O6" s="440" t="s">
        <v>23</v>
      </c>
      <c r="P6" s="440" t="s">
        <v>22</v>
      </c>
      <c r="Q6" s="440" t="s">
        <v>23</v>
      </c>
      <c r="R6" s="440" t="s">
        <v>22</v>
      </c>
      <c r="S6" s="440" t="s">
        <v>23</v>
      </c>
      <c r="T6" s="440" t="s">
        <v>22</v>
      </c>
      <c r="U6" s="440" t="s">
        <v>23</v>
      </c>
      <c r="V6" s="440" t="s">
        <v>22</v>
      </c>
      <c r="W6" s="440" t="s">
        <v>23</v>
      </c>
      <c r="X6" s="440" t="s">
        <v>22</v>
      </c>
      <c r="Y6" s="440" t="s">
        <v>23</v>
      </c>
      <c r="Z6" s="440" t="s">
        <v>22</v>
      </c>
      <c r="AA6" s="440" t="s">
        <v>23</v>
      </c>
      <c r="AB6" s="440" t="s">
        <v>22</v>
      </c>
      <c r="AC6" s="440" t="s">
        <v>23</v>
      </c>
      <c r="AD6" s="440" t="s">
        <v>22</v>
      </c>
      <c r="AE6" s="440" t="s">
        <v>23</v>
      </c>
      <c r="AF6" s="1062"/>
    </row>
    <row r="7" spans="1:33" ht="18.75" x14ac:dyDescent="0.25">
      <c r="A7" s="441">
        <v>1</v>
      </c>
      <c r="B7" s="442">
        <v>2</v>
      </c>
      <c r="C7" s="442">
        <v>3</v>
      </c>
      <c r="D7" s="442">
        <v>4</v>
      </c>
      <c r="E7" s="442">
        <v>5</v>
      </c>
      <c r="F7" s="442">
        <v>6</v>
      </c>
      <c r="G7" s="442">
        <v>7</v>
      </c>
      <c r="H7" s="442">
        <v>8</v>
      </c>
      <c r="I7" s="442">
        <v>9</v>
      </c>
      <c r="J7" s="442">
        <v>10</v>
      </c>
      <c r="K7" s="442">
        <v>11</v>
      </c>
      <c r="L7" s="442">
        <v>12</v>
      </c>
      <c r="M7" s="442">
        <v>13</v>
      </c>
      <c r="N7" s="442">
        <v>14</v>
      </c>
      <c r="O7" s="442">
        <v>15</v>
      </c>
      <c r="P7" s="442">
        <v>16</v>
      </c>
      <c r="Q7" s="442">
        <v>17</v>
      </c>
      <c r="R7" s="442">
        <v>18</v>
      </c>
      <c r="S7" s="442">
        <v>19</v>
      </c>
      <c r="T7" s="442">
        <v>20</v>
      </c>
      <c r="U7" s="442">
        <v>21</v>
      </c>
      <c r="V7" s="442">
        <v>22</v>
      </c>
      <c r="W7" s="442">
        <v>23</v>
      </c>
      <c r="X7" s="442">
        <v>24</v>
      </c>
      <c r="Y7" s="442">
        <v>25</v>
      </c>
      <c r="Z7" s="442">
        <v>26</v>
      </c>
      <c r="AA7" s="442">
        <v>27</v>
      </c>
      <c r="AB7" s="442">
        <v>28</v>
      </c>
      <c r="AC7" s="442">
        <v>29</v>
      </c>
      <c r="AD7" s="442">
        <v>30</v>
      </c>
      <c r="AE7" s="442">
        <v>31</v>
      </c>
      <c r="AF7" s="442">
        <v>32</v>
      </c>
    </row>
    <row r="8" spans="1:33" ht="18.75" x14ac:dyDescent="0.25">
      <c r="A8" s="1069" t="s">
        <v>334</v>
      </c>
      <c r="B8" s="1070"/>
      <c r="C8" s="1070"/>
      <c r="D8" s="1070"/>
      <c r="E8" s="1070"/>
      <c r="F8" s="1070"/>
      <c r="G8" s="1070"/>
      <c r="H8" s="1070"/>
      <c r="I8" s="1070"/>
      <c r="J8" s="1070"/>
      <c r="K8" s="1070"/>
      <c r="L8" s="1070"/>
      <c r="M8" s="1070"/>
      <c r="N8" s="1070"/>
      <c r="O8" s="1070"/>
      <c r="P8" s="1070"/>
      <c r="Q8" s="1070"/>
      <c r="R8" s="1070"/>
      <c r="S8" s="1070"/>
      <c r="T8" s="1070"/>
      <c r="U8" s="1070"/>
      <c r="V8" s="1070"/>
      <c r="W8" s="1070"/>
      <c r="X8" s="1070"/>
      <c r="Y8" s="1070"/>
      <c r="Z8" s="1070"/>
      <c r="AA8" s="1070"/>
      <c r="AB8" s="1070"/>
      <c r="AC8" s="1070"/>
      <c r="AD8" s="1070"/>
      <c r="AE8" s="1071"/>
      <c r="AF8" s="443"/>
    </row>
    <row r="9" spans="1:33" ht="18.75" x14ac:dyDescent="0.3">
      <c r="A9" s="444" t="s">
        <v>54</v>
      </c>
      <c r="B9" s="445"/>
      <c r="C9" s="445"/>
      <c r="D9" s="445"/>
      <c r="E9" s="445"/>
      <c r="F9" s="445"/>
      <c r="G9" s="445"/>
      <c r="H9" s="445"/>
      <c r="I9" s="445"/>
      <c r="J9" s="445"/>
      <c r="K9" s="445"/>
      <c r="L9" s="445"/>
      <c r="M9" s="445"/>
      <c r="N9" s="445"/>
      <c r="O9" s="445"/>
      <c r="P9" s="445"/>
      <c r="Q9" s="445"/>
      <c r="R9" s="445"/>
      <c r="S9" s="445"/>
      <c r="T9" s="445"/>
      <c r="U9" s="445"/>
      <c r="V9" s="445"/>
      <c r="W9" s="445"/>
      <c r="X9" s="445"/>
      <c r="Y9" s="445"/>
      <c r="Z9" s="445"/>
      <c r="AA9" s="445"/>
      <c r="AB9" s="445"/>
      <c r="AC9" s="445"/>
      <c r="AD9" s="445"/>
      <c r="AE9" s="446"/>
      <c r="AF9" s="447"/>
    </row>
    <row r="10" spans="1:33" ht="18.75" x14ac:dyDescent="0.25">
      <c r="A10" s="1063" t="s">
        <v>335</v>
      </c>
      <c r="B10" s="1064"/>
      <c r="C10" s="1064"/>
      <c r="D10" s="1064"/>
      <c r="E10" s="1064"/>
      <c r="F10" s="1064"/>
      <c r="G10" s="1064"/>
      <c r="H10" s="1064"/>
      <c r="I10" s="1064"/>
      <c r="J10" s="1064"/>
      <c r="K10" s="1064"/>
      <c r="L10" s="1064"/>
      <c r="M10" s="1064"/>
      <c r="N10" s="1064"/>
      <c r="O10" s="1064"/>
      <c r="P10" s="1064"/>
      <c r="Q10" s="1064"/>
      <c r="R10" s="1064"/>
      <c r="S10" s="1064"/>
      <c r="T10" s="1064"/>
      <c r="U10" s="1064"/>
      <c r="V10" s="1064"/>
      <c r="W10" s="1064"/>
      <c r="X10" s="1064"/>
      <c r="Y10" s="1064"/>
      <c r="Z10" s="1064"/>
      <c r="AA10" s="1064"/>
      <c r="AB10" s="1064"/>
      <c r="AC10" s="1064"/>
      <c r="AD10" s="1064"/>
      <c r="AE10" s="1065"/>
      <c r="AF10" s="448"/>
    </row>
    <row r="11" spans="1:33" s="452" customFormat="1" ht="18.75" x14ac:dyDescent="0.3">
      <c r="A11" s="449" t="s">
        <v>31</v>
      </c>
      <c r="B11" s="450">
        <f>SUM(B12:B12)</f>
        <v>55430.292999999998</v>
      </c>
      <c r="C11" s="450">
        <f>SUM(C12:C12)</f>
        <v>29164.038999999997</v>
      </c>
      <c r="D11" s="450">
        <f>SUM(D12:D12)</f>
        <v>25446.751</v>
      </c>
      <c r="E11" s="450">
        <f>SUM(E12:E12)</f>
        <v>25446.751</v>
      </c>
      <c r="F11" s="450">
        <f>IFERROR(E11/B11*100,0)</f>
        <v>45.907660996848783</v>
      </c>
      <c r="G11" s="450">
        <f>IFERROR(E11/C11*100,0)</f>
        <v>87.253864253850438</v>
      </c>
      <c r="H11" s="498">
        <f t="shared" ref="H11:AE11" si="0">SUM(H12:H12)</f>
        <v>7237.6039999999994</v>
      </c>
      <c r="I11" s="498">
        <f t="shared" si="0"/>
        <v>4175.2790000000005</v>
      </c>
      <c r="J11" s="498">
        <f t="shared" si="0"/>
        <v>4703.8770000000004</v>
      </c>
      <c r="K11" s="498">
        <f t="shared" si="0"/>
        <v>5381.9040000000005</v>
      </c>
      <c r="L11" s="498">
        <f t="shared" si="0"/>
        <v>3760.3250000000003</v>
      </c>
      <c r="M11" s="498">
        <f t="shared" si="0"/>
        <v>3679.2779999999998</v>
      </c>
      <c r="N11" s="498">
        <f t="shared" si="0"/>
        <v>5461.0149999999994</v>
      </c>
      <c r="O11" s="498">
        <f t="shared" si="0"/>
        <v>3373.585</v>
      </c>
      <c r="P11" s="498">
        <f t="shared" si="0"/>
        <v>4261.3340000000007</v>
      </c>
      <c r="Q11" s="498">
        <f t="shared" si="0"/>
        <v>3712.3330000000001</v>
      </c>
      <c r="R11" s="498">
        <f t="shared" si="0"/>
        <v>3739.884</v>
      </c>
      <c r="S11" s="498">
        <f t="shared" si="0"/>
        <v>5124.3719999999994</v>
      </c>
      <c r="T11" s="498">
        <f t="shared" si="0"/>
        <v>5460.4</v>
      </c>
      <c r="U11" s="498">
        <f t="shared" si="0"/>
        <v>0</v>
      </c>
      <c r="V11" s="498">
        <f t="shared" si="0"/>
        <v>4302.0499999999993</v>
      </c>
      <c r="W11" s="498">
        <f t="shared" si="0"/>
        <v>0</v>
      </c>
      <c r="X11" s="498">
        <f t="shared" si="0"/>
        <v>3741.76</v>
      </c>
      <c r="Y11" s="498">
        <f t="shared" si="0"/>
        <v>0</v>
      </c>
      <c r="Z11" s="498">
        <f t="shared" si="0"/>
        <v>5458.6509999999998</v>
      </c>
      <c r="AA11" s="498">
        <f t="shared" si="0"/>
        <v>0</v>
      </c>
      <c r="AB11" s="498">
        <f t="shared" si="0"/>
        <v>4262.7449999999999</v>
      </c>
      <c r="AC11" s="498">
        <f t="shared" si="0"/>
        <v>0</v>
      </c>
      <c r="AD11" s="498">
        <f t="shared" si="0"/>
        <v>3040.6480000000001</v>
      </c>
      <c r="AE11" s="498">
        <f t="shared" si="0"/>
        <v>0</v>
      </c>
      <c r="AF11" s="451"/>
    </row>
    <row r="12" spans="1:33" ht="18.75" x14ac:dyDescent="0.3">
      <c r="A12" s="453" t="s">
        <v>33</v>
      </c>
      <c r="B12" s="454">
        <f>SUM(B15,B18,B22,B26,B30)</f>
        <v>55430.292999999998</v>
      </c>
      <c r="C12" s="454">
        <f>SUM(C15,C18,C22,C26,C30)</f>
        <v>29164.038999999997</v>
      </c>
      <c r="D12" s="454">
        <f>SUM(D15,D18,D22,D26,D30)</f>
        <v>25446.751</v>
      </c>
      <c r="E12" s="454">
        <f>SUM(E15,E18,E22,E26,E30)</f>
        <v>25446.751</v>
      </c>
      <c r="F12" s="454">
        <f>IFERROR(E12/B12*100,0)</f>
        <v>45.907660996848783</v>
      </c>
      <c r="G12" s="454">
        <f>IFERROR(E12/C12*100,0)</f>
        <v>87.253864253850438</v>
      </c>
      <c r="H12" s="499">
        <f t="shared" ref="H12:AE12" si="1">SUM(H15,H18,H22,H26,H30)</f>
        <v>7237.6039999999994</v>
      </c>
      <c r="I12" s="499">
        <f t="shared" si="1"/>
        <v>4175.2790000000005</v>
      </c>
      <c r="J12" s="499">
        <f t="shared" si="1"/>
        <v>4703.8770000000004</v>
      </c>
      <c r="K12" s="499">
        <f t="shared" si="1"/>
        <v>5381.9040000000005</v>
      </c>
      <c r="L12" s="499">
        <f t="shared" si="1"/>
        <v>3760.3250000000003</v>
      </c>
      <c r="M12" s="499">
        <f t="shared" si="1"/>
        <v>3679.2779999999998</v>
      </c>
      <c r="N12" s="499">
        <f t="shared" si="1"/>
        <v>5461.0149999999994</v>
      </c>
      <c r="O12" s="499">
        <f t="shared" si="1"/>
        <v>3373.585</v>
      </c>
      <c r="P12" s="499">
        <f t="shared" si="1"/>
        <v>4261.3340000000007</v>
      </c>
      <c r="Q12" s="499">
        <f t="shared" si="1"/>
        <v>3712.3330000000001</v>
      </c>
      <c r="R12" s="499">
        <f t="shared" si="1"/>
        <v>3739.884</v>
      </c>
      <c r="S12" s="499">
        <f t="shared" si="1"/>
        <v>5124.3719999999994</v>
      </c>
      <c r="T12" s="499">
        <f t="shared" si="1"/>
        <v>5460.4</v>
      </c>
      <c r="U12" s="499">
        <f t="shared" si="1"/>
        <v>0</v>
      </c>
      <c r="V12" s="499">
        <f t="shared" si="1"/>
        <v>4302.0499999999993</v>
      </c>
      <c r="W12" s="499">
        <f t="shared" si="1"/>
        <v>0</v>
      </c>
      <c r="X12" s="499">
        <f t="shared" si="1"/>
        <v>3741.76</v>
      </c>
      <c r="Y12" s="499">
        <f t="shared" si="1"/>
        <v>0</v>
      </c>
      <c r="Z12" s="499">
        <f t="shared" si="1"/>
        <v>5458.6509999999998</v>
      </c>
      <c r="AA12" s="499">
        <f t="shared" si="1"/>
        <v>0</v>
      </c>
      <c r="AB12" s="499">
        <f t="shared" si="1"/>
        <v>4262.7449999999999</v>
      </c>
      <c r="AC12" s="499">
        <f t="shared" si="1"/>
        <v>0</v>
      </c>
      <c r="AD12" s="499">
        <f t="shared" si="1"/>
        <v>3040.6480000000001</v>
      </c>
      <c r="AE12" s="499">
        <f t="shared" si="1"/>
        <v>0</v>
      </c>
      <c r="AF12" s="448"/>
    </row>
    <row r="13" spans="1:33" ht="18.75" x14ac:dyDescent="0.25">
      <c r="A13" s="1063" t="s">
        <v>336</v>
      </c>
      <c r="B13" s="1064"/>
      <c r="C13" s="1064"/>
      <c r="D13" s="1064"/>
      <c r="E13" s="1064"/>
      <c r="F13" s="1064"/>
      <c r="G13" s="1064"/>
      <c r="H13" s="1064"/>
      <c r="I13" s="1064"/>
      <c r="J13" s="1064"/>
      <c r="K13" s="1064"/>
      <c r="L13" s="1064"/>
      <c r="M13" s="1064"/>
      <c r="N13" s="1064"/>
      <c r="O13" s="1064"/>
      <c r="P13" s="1064"/>
      <c r="Q13" s="1064"/>
      <c r="R13" s="1064"/>
      <c r="S13" s="1064"/>
      <c r="T13" s="1064"/>
      <c r="U13" s="1064"/>
      <c r="V13" s="1064"/>
      <c r="W13" s="1064"/>
      <c r="X13" s="1064"/>
      <c r="Y13" s="1064"/>
      <c r="Z13" s="1064"/>
      <c r="AA13" s="1064"/>
      <c r="AB13" s="1064"/>
      <c r="AC13" s="1064"/>
      <c r="AD13" s="1064"/>
      <c r="AE13" s="1065"/>
      <c r="AF13" s="455"/>
    </row>
    <row r="14" spans="1:33" s="452" customFormat="1" ht="18.75" x14ac:dyDescent="0.3">
      <c r="A14" s="449" t="s">
        <v>31</v>
      </c>
      <c r="B14" s="450">
        <f>SUM(B15:B15)</f>
        <v>114.995</v>
      </c>
      <c r="C14" s="450">
        <f>SUM(C15:C15)</f>
        <v>49.977000000000004</v>
      </c>
      <c r="D14" s="450">
        <f>SUM(D15:D15)</f>
        <v>41.385999999999996</v>
      </c>
      <c r="E14" s="450">
        <f>SUM(E15:E15)</f>
        <v>41.385999999999996</v>
      </c>
      <c r="F14" s="450">
        <f>IFERROR(E14/B14*100,0)</f>
        <v>35.98939084308013</v>
      </c>
      <c r="G14" s="450">
        <f>IFERROR(E14/C14*100,0)</f>
        <v>82.810092642615587</v>
      </c>
      <c r="H14" s="498">
        <f t="shared" ref="H14:AE14" si="2">SUM(H15:H15)</f>
        <v>0</v>
      </c>
      <c r="I14" s="498">
        <f t="shared" si="2"/>
        <v>0</v>
      </c>
      <c r="J14" s="498">
        <f t="shared" si="2"/>
        <v>0</v>
      </c>
      <c r="K14" s="498">
        <f t="shared" si="2"/>
        <v>0</v>
      </c>
      <c r="L14" s="498">
        <f t="shared" si="2"/>
        <v>19.495000000000001</v>
      </c>
      <c r="M14" s="498">
        <f t="shared" si="2"/>
        <v>0</v>
      </c>
      <c r="N14" s="498">
        <f t="shared" si="2"/>
        <v>9.2780000000000005</v>
      </c>
      <c r="O14" s="498">
        <f t="shared" si="2"/>
        <v>22.062999999999999</v>
      </c>
      <c r="P14" s="498">
        <f t="shared" si="2"/>
        <v>11.349</v>
      </c>
      <c r="Q14" s="498">
        <f t="shared" si="2"/>
        <v>8.2119999999999997</v>
      </c>
      <c r="R14" s="498">
        <f t="shared" si="2"/>
        <v>9.8550000000000004</v>
      </c>
      <c r="S14" s="498">
        <f t="shared" si="2"/>
        <v>11.111000000000001</v>
      </c>
      <c r="T14" s="498">
        <f t="shared" si="2"/>
        <v>8.6720000000000006</v>
      </c>
      <c r="U14" s="498">
        <f t="shared" si="2"/>
        <v>0</v>
      </c>
      <c r="V14" s="498">
        <f t="shared" si="2"/>
        <v>15.365</v>
      </c>
      <c r="W14" s="498">
        <f t="shared" si="2"/>
        <v>0</v>
      </c>
      <c r="X14" s="498">
        <f t="shared" si="2"/>
        <v>12.031000000000001</v>
      </c>
      <c r="Y14" s="498">
        <f t="shared" si="2"/>
        <v>0</v>
      </c>
      <c r="Z14" s="498">
        <f t="shared" si="2"/>
        <v>6.81</v>
      </c>
      <c r="AA14" s="498">
        <f t="shared" si="2"/>
        <v>0</v>
      </c>
      <c r="AB14" s="498">
        <f t="shared" si="2"/>
        <v>12.56</v>
      </c>
      <c r="AC14" s="498">
        <f t="shared" si="2"/>
        <v>0</v>
      </c>
      <c r="AD14" s="498">
        <f t="shared" si="2"/>
        <v>9.58</v>
      </c>
      <c r="AE14" s="498">
        <f t="shared" si="2"/>
        <v>0</v>
      </c>
      <c r="AF14" s="456"/>
      <c r="AG14" s="720"/>
    </row>
    <row r="15" spans="1:33" ht="21" x14ac:dyDescent="0.35">
      <c r="A15" s="453" t="s">
        <v>33</v>
      </c>
      <c r="B15" s="454">
        <f>SUM(H15,J15,L15,N15,P15,R15,T15,V15,X15,Z15,AB15,AD15)</f>
        <v>114.995</v>
      </c>
      <c r="C15" s="454">
        <f>H15+J15+L15+N15+P15+R15</f>
        <v>49.977000000000004</v>
      </c>
      <c r="D15" s="454">
        <f>E15</f>
        <v>41.385999999999996</v>
      </c>
      <c r="E15" s="454">
        <f>SUM(I15,K15,M15,O15,Q15,S15,U15,W15,Y15,AA15,AC15,AE15)</f>
        <v>41.385999999999996</v>
      </c>
      <c r="F15" s="454">
        <f>IFERROR(E15/B15*100,0)</f>
        <v>35.98939084308013</v>
      </c>
      <c r="G15" s="454">
        <f>IFERROR(E15/C15*100,0)</f>
        <v>82.810092642615587</v>
      </c>
      <c r="H15" s="499">
        <v>0</v>
      </c>
      <c r="I15" s="499">
        <v>0</v>
      </c>
      <c r="J15" s="499">
        <v>0</v>
      </c>
      <c r="K15" s="499">
        <v>0</v>
      </c>
      <c r="L15" s="499">
        <v>19.495000000000001</v>
      </c>
      <c r="M15" s="499">
        <v>0</v>
      </c>
      <c r="N15" s="499">
        <v>9.2780000000000005</v>
      </c>
      <c r="O15" s="499">
        <v>22.062999999999999</v>
      </c>
      <c r="P15" s="499">
        <v>11.349</v>
      </c>
      <c r="Q15" s="499">
        <v>8.2119999999999997</v>
      </c>
      <c r="R15" s="499">
        <v>9.8550000000000004</v>
      </c>
      <c r="S15" s="499">
        <v>11.111000000000001</v>
      </c>
      <c r="T15" s="499">
        <v>8.6720000000000006</v>
      </c>
      <c r="U15" s="499">
        <v>0</v>
      </c>
      <c r="V15" s="499">
        <v>15.365</v>
      </c>
      <c r="W15" s="499">
        <v>0</v>
      </c>
      <c r="X15" s="499">
        <v>12.031000000000001</v>
      </c>
      <c r="Y15" s="499">
        <v>0</v>
      </c>
      <c r="Z15" s="499">
        <v>6.81</v>
      </c>
      <c r="AA15" s="499">
        <v>0</v>
      </c>
      <c r="AB15" s="499">
        <v>12.56</v>
      </c>
      <c r="AC15" s="499">
        <v>0</v>
      </c>
      <c r="AD15" s="499">
        <v>9.58</v>
      </c>
      <c r="AE15" s="499">
        <v>0</v>
      </c>
      <c r="AF15" s="455"/>
      <c r="AG15" s="719"/>
    </row>
    <row r="16" spans="1:33" ht="21" x14ac:dyDescent="0.35">
      <c r="A16" s="1063" t="s">
        <v>337</v>
      </c>
      <c r="B16" s="1064"/>
      <c r="C16" s="1064"/>
      <c r="D16" s="1064"/>
      <c r="E16" s="1064"/>
      <c r="F16" s="1064"/>
      <c r="G16" s="1064"/>
      <c r="H16" s="1064"/>
      <c r="I16" s="1064"/>
      <c r="J16" s="1064"/>
      <c r="K16" s="1064"/>
      <c r="L16" s="1064"/>
      <c r="M16" s="1064"/>
      <c r="N16" s="1064"/>
      <c r="O16" s="1064"/>
      <c r="P16" s="1064"/>
      <c r="Q16" s="1064"/>
      <c r="R16" s="1064"/>
      <c r="S16" s="1064"/>
      <c r="T16" s="1064"/>
      <c r="U16" s="1064"/>
      <c r="V16" s="1064"/>
      <c r="W16" s="1064"/>
      <c r="X16" s="1064"/>
      <c r="Y16" s="1064"/>
      <c r="Z16" s="1064"/>
      <c r="AA16" s="1064"/>
      <c r="AB16" s="1064"/>
      <c r="AC16" s="1064"/>
      <c r="AD16" s="1064"/>
      <c r="AE16" s="1065"/>
      <c r="AF16" s="455"/>
      <c r="AG16" s="719"/>
    </row>
    <row r="17" spans="1:33" s="452" customFormat="1" ht="21" x14ac:dyDescent="0.35">
      <c r="A17" s="449" t="s">
        <v>31</v>
      </c>
      <c r="B17" s="450">
        <f>SUM(B18:B18)</f>
        <v>0</v>
      </c>
      <c r="C17" s="450">
        <f>SUM(C18:C18)</f>
        <v>0</v>
      </c>
      <c r="D17" s="450">
        <f>SUM(D18:D18)</f>
        <v>0</v>
      </c>
      <c r="E17" s="450">
        <f>SUM(E18:E18)</f>
        <v>0</v>
      </c>
      <c r="F17" s="450">
        <f>IFERROR(E17/B17*100,0)</f>
        <v>0</v>
      </c>
      <c r="G17" s="450">
        <f>IFERROR(E17/C17*100,0)</f>
        <v>0</v>
      </c>
      <c r="H17" s="498">
        <f t="shared" ref="H17:AE17" si="3">SUM(H18:H18)</f>
        <v>0</v>
      </c>
      <c r="I17" s="498">
        <f t="shared" si="3"/>
        <v>0</v>
      </c>
      <c r="J17" s="498">
        <f t="shared" si="3"/>
        <v>0</v>
      </c>
      <c r="K17" s="498">
        <f t="shared" si="3"/>
        <v>0</v>
      </c>
      <c r="L17" s="498">
        <f t="shared" si="3"/>
        <v>0</v>
      </c>
      <c r="M17" s="498">
        <f t="shared" si="3"/>
        <v>0</v>
      </c>
      <c r="N17" s="498">
        <f t="shared" si="3"/>
        <v>0</v>
      </c>
      <c r="O17" s="498">
        <f t="shared" si="3"/>
        <v>0</v>
      </c>
      <c r="P17" s="498">
        <f t="shared" si="3"/>
        <v>0</v>
      </c>
      <c r="Q17" s="498">
        <f t="shared" si="3"/>
        <v>0</v>
      </c>
      <c r="R17" s="498">
        <f t="shared" si="3"/>
        <v>0</v>
      </c>
      <c r="S17" s="498">
        <f t="shared" si="3"/>
        <v>0</v>
      </c>
      <c r="T17" s="498">
        <f t="shared" si="3"/>
        <v>0</v>
      </c>
      <c r="U17" s="498">
        <f t="shared" si="3"/>
        <v>0</v>
      </c>
      <c r="V17" s="498">
        <f t="shared" si="3"/>
        <v>0</v>
      </c>
      <c r="W17" s="498">
        <f t="shared" si="3"/>
        <v>0</v>
      </c>
      <c r="X17" s="498">
        <f t="shared" si="3"/>
        <v>0</v>
      </c>
      <c r="Y17" s="498">
        <f t="shared" si="3"/>
        <v>0</v>
      </c>
      <c r="Z17" s="498">
        <f t="shared" si="3"/>
        <v>0</v>
      </c>
      <c r="AA17" s="498">
        <f t="shared" si="3"/>
        <v>0</v>
      </c>
      <c r="AB17" s="498">
        <f t="shared" si="3"/>
        <v>0</v>
      </c>
      <c r="AC17" s="498">
        <f t="shared" si="3"/>
        <v>0</v>
      </c>
      <c r="AD17" s="498">
        <f t="shared" si="3"/>
        <v>0</v>
      </c>
      <c r="AE17" s="498">
        <f t="shared" si="3"/>
        <v>0</v>
      </c>
      <c r="AF17" s="456"/>
      <c r="AG17" s="719"/>
    </row>
    <row r="18" spans="1:33" ht="21" x14ac:dyDescent="0.35">
      <c r="A18" s="453" t="s">
        <v>33</v>
      </c>
      <c r="B18" s="454">
        <f>SUM(H18,J18,L18,N18,P18,R18,T18,V18,X18,Z18,AB18,AD18)</f>
        <v>0</v>
      </c>
      <c r="C18" s="454">
        <f>SUM(H18+J18)</f>
        <v>0</v>
      </c>
      <c r="D18" s="454">
        <f>E18</f>
        <v>0</v>
      </c>
      <c r="E18" s="454">
        <f>SUM(I18,K18,M18,O18,Q18,S18,U18,W18,Y18,AA18,AC18,AE18)</f>
        <v>0</v>
      </c>
      <c r="F18" s="454">
        <f>IFERROR(E18/B18*100,0)</f>
        <v>0</v>
      </c>
      <c r="G18" s="454">
        <f>IFERROR(E18/C18*100,0)</f>
        <v>0</v>
      </c>
      <c r="H18" s="499">
        <v>0</v>
      </c>
      <c r="I18" s="499">
        <v>0</v>
      </c>
      <c r="J18" s="499">
        <v>0</v>
      </c>
      <c r="K18" s="499">
        <v>0</v>
      </c>
      <c r="L18" s="499">
        <v>0</v>
      </c>
      <c r="M18" s="499">
        <v>0</v>
      </c>
      <c r="N18" s="499">
        <v>0</v>
      </c>
      <c r="O18" s="499">
        <v>0</v>
      </c>
      <c r="P18" s="499">
        <v>0</v>
      </c>
      <c r="Q18" s="499">
        <v>0</v>
      </c>
      <c r="R18" s="499">
        <v>0</v>
      </c>
      <c r="S18" s="499">
        <v>0</v>
      </c>
      <c r="T18" s="499">
        <v>0</v>
      </c>
      <c r="U18" s="499">
        <v>0</v>
      </c>
      <c r="V18" s="499">
        <v>0</v>
      </c>
      <c r="W18" s="499">
        <v>0</v>
      </c>
      <c r="X18" s="499">
        <v>0</v>
      </c>
      <c r="Y18" s="499">
        <v>0</v>
      </c>
      <c r="Z18" s="499">
        <v>0</v>
      </c>
      <c r="AA18" s="499">
        <v>0</v>
      </c>
      <c r="AB18" s="499">
        <v>0</v>
      </c>
      <c r="AC18" s="499">
        <v>0</v>
      </c>
      <c r="AD18" s="499">
        <v>0</v>
      </c>
      <c r="AE18" s="499">
        <v>0</v>
      </c>
      <c r="AF18" s="455"/>
      <c r="AG18" s="719"/>
    </row>
    <row r="19" spans="1:33" ht="21" x14ac:dyDescent="0.35">
      <c r="A19" s="1063" t="s">
        <v>338</v>
      </c>
      <c r="B19" s="1064"/>
      <c r="C19" s="1064"/>
      <c r="D19" s="1064"/>
      <c r="E19" s="1064"/>
      <c r="F19" s="1064"/>
      <c r="G19" s="1064"/>
      <c r="H19" s="1064"/>
      <c r="I19" s="1064"/>
      <c r="J19" s="1064"/>
      <c r="K19" s="1064"/>
      <c r="L19" s="1064"/>
      <c r="M19" s="1064"/>
      <c r="N19" s="1064"/>
      <c r="O19" s="1064"/>
      <c r="P19" s="1064"/>
      <c r="Q19" s="1064"/>
      <c r="R19" s="1064"/>
      <c r="S19" s="1064"/>
      <c r="T19" s="1064"/>
      <c r="U19" s="1064"/>
      <c r="V19" s="1064"/>
      <c r="W19" s="1064"/>
      <c r="X19" s="1064"/>
      <c r="Y19" s="1064"/>
      <c r="Z19" s="1064"/>
      <c r="AA19" s="1064"/>
      <c r="AB19" s="1064"/>
      <c r="AC19" s="1064"/>
      <c r="AD19" s="1064"/>
      <c r="AE19" s="1065"/>
      <c r="AF19" s="457"/>
      <c r="AG19" s="719"/>
    </row>
    <row r="20" spans="1:33" s="452" customFormat="1" ht="56.25" x14ac:dyDescent="0.35">
      <c r="A20" s="595" t="s">
        <v>31</v>
      </c>
      <c r="B20" s="596">
        <f>B21+B22</f>
        <v>27883.842000000001</v>
      </c>
      <c r="C20" s="596">
        <f t="shared" ref="C20:E20" si="4">C21+C22</f>
        <v>14813.133999999998</v>
      </c>
      <c r="D20" s="596">
        <f t="shared" si="4"/>
        <v>12801.007</v>
      </c>
      <c r="E20" s="596">
        <f t="shared" si="4"/>
        <v>12801.007</v>
      </c>
      <c r="F20" s="596">
        <f>IFERROR(E20/B20*100,0)</f>
        <v>45.908332861734046</v>
      </c>
      <c r="G20" s="596">
        <f>IFERROR(E20/C20*100,0)</f>
        <v>86.4166016455397</v>
      </c>
      <c r="H20" s="597">
        <f>H21+H22</f>
        <v>3701.0929999999998</v>
      </c>
      <c r="I20" s="597">
        <f t="shared" ref="I20:AE20" si="5">I21+I22</f>
        <v>2125.4960000000001</v>
      </c>
      <c r="J20" s="597">
        <f t="shared" si="5"/>
        <v>2342.223</v>
      </c>
      <c r="K20" s="597">
        <f t="shared" si="5"/>
        <v>2654.116</v>
      </c>
      <c r="L20" s="597">
        <f t="shared" si="5"/>
        <v>1876.2349999999999</v>
      </c>
      <c r="M20" s="597">
        <f t="shared" si="5"/>
        <v>1791.963</v>
      </c>
      <c r="N20" s="597">
        <f t="shared" si="5"/>
        <v>2727.828</v>
      </c>
      <c r="O20" s="597">
        <f t="shared" si="5"/>
        <v>1789.04</v>
      </c>
      <c r="P20" s="597">
        <f t="shared" si="5"/>
        <v>2300.3200000000002</v>
      </c>
      <c r="Q20" s="597">
        <f t="shared" si="5"/>
        <v>2062.489</v>
      </c>
      <c r="R20" s="597">
        <f t="shared" si="5"/>
        <v>1865.4349999999999</v>
      </c>
      <c r="S20" s="597">
        <f t="shared" si="5"/>
        <v>2377.9029999999998</v>
      </c>
      <c r="T20" s="597">
        <f t="shared" si="5"/>
        <v>2727.8290000000002</v>
      </c>
      <c r="U20" s="597">
        <f t="shared" si="5"/>
        <v>0</v>
      </c>
      <c r="V20" s="597">
        <f t="shared" si="5"/>
        <v>2162.578</v>
      </c>
      <c r="W20" s="597">
        <f t="shared" si="5"/>
        <v>0</v>
      </c>
      <c r="X20" s="597">
        <f t="shared" si="5"/>
        <v>1865.4349999999999</v>
      </c>
      <c r="Y20" s="597">
        <f t="shared" si="5"/>
        <v>0</v>
      </c>
      <c r="Z20" s="597">
        <f t="shared" si="5"/>
        <v>2727.8319999999999</v>
      </c>
      <c r="AA20" s="597">
        <f t="shared" si="5"/>
        <v>0</v>
      </c>
      <c r="AB20" s="597">
        <f t="shared" si="5"/>
        <v>2125.8780000000002</v>
      </c>
      <c r="AC20" s="597">
        <f t="shared" si="5"/>
        <v>0</v>
      </c>
      <c r="AD20" s="597">
        <f t="shared" si="5"/>
        <v>1461.1559999999999</v>
      </c>
      <c r="AE20" s="597">
        <f t="shared" si="5"/>
        <v>0</v>
      </c>
      <c r="AF20" s="457" t="s">
        <v>513</v>
      </c>
      <c r="AG20" s="719"/>
    </row>
    <row r="21" spans="1:33" s="970" customFormat="1" ht="21" x14ac:dyDescent="0.35">
      <c r="A21" s="453" t="s">
        <v>32</v>
      </c>
      <c r="B21" s="599">
        <f>SUM(H21,J21,L21,N21,P21,R21,T21,V21,X21,Z21,AB21,AD21)</f>
        <v>174.44200000000001</v>
      </c>
      <c r="C21" s="599">
        <f>SUM(H21+J21+L21+N21+P21+R21)</f>
        <v>174.44200000000001</v>
      </c>
      <c r="D21" s="599">
        <f>E21</f>
        <v>174.44300000000001</v>
      </c>
      <c r="E21" s="599">
        <f>SUM(I21,K21,M21,O21,Q21,S21,U21,W21,Y21,AA21,AC21,AE21)</f>
        <v>174.44300000000001</v>
      </c>
      <c r="F21" s="599">
        <f>IFERROR(E21/B21*100,0)</f>
        <v>100.00057325644053</v>
      </c>
      <c r="G21" s="599">
        <f>IFERROR(E21/C21*100,0)</f>
        <v>100.00057325644053</v>
      </c>
      <c r="H21" s="600">
        <v>0</v>
      </c>
      <c r="I21" s="600">
        <v>0</v>
      </c>
      <c r="J21" s="600">
        <v>0</v>
      </c>
      <c r="K21" s="600">
        <v>0</v>
      </c>
      <c r="L21" s="600">
        <v>0</v>
      </c>
      <c r="M21" s="600">
        <v>0</v>
      </c>
      <c r="N21" s="600">
        <v>0</v>
      </c>
      <c r="O21" s="600">
        <v>0</v>
      </c>
      <c r="P21" s="600">
        <v>174.44200000000001</v>
      </c>
      <c r="Q21" s="600">
        <v>174.44300000000001</v>
      </c>
      <c r="R21" s="600">
        <v>0</v>
      </c>
      <c r="S21" s="600">
        <v>0</v>
      </c>
      <c r="T21" s="600">
        <v>0</v>
      </c>
      <c r="U21" s="600">
        <v>0</v>
      </c>
      <c r="V21" s="600">
        <v>0</v>
      </c>
      <c r="W21" s="600">
        <v>0</v>
      </c>
      <c r="X21" s="600">
        <v>0</v>
      </c>
      <c r="Y21" s="600">
        <v>0</v>
      </c>
      <c r="Z21" s="600">
        <v>0</v>
      </c>
      <c r="AA21" s="600">
        <v>0</v>
      </c>
      <c r="AB21" s="600">
        <v>0</v>
      </c>
      <c r="AC21" s="600">
        <v>0</v>
      </c>
      <c r="AD21" s="600">
        <v>0</v>
      </c>
      <c r="AE21" s="600">
        <v>0</v>
      </c>
      <c r="AF21" s="457"/>
      <c r="AG21" s="719"/>
    </row>
    <row r="22" spans="1:33" ht="21" x14ac:dyDescent="0.35">
      <c r="A22" s="598" t="s">
        <v>33</v>
      </c>
      <c r="B22" s="599">
        <f>SUM(H22,J22,L22,N22,P22,R22,T22,V22,X22,Z22,AB22,AD22)</f>
        <v>27709.4</v>
      </c>
      <c r="C22" s="599">
        <f>SUM(H22+J22+L22+N22+P22+R22)</f>
        <v>14638.691999999999</v>
      </c>
      <c r="D22" s="599">
        <f>E22</f>
        <v>12626.564</v>
      </c>
      <c r="E22" s="599">
        <f>SUM(I22,K22,M22,O22,Q22,S22,U22,W22,Y22,AA22,AC22,AE22)</f>
        <v>12626.564</v>
      </c>
      <c r="F22" s="599">
        <f>IFERROR(E22/B22*100,0)</f>
        <v>45.567800096718081</v>
      </c>
      <c r="G22" s="599">
        <f>IFERROR(E22/C22*100,0)</f>
        <v>86.25472822298606</v>
      </c>
      <c r="H22" s="600">
        <v>3701.0929999999998</v>
      </c>
      <c r="I22" s="600">
        <v>2125.4960000000001</v>
      </c>
      <c r="J22" s="600">
        <v>2342.223</v>
      </c>
      <c r="K22" s="600">
        <v>2654.116</v>
      </c>
      <c r="L22" s="600">
        <v>1876.2349999999999</v>
      </c>
      <c r="M22" s="600">
        <v>1791.963</v>
      </c>
      <c r="N22" s="600">
        <v>2727.828</v>
      </c>
      <c r="O22" s="600">
        <v>1789.04</v>
      </c>
      <c r="P22" s="600">
        <v>2125.8780000000002</v>
      </c>
      <c r="Q22" s="600">
        <v>1888.046</v>
      </c>
      <c r="R22" s="600">
        <v>1865.4349999999999</v>
      </c>
      <c r="S22" s="600">
        <v>2377.9029999999998</v>
      </c>
      <c r="T22" s="600">
        <v>2727.8290000000002</v>
      </c>
      <c r="U22" s="600">
        <v>0</v>
      </c>
      <c r="V22" s="600">
        <v>2162.578</v>
      </c>
      <c r="W22" s="600">
        <v>0</v>
      </c>
      <c r="X22" s="600">
        <v>1865.4349999999999</v>
      </c>
      <c r="Y22" s="600">
        <v>0</v>
      </c>
      <c r="Z22" s="600">
        <v>2727.8319999999999</v>
      </c>
      <c r="AA22" s="600">
        <v>0</v>
      </c>
      <c r="AB22" s="600">
        <v>2125.8780000000002</v>
      </c>
      <c r="AC22" s="600">
        <v>0</v>
      </c>
      <c r="AD22" s="600">
        <v>1461.1559999999999</v>
      </c>
      <c r="AE22" s="600">
        <v>0</v>
      </c>
      <c r="AF22" s="457"/>
      <c r="AG22" s="719"/>
    </row>
    <row r="23" spans="1:33" ht="21" x14ac:dyDescent="0.35">
      <c r="A23" s="1066" t="s">
        <v>339</v>
      </c>
      <c r="B23" s="1067"/>
      <c r="C23" s="1067"/>
      <c r="D23" s="1067"/>
      <c r="E23" s="1067"/>
      <c r="F23" s="1067"/>
      <c r="G23" s="1067"/>
      <c r="H23" s="1067"/>
      <c r="I23" s="1067"/>
      <c r="J23" s="1067"/>
      <c r="K23" s="1067"/>
      <c r="L23" s="1067"/>
      <c r="M23" s="1067"/>
      <c r="N23" s="1067"/>
      <c r="O23" s="1067"/>
      <c r="P23" s="1067"/>
      <c r="Q23" s="1067"/>
      <c r="R23" s="1067"/>
      <c r="S23" s="1067"/>
      <c r="T23" s="1067"/>
      <c r="U23" s="1067"/>
      <c r="V23" s="1067"/>
      <c r="W23" s="1067"/>
      <c r="X23" s="1067"/>
      <c r="Y23" s="1067"/>
      <c r="Z23" s="1067"/>
      <c r="AA23" s="1067"/>
      <c r="AB23" s="1067"/>
      <c r="AC23" s="1067"/>
      <c r="AD23" s="1067"/>
      <c r="AE23" s="1068"/>
      <c r="AF23" s="457"/>
      <c r="AG23" s="719"/>
    </row>
    <row r="24" spans="1:33" s="452" customFormat="1" ht="56.25" x14ac:dyDescent="0.35">
      <c r="A24" s="595" t="s">
        <v>31</v>
      </c>
      <c r="B24" s="596">
        <f>B25+B26</f>
        <v>19534.992999999999</v>
      </c>
      <c r="C24" s="596">
        <f t="shared" ref="C24:E24" si="6">C25+C26</f>
        <v>10299.769</v>
      </c>
      <c r="D24" s="596">
        <f t="shared" si="6"/>
        <v>8947.92</v>
      </c>
      <c r="E24" s="596">
        <f t="shared" si="6"/>
        <v>8947.92</v>
      </c>
      <c r="F24" s="596">
        <f>IFERROR(E24/B24*100,0)</f>
        <v>45.804572338469747</v>
      </c>
      <c r="G24" s="596">
        <f>IFERROR(E24/C24*100,0)</f>
        <v>86.874958069447956</v>
      </c>
      <c r="H24" s="597">
        <f>H25+H26</f>
        <v>2449.17</v>
      </c>
      <c r="I24" s="597">
        <f t="shared" ref="I24:AE24" si="7">I25+I26</f>
        <v>1553.9559999999999</v>
      </c>
      <c r="J24" s="597">
        <f t="shared" si="7"/>
        <v>1667.3140000000001</v>
      </c>
      <c r="K24" s="597">
        <f t="shared" si="7"/>
        <v>2039.366</v>
      </c>
      <c r="L24" s="597">
        <f t="shared" si="7"/>
        <v>1312.9</v>
      </c>
      <c r="M24" s="597">
        <f t="shared" si="7"/>
        <v>1249.7349999999999</v>
      </c>
      <c r="N24" s="597">
        <f t="shared" si="7"/>
        <v>1911.74</v>
      </c>
      <c r="O24" s="597">
        <f t="shared" si="7"/>
        <v>1000.62</v>
      </c>
      <c r="P24" s="597">
        <f t="shared" si="7"/>
        <v>1645.7449999999999</v>
      </c>
      <c r="Q24" s="597">
        <f t="shared" si="7"/>
        <v>1270.1550000000002</v>
      </c>
      <c r="R24" s="597">
        <f t="shared" si="7"/>
        <v>1312.9</v>
      </c>
      <c r="S24" s="597">
        <f t="shared" si="7"/>
        <v>1834.088</v>
      </c>
      <c r="T24" s="597">
        <f t="shared" si="7"/>
        <v>1911.73</v>
      </c>
      <c r="U24" s="597">
        <f t="shared" si="7"/>
        <v>0</v>
      </c>
      <c r="V24" s="597">
        <f t="shared" si="7"/>
        <v>1493.75</v>
      </c>
      <c r="W24" s="597">
        <f t="shared" si="7"/>
        <v>0</v>
      </c>
      <c r="X24" s="597">
        <f t="shared" si="7"/>
        <v>1312.9</v>
      </c>
      <c r="Y24" s="597">
        <f t="shared" si="7"/>
        <v>0</v>
      </c>
      <c r="Z24" s="597">
        <f t="shared" si="7"/>
        <v>1911.74</v>
      </c>
      <c r="AA24" s="597">
        <f t="shared" si="7"/>
        <v>0</v>
      </c>
      <c r="AB24" s="597">
        <f t="shared" si="7"/>
        <v>1493.75</v>
      </c>
      <c r="AC24" s="597">
        <f t="shared" si="7"/>
        <v>0</v>
      </c>
      <c r="AD24" s="597">
        <f t="shared" si="7"/>
        <v>1111.354</v>
      </c>
      <c r="AE24" s="597">
        <f t="shared" si="7"/>
        <v>0</v>
      </c>
      <c r="AF24" s="718" t="s">
        <v>513</v>
      </c>
      <c r="AG24" s="719"/>
    </row>
    <row r="25" spans="1:33" s="452" customFormat="1" ht="21" x14ac:dyDescent="0.35">
      <c r="A25" s="453" t="s">
        <v>32</v>
      </c>
      <c r="B25" s="599">
        <f>SUM(H25,J25,L25,N25,P25,R25,T25,V25,X25,Z25,AB25,AD25)</f>
        <v>151.995</v>
      </c>
      <c r="C25" s="599">
        <f>H25+J25+L25+N25+P25+R25</f>
        <v>151.995</v>
      </c>
      <c r="D25" s="599">
        <f>E25</f>
        <v>151.995</v>
      </c>
      <c r="E25" s="599">
        <f>SUM(I25,K25,M25,O25,Q25,S25,U25,W25,Y25,AA25,AC25,AE25)</f>
        <v>151.995</v>
      </c>
      <c r="F25" s="599">
        <f>IFERROR(E25/B25*100,0)</f>
        <v>100</v>
      </c>
      <c r="G25" s="599">
        <f>IFERROR(E25/C25*100,0)</f>
        <v>100</v>
      </c>
      <c r="H25" s="597"/>
      <c r="I25" s="597"/>
      <c r="J25" s="597"/>
      <c r="K25" s="597"/>
      <c r="L25" s="597"/>
      <c r="M25" s="597"/>
      <c r="N25" s="597"/>
      <c r="O25" s="597"/>
      <c r="P25" s="600">
        <v>151.995</v>
      </c>
      <c r="Q25" s="600">
        <v>151.995</v>
      </c>
      <c r="R25" s="597"/>
      <c r="S25" s="597"/>
      <c r="T25" s="597"/>
      <c r="U25" s="597"/>
      <c r="V25" s="597"/>
      <c r="W25" s="597"/>
      <c r="X25" s="597"/>
      <c r="Y25" s="597"/>
      <c r="Z25" s="597"/>
      <c r="AA25" s="597"/>
      <c r="AB25" s="597"/>
      <c r="AC25" s="597"/>
      <c r="AD25" s="597"/>
      <c r="AE25" s="597"/>
      <c r="AF25" s="718"/>
      <c r="AG25" s="719"/>
    </row>
    <row r="26" spans="1:33" ht="21" x14ac:dyDescent="0.35">
      <c r="A26" s="598" t="s">
        <v>33</v>
      </c>
      <c r="B26" s="599">
        <f>SUM(H26,J26,L26,N26,P26,R26,T26,V26,X26,Z26,AB26,AD26)</f>
        <v>19382.998</v>
      </c>
      <c r="C26" s="599">
        <f>H26+J26+L26+N26+P26+R26</f>
        <v>10147.773999999999</v>
      </c>
      <c r="D26" s="599">
        <f>E26</f>
        <v>8795.9249999999993</v>
      </c>
      <c r="E26" s="599">
        <f>SUM(I26,K26,M26,O26,Q26,S26,U26,W26,Y26,AA26,AC26,AE26)</f>
        <v>8795.9249999999993</v>
      </c>
      <c r="F26" s="599">
        <f>IFERROR(E26/B26*100,0)</f>
        <v>45.379589885940241</v>
      </c>
      <c r="G26" s="599">
        <f>IFERROR(E26/C26*100,0)</f>
        <v>86.678369068920929</v>
      </c>
      <c r="H26" s="600">
        <v>2449.17</v>
      </c>
      <c r="I26" s="600">
        <v>1553.9559999999999</v>
      </c>
      <c r="J26" s="600">
        <v>1667.3140000000001</v>
      </c>
      <c r="K26" s="600">
        <v>2039.366</v>
      </c>
      <c r="L26" s="600">
        <v>1312.9</v>
      </c>
      <c r="M26" s="600">
        <v>1249.7349999999999</v>
      </c>
      <c r="N26" s="600">
        <v>1911.74</v>
      </c>
      <c r="O26" s="600">
        <v>1000.62</v>
      </c>
      <c r="P26" s="600">
        <v>1493.75</v>
      </c>
      <c r="Q26" s="600">
        <v>1118.1600000000001</v>
      </c>
      <c r="R26" s="600">
        <v>1312.9</v>
      </c>
      <c r="S26" s="600">
        <v>1834.088</v>
      </c>
      <c r="T26" s="600">
        <v>1911.73</v>
      </c>
      <c r="U26" s="600">
        <v>0</v>
      </c>
      <c r="V26" s="600">
        <v>1493.75</v>
      </c>
      <c r="W26" s="600">
        <v>0</v>
      </c>
      <c r="X26" s="600">
        <v>1312.9</v>
      </c>
      <c r="Y26" s="600">
        <v>0</v>
      </c>
      <c r="Z26" s="600">
        <v>1911.74</v>
      </c>
      <c r="AA26" s="600">
        <v>0</v>
      </c>
      <c r="AB26" s="600">
        <v>1493.75</v>
      </c>
      <c r="AC26" s="600">
        <v>0</v>
      </c>
      <c r="AD26" s="600">
        <v>1111.354</v>
      </c>
      <c r="AE26" s="600">
        <v>0</v>
      </c>
      <c r="AF26" s="457"/>
      <c r="AG26" s="719"/>
    </row>
    <row r="27" spans="1:33" ht="21" x14ac:dyDescent="0.35">
      <c r="A27" s="1066" t="s">
        <v>340</v>
      </c>
      <c r="B27" s="1067"/>
      <c r="C27" s="1067"/>
      <c r="D27" s="1067"/>
      <c r="E27" s="1067"/>
      <c r="F27" s="1067"/>
      <c r="G27" s="1067"/>
      <c r="H27" s="1067"/>
      <c r="I27" s="1067"/>
      <c r="J27" s="1067"/>
      <c r="K27" s="1067"/>
      <c r="L27" s="1067"/>
      <c r="M27" s="1067"/>
      <c r="N27" s="1067"/>
      <c r="O27" s="1067"/>
      <c r="P27" s="1067"/>
      <c r="Q27" s="1067"/>
      <c r="R27" s="1067"/>
      <c r="S27" s="1067"/>
      <c r="T27" s="1067"/>
      <c r="U27" s="1067"/>
      <c r="V27" s="1067"/>
      <c r="W27" s="1067"/>
      <c r="X27" s="1067"/>
      <c r="Y27" s="1067"/>
      <c r="Z27" s="1067"/>
      <c r="AA27" s="1067"/>
      <c r="AB27" s="1067"/>
      <c r="AC27" s="1067"/>
      <c r="AD27" s="1067"/>
      <c r="AE27" s="1068"/>
      <c r="AF27" s="455"/>
      <c r="AG27" s="719"/>
    </row>
    <row r="28" spans="1:33" s="452" customFormat="1" ht="56.25" x14ac:dyDescent="0.35">
      <c r="A28" s="595" t="s">
        <v>31</v>
      </c>
      <c r="B28" s="596">
        <f>B29+B30</f>
        <v>8267.7960000000003</v>
      </c>
      <c r="C28" s="596">
        <f t="shared" ref="C28:E28" si="8">C29+C30</f>
        <v>4372.4919999999993</v>
      </c>
      <c r="D28" s="596">
        <f t="shared" si="8"/>
        <v>4027.7720000000004</v>
      </c>
      <c r="E28" s="596">
        <f t="shared" si="8"/>
        <v>4027.7720000000004</v>
      </c>
      <c r="F28" s="596">
        <f>IFERROR(E28/B28*100,0)</f>
        <v>48.716393099200808</v>
      </c>
      <c r="G28" s="596">
        <f>IFERROR(E28/C28*100,0)</f>
        <v>92.116166250275612</v>
      </c>
      <c r="H28" s="597">
        <f>H29+H30</f>
        <v>1087.3409999999999</v>
      </c>
      <c r="I28" s="597">
        <f t="shared" ref="I28:AE28" si="9">I29+I30</f>
        <v>495.827</v>
      </c>
      <c r="J28" s="597">
        <f t="shared" si="9"/>
        <v>694.34</v>
      </c>
      <c r="K28" s="597">
        <f t="shared" si="9"/>
        <v>688.42200000000003</v>
      </c>
      <c r="L28" s="597">
        <f t="shared" si="9"/>
        <v>551.69500000000005</v>
      </c>
      <c r="M28" s="597">
        <f>M29+M30</f>
        <v>637.58000000000004</v>
      </c>
      <c r="N28" s="597">
        <f t="shared" si="9"/>
        <v>812.16899999999998</v>
      </c>
      <c r="O28" s="597">
        <f t="shared" si="9"/>
        <v>561.86199999999997</v>
      </c>
      <c r="P28" s="597">
        <f t="shared" si="9"/>
        <v>675.25299999999993</v>
      </c>
      <c r="Q28" s="597">
        <f t="shared" si="9"/>
        <v>742.81099999999992</v>
      </c>
      <c r="R28" s="597">
        <f t="shared" si="9"/>
        <v>551.69399999999996</v>
      </c>
      <c r="S28" s="597">
        <f t="shared" si="9"/>
        <v>901.27</v>
      </c>
      <c r="T28" s="597">
        <f t="shared" si="9"/>
        <v>812.16899999999998</v>
      </c>
      <c r="U28" s="597">
        <f t="shared" si="9"/>
        <v>0</v>
      </c>
      <c r="V28" s="597">
        <f t="shared" si="9"/>
        <v>630.35699999999997</v>
      </c>
      <c r="W28" s="597">
        <f t="shared" si="9"/>
        <v>0</v>
      </c>
      <c r="X28" s="597">
        <f t="shared" si="9"/>
        <v>551.39400000000001</v>
      </c>
      <c r="Y28" s="597">
        <f t="shared" si="9"/>
        <v>0</v>
      </c>
      <c r="Z28" s="597">
        <f t="shared" si="9"/>
        <v>812.26900000000001</v>
      </c>
      <c r="AA28" s="597">
        <f t="shared" si="9"/>
        <v>0</v>
      </c>
      <c r="AB28" s="597">
        <f t="shared" si="9"/>
        <v>630.55700000000002</v>
      </c>
      <c r="AC28" s="597">
        <f t="shared" si="9"/>
        <v>0</v>
      </c>
      <c r="AD28" s="597">
        <f t="shared" si="9"/>
        <v>458.55799999999999</v>
      </c>
      <c r="AE28" s="597">
        <f t="shared" si="9"/>
        <v>0</v>
      </c>
      <c r="AF28" s="455" t="s">
        <v>513</v>
      </c>
      <c r="AG28" s="719"/>
    </row>
    <row r="29" spans="1:33" s="452" customFormat="1" ht="21" x14ac:dyDescent="0.35">
      <c r="A29" s="453" t="s">
        <v>32</v>
      </c>
      <c r="B29" s="599">
        <f>SUM(H29,J29,L29,N29,P29,R29,T29,V29,X29,Z29,AB29,AD29)</f>
        <v>44.896000000000001</v>
      </c>
      <c r="C29" s="599">
        <f>H29+J29+L29+N29+P29+R29</f>
        <v>44.896000000000001</v>
      </c>
      <c r="D29" s="599">
        <f>E29</f>
        <v>44.896000000000001</v>
      </c>
      <c r="E29" s="599">
        <f>SUM(I29,K29,M29,O29,Q29,S29,U29,W29,Y29,AA29,AC29,AE29)</f>
        <v>44.896000000000001</v>
      </c>
      <c r="F29" s="599">
        <f>IFERROR(E29/B29*100,0)</f>
        <v>100</v>
      </c>
      <c r="G29" s="599">
        <f>IFERROR(E29/C29*100,0)</f>
        <v>100</v>
      </c>
      <c r="H29" s="597"/>
      <c r="I29" s="597"/>
      <c r="J29" s="597"/>
      <c r="K29" s="597"/>
      <c r="L29" s="597"/>
      <c r="M29" s="597"/>
      <c r="N29" s="597"/>
      <c r="O29" s="597"/>
      <c r="P29" s="600">
        <v>44.896000000000001</v>
      </c>
      <c r="Q29" s="600">
        <v>44.896000000000001</v>
      </c>
      <c r="R29" s="597"/>
      <c r="S29" s="597"/>
      <c r="T29" s="597"/>
      <c r="U29" s="597"/>
      <c r="V29" s="597"/>
      <c r="W29" s="597"/>
      <c r="X29" s="597"/>
      <c r="Y29" s="597"/>
      <c r="Z29" s="597"/>
      <c r="AA29" s="597"/>
      <c r="AB29" s="597"/>
      <c r="AC29" s="597"/>
      <c r="AD29" s="597"/>
      <c r="AE29" s="597"/>
      <c r="AF29" s="455"/>
      <c r="AG29" s="719"/>
    </row>
    <row r="30" spans="1:33" ht="21" x14ac:dyDescent="0.35">
      <c r="A30" s="598" t="s">
        <v>33</v>
      </c>
      <c r="B30" s="599">
        <f>SUM(H30,J30,L30,N30,P30,R30,T30,V30,X30,Z30,AB30,AD30)</f>
        <v>8222.9</v>
      </c>
      <c r="C30" s="599">
        <f>H30+J30+L30+N30+P30+R30</f>
        <v>4327.5959999999995</v>
      </c>
      <c r="D30" s="599">
        <f>E30</f>
        <v>3982.8760000000002</v>
      </c>
      <c r="E30" s="599">
        <f>SUM(I30,K30,M30,O30,Q30,S30,U30,W30,Y30,AA30,AC30,AE30)</f>
        <v>3982.8760000000002</v>
      </c>
      <c r="F30" s="599">
        <f>IFERROR(E30/B30*100,0)</f>
        <v>48.43639105425094</v>
      </c>
      <c r="G30" s="599">
        <f>IFERROR(E30/C30*100,0)</f>
        <v>92.034376591530275</v>
      </c>
      <c r="H30" s="600">
        <v>1087.3409999999999</v>
      </c>
      <c r="I30" s="600">
        <v>495.827</v>
      </c>
      <c r="J30" s="600">
        <v>694.34</v>
      </c>
      <c r="K30" s="600">
        <v>688.42200000000003</v>
      </c>
      <c r="L30" s="600">
        <v>551.69500000000005</v>
      </c>
      <c r="M30" s="600">
        <v>637.58000000000004</v>
      </c>
      <c r="N30" s="600">
        <v>812.16899999999998</v>
      </c>
      <c r="O30" s="600">
        <v>561.86199999999997</v>
      </c>
      <c r="P30" s="600">
        <v>630.35699999999997</v>
      </c>
      <c r="Q30" s="600">
        <v>697.91499999999996</v>
      </c>
      <c r="R30" s="600">
        <v>551.69399999999996</v>
      </c>
      <c r="S30" s="600">
        <v>901.27</v>
      </c>
      <c r="T30" s="600">
        <v>812.16899999999998</v>
      </c>
      <c r="U30" s="600">
        <v>0</v>
      </c>
      <c r="V30" s="600">
        <v>630.35699999999997</v>
      </c>
      <c r="W30" s="600">
        <v>0</v>
      </c>
      <c r="X30" s="600">
        <v>551.39400000000001</v>
      </c>
      <c r="Y30" s="600">
        <v>0</v>
      </c>
      <c r="Z30" s="600">
        <v>812.26900000000001</v>
      </c>
      <c r="AA30" s="600">
        <v>0</v>
      </c>
      <c r="AB30" s="600">
        <v>630.55700000000002</v>
      </c>
      <c r="AC30" s="600">
        <v>0</v>
      </c>
      <c r="AD30" s="600">
        <v>458.55799999999999</v>
      </c>
      <c r="AE30" s="600">
        <v>0</v>
      </c>
      <c r="AF30" s="455"/>
      <c r="AG30" s="719"/>
    </row>
    <row r="31" spans="1:33" ht="21" x14ac:dyDescent="0.35">
      <c r="A31" s="971" t="s">
        <v>341</v>
      </c>
      <c r="B31" s="972"/>
      <c r="C31" s="972"/>
      <c r="D31" s="972"/>
      <c r="E31" s="972"/>
      <c r="F31" s="973"/>
      <c r="G31" s="973"/>
      <c r="H31" s="972"/>
      <c r="I31" s="972"/>
      <c r="J31" s="972"/>
      <c r="K31" s="972"/>
      <c r="L31" s="972"/>
      <c r="M31" s="972"/>
      <c r="N31" s="972"/>
      <c r="O31" s="972"/>
      <c r="P31" s="972"/>
      <c r="Q31" s="972"/>
      <c r="R31" s="972"/>
      <c r="S31" s="972"/>
      <c r="T31" s="972"/>
      <c r="U31" s="972"/>
      <c r="V31" s="972"/>
      <c r="W31" s="972"/>
      <c r="X31" s="972"/>
      <c r="Y31" s="972"/>
      <c r="Z31" s="972"/>
      <c r="AA31" s="972"/>
      <c r="AB31" s="972"/>
      <c r="AC31" s="972"/>
      <c r="AD31" s="972"/>
      <c r="AE31" s="972"/>
      <c r="AF31" s="974"/>
      <c r="AG31" s="719"/>
    </row>
    <row r="32" spans="1:33" s="452" customFormat="1" ht="21" x14ac:dyDescent="0.35">
      <c r="A32" s="460" t="s">
        <v>31</v>
      </c>
      <c r="B32" s="461">
        <f>B33+B34</f>
        <v>55801.625999999997</v>
      </c>
      <c r="C32" s="461">
        <f t="shared" ref="C32:E32" si="10">C33+C34</f>
        <v>29535.371999999996</v>
      </c>
      <c r="D32" s="461">
        <f t="shared" si="10"/>
        <v>25818.084999999999</v>
      </c>
      <c r="E32" s="461">
        <f t="shared" si="10"/>
        <v>25818.084999999999</v>
      </c>
      <c r="F32" s="462">
        <f>IFERROR(E32/B32*100,0)</f>
        <v>46.26762130551537</v>
      </c>
      <c r="G32" s="462">
        <f>IFERROR(E32/C32*100,0)</f>
        <v>87.414118230845389</v>
      </c>
      <c r="H32" s="500">
        <f t="shared" ref="H32:AE32" si="11">SUM(H34:H34)</f>
        <v>7237.6039999999994</v>
      </c>
      <c r="I32" s="500">
        <f t="shared" si="11"/>
        <v>4175.2790000000005</v>
      </c>
      <c r="J32" s="500">
        <f t="shared" si="11"/>
        <v>4703.8770000000004</v>
      </c>
      <c r="K32" s="500">
        <f t="shared" si="11"/>
        <v>5381.9040000000005</v>
      </c>
      <c r="L32" s="500">
        <f t="shared" si="11"/>
        <v>3760.3250000000003</v>
      </c>
      <c r="M32" s="500">
        <f t="shared" si="11"/>
        <v>3679.2779999999998</v>
      </c>
      <c r="N32" s="500">
        <f t="shared" si="11"/>
        <v>5461.0149999999994</v>
      </c>
      <c r="O32" s="500">
        <f t="shared" si="11"/>
        <v>3373.585</v>
      </c>
      <c r="P32" s="500">
        <f t="shared" si="11"/>
        <v>4261.3340000000007</v>
      </c>
      <c r="Q32" s="500">
        <f t="shared" si="11"/>
        <v>3712.3330000000001</v>
      </c>
      <c r="R32" s="500">
        <f t="shared" si="11"/>
        <v>3739.884</v>
      </c>
      <c r="S32" s="500">
        <f t="shared" si="11"/>
        <v>5124.3719999999994</v>
      </c>
      <c r="T32" s="500">
        <f t="shared" si="11"/>
        <v>5460.4</v>
      </c>
      <c r="U32" s="500">
        <f t="shared" si="11"/>
        <v>0</v>
      </c>
      <c r="V32" s="500">
        <f t="shared" si="11"/>
        <v>4302.0499999999993</v>
      </c>
      <c r="W32" s="500">
        <f t="shared" si="11"/>
        <v>0</v>
      </c>
      <c r="X32" s="500">
        <f t="shared" si="11"/>
        <v>3741.76</v>
      </c>
      <c r="Y32" s="500">
        <f t="shared" si="11"/>
        <v>0</v>
      </c>
      <c r="Z32" s="500">
        <f t="shared" si="11"/>
        <v>5458.6509999999998</v>
      </c>
      <c r="AA32" s="500">
        <f t="shared" si="11"/>
        <v>0</v>
      </c>
      <c r="AB32" s="500">
        <f t="shared" si="11"/>
        <v>4262.7449999999999</v>
      </c>
      <c r="AC32" s="500">
        <f t="shared" si="11"/>
        <v>0</v>
      </c>
      <c r="AD32" s="500">
        <f t="shared" si="11"/>
        <v>3040.6480000000001</v>
      </c>
      <c r="AE32" s="500">
        <f t="shared" si="11"/>
        <v>0</v>
      </c>
      <c r="AF32" s="456"/>
      <c r="AG32" s="719"/>
    </row>
    <row r="33" spans="1:33" s="452" customFormat="1" ht="21" x14ac:dyDescent="0.35">
      <c r="A33" s="453" t="s">
        <v>32</v>
      </c>
      <c r="B33" s="464">
        <f>B21+B25+B29</f>
        <v>371.33300000000003</v>
      </c>
      <c r="C33" s="464">
        <f t="shared" ref="C33:AE33" si="12">C21+C25+C29</f>
        <v>371.33300000000003</v>
      </c>
      <c r="D33" s="464">
        <f t="shared" si="12"/>
        <v>371.334</v>
      </c>
      <c r="E33" s="464">
        <f t="shared" si="12"/>
        <v>371.334</v>
      </c>
      <c r="F33" s="459">
        <f>IFERROR(E33/B33*100,0)</f>
        <v>100.0002693000622</v>
      </c>
      <c r="G33" s="459">
        <f>IFERROR(E33/C33*100,0)</f>
        <v>100.0002693000622</v>
      </c>
      <c r="H33" s="464">
        <f t="shared" si="12"/>
        <v>0</v>
      </c>
      <c r="I33" s="464">
        <f t="shared" si="12"/>
        <v>0</v>
      </c>
      <c r="J33" s="464">
        <f t="shared" si="12"/>
        <v>0</v>
      </c>
      <c r="K33" s="464">
        <f t="shared" si="12"/>
        <v>0</v>
      </c>
      <c r="L33" s="464">
        <f t="shared" si="12"/>
        <v>0</v>
      </c>
      <c r="M33" s="464">
        <f t="shared" si="12"/>
        <v>0</v>
      </c>
      <c r="N33" s="464">
        <f t="shared" si="12"/>
        <v>0</v>
      </c>
      <c r="O33" s="464">
        <f t="shared" si="12"/>
        <v>0</v>
      </c>
      <c r="P33" s="464">
        <f t="shared" si="12"/>
        <v>371.33300000000003</v>
      </c>
      <c r="Q33" s="464">
        <f t="shared" si="12"/>
        <v>371.334</v>
      </c>
      <c r="R33" s="464">
        <f t="shared" si="12"/>
        <v>0</v>
      </c>
      <c r="S33" s="464">
        <f t="shared" si="12"/>
        <v>0</v>
      </c>
      <c r="T33" s="464">
        <f t="shared" si="12"/>
        <v>0</v>
      </c>
      <c r="U33" s="464">
        <f t="shared" si="12"/>
        <v>0</v>
      </c>
      <c r="V33" s="464">
        <f t="shared" si="12"/>
        <v>0</v>
      </c>
      <c r="W33" s="464">
        <f t="shared" si="12"/>
        <v>0</v>
      </c>
      <c r="X33" s="464">
        <f t="shared" si="12"/>
        <v>0</v>
      </c>
      <c r="Y33" s="464">
        <f t="shared" si="12"/>
        <v>0</v>
      </c>
      <c r="Z33" s="464">
        <f t="shared" si="12"/>
        <v>0</v>
      </c>
      <c r="AA33" s="464">
        <f t="shared" si="12"/>
        <v>0</v>
      </c>
      <c r="AB33" s="464">
        <f t="shared" si="12"/>
        <v>0</v>
      </c>
      <c r="AC33" s="464">
        <f t="shared" si="12"/>
        <v>0</v>
      </c>
      <c r="AD33" s="464">
        <f t="shared" si="12"/>
        <v>0</v>
      </c>
      <c r="AE33" s="464">
        <f t="shared" si="12"/>
        <v>0</v>
      </c>
      <c r="AF33" s="456"/>
      <c r="AG33" s="719"/>
    </row>
    <row r="34" spans="1:33" ht="21" x14ac:dyDescent="0.35">
      <c r="A34" s="463" t="s">
        <v>33</v>
      </c>
      <c r="B34" s="464">
        <f>B15+B18+B22+B26+B30</f>
        <v>55430.292999999998</v>
      </c>
      <c r="C34" s="464">
        <f>H34+J34+L34+N34+P34+R34</f>
        <v>29164.038999999997</v>
      </c>
      <c r="D34" s="464">
        <f>D15+D18+D22+D26+D30</f>
        <v>25446.751</v>
      </c>
      <c r="E34" s="464">
        <f>E15+E18+E22+E26+E30</f>
        <v>25446.751</v>
      </c>
      <c r="F34" s="464">
        <f>IFERROR(E34/B34*100,0)</f>
        <v>45.907660996848783</v>
      </c>
      <c r="G34" s="464">
        <f>IFERROR(E34/C34*100,0)</f>
        <v>87.253864253850438</v>
      </c>
      <c r="H34" s="501">
        <f t="shared" ref="H34:AE34" si="13">H15+H18+H22+H26+H30</f>
        <v>7237.6039999999994</v>
      </c>
      <c r="I34" s="501">
        <f t="shared" si="13"/>
        <v>4175.2790000000005</v>
      </c>
      <c r="J34" s="501">
        <f t="shared" si="13"/>
        <v>4703.8770000000004</v>
      </c>
      <c r="K34" s="501">
        <f t="shared" si="13"/>
        <v>5381.9040000000005</v>
      </c>
      <c r="L34" s="501">
        <f t="shared" si="13"/>
        <v>3760.3250000000003</v>
      </c>
      <c r="M34" s="501">
        <f t="shared" si="13"/>
        <v>3679.2779999999998</v>
      </c>
      <c r="N34" s="501">
        <f t="shared" si="13"/>
        <v>5461.0149999999994</v>
      </c>
      <c r="O34" s="501">
        <f t="shared" si="13"/>
        <v>3373.585</v>
      </c>
      <c r="P34" s="501">
        <f t="shared" si="13"/>
        <v>4261.3340000000007</v>
      </c>
      <c r="Q34" s="501">
        <f t="shared" si="13"/>
        <v>3712.3330000000001</v>
      </c>
      <c r="R34" s="501">
        <f t="shared" si="13"/>
        <v>3739.884</v>
      </c>
      <c r="S34" s="501">
        <f t="shared" si="13"/>
        <v>5124.3719999999994</v>
      </c>
      <c r="T34" s="501">
        <f t="shared" si="13"/>
        <v>5460.4</v>
      </c>
      <c r="U34" s="501">
        <f t="shared" si="13"/>
        <v>0</v>
      </c>
      <c r="V34" s="501">
        <f t="shared" si="13"/>
        <v>4302.0499999999993</v>
      </c>
      <c r="W34" s="501">
        <f t="shared" si="13"/>
        <v>0</v>
      </c>
      <c r="X34" s="501">
        <f t="shared" si="13"/>
        <v>3741.76</v>
      </c>
      <c r="Y34" s="501">
        <f t="shared" si="13"/>
        <v>0</v>
      </c>
      <c r="Z34" s="501">
        <f t="shared" si="13"/>
        <v>5458.6509999999998</v>
      </c>
      <c r="AA34" s="501">
        <f t="shared" si="13"/>
        <v>0</v>
      </c>
      <c r="AB34" s="501">
        <f t="shared" si="13"/>
        <v>4262.7449999999999</v>
      </c>
      <c r="AC34" s="501">
        <f t="shared" si="13"/>
        <v>0</v>
      </c>
      <c r="AD34" s="501">
        <f t="shared" si="13"/>
        <v>3040.6480000000001</v>
      </c>
      <c r="AE34" s="501">
        <f t="shared" si="13"/>
        <v>0</v>
      </c>
      <c r="AF34" s="455"/>
      <c r="AG34" s="719"/>
    </row>
    <row r="35" spans="1:33" ht="21" x14ac:dyDescent="0.35">
      <c r="A35" s="1069" t="s">
        <v>342</v>
      </c>
      <c r="B35" s="1070"/>
      <c r="C35" s="1070"/>
      <c r="D35" s="1070"/>
      <c r="E35" s="1070"/>
      <c r="F35" s="1070"/>
      <c r="G35" s="1070"/>
      <c r="H35" s="1070"/>
      <c r="I35" s="1070"/>
      <c r="J35" s="1070"/>
      <c r="K35" s="1070"/>
      <c r="L35" s="1070"/>
      <c r="M35" s="1070"/>
      <c r="N35" s="1070"/>
      <c r="O35" s="1070"/>
      <c r="P35" s="1070"/>
      <c r="Q35" s="1070"/>
      <c r="R35" s="1070"/>
      <c r="S35" s="1070"/>
      <c r="T35" s="1070"/>
      <c r="U35" s="1070"/>
      <c r="V35" s="1070"/>
      <c r="W35" s="1070"/>
      <c r="X35" s="1070"/>
      <c r="Y35" s="1070"/>
      <c r="Z35" s="1070"/>
      <c r="AA35" s="1070"/>
      <c r="AB35" s="1070"/>
      <c r="AC35" s="1070"/>
      <c r="AD35" s="1070"/>
      <c r="AE35" s="1071"/>
      <c r="AF35" s="465"/>
      <c r="AG35" s="719"/>
    </row>
    <row r="36" spans="1:33" ht="21" x14ac:dyDescent="0.35">
      <c r="A36" s="466" t="s">
        <v>167</v>
      </c>
      <c r="B36" s="228"/>
      <c r="C36" s="467"/>
      <c r="D36" s="467"/>
      <c r="E36" s="228"/>
      <c r="F36" s="229"/>
      <c r="G36" s="229"/>
      <c r="H36" s="468"/>
      <c r="I36" s="468"/>
      <c r="J36" s="468"/>
      <c r="K36" s="468"/>
      <c r="L36" s="468"/>
      <c r="M36" s="468"/>
      <c r="N36" s="468"/>
      <c r="O36" s="468"/>
      <c r="P36" s="468"/>
      <c r="Q36" s="468"/>
      <c r="R36" s="468"/>
      <c r="S36" s="468"/>
      <c r="T36" s="468"/>
      <c r="U36" s="468"/>
      <c r="V36" s="468"/>
      <c r="W36" s="468"/>
      <c r="X36" s="468"/>
      <c r="Y36" s="468"/>
      <c r="Z36" s="468"/>
      <c r="AA36" s="468"/>
      <c r="AB36" s="468"/>
      <c r="AC36" s="468"/>
      <c r="AD36" s="468"/>
      <c r="AE36" s="469"/>
      <c r="AF36" s="470"/>
      <c r="AG36" s="719"/>
    </row>
    <row r="37" spans="1:33" ht="21" x14ac:dyDescent="0.35">
      <c r="A37" s="1072" t="s">
        <v>343</v>
      </c>
      <c r="B37" s="1073"/>
      <c r="C37" s="1073"/>
      <c r="D37" s="1073"/>
      <c r="E37" s="1073"/>
      <c r="F37" s="1073"/>
      <c r="G37" s="1073"/>
      <c r="H37" s="1073"/>
      <c r="I37" s="1073"/>
      <c r="J37" s="1073"/>
      <c r="K37" s="1073"/>
      <c r="L37" s="1073"/>
      <c r="M37" s="1073"/>
      <c r="N37" s="1073"/>
      <c r="O37" s="1073"/>
      <c r="P37" s="1073"/>
      <c r="Q37" s="1073"/>
      <c r="R37" s="1073"/>
      <c r="S37" s="1073"/>
      <c r="T37" s="1073"/>
      <c r="U37" s="1073"/>
      <c r="V37" s="1073"/>
      <c r="W37" s="1073"/>
      <c r="X37" s="1073"/>
      <c r="Y37" s="1073"/>
      <c r="Z37" s="1073"/>
      <c r="AA37" s="1073"/>
      <c r="AB37" s="1073"/>
      <c r="AC37" s="1073"/>
      <c r="AD37" s="1073"/>
      <c r="AE37" s="1074"/>
      <c r="AF37" s="455"/>
      <c r="AG37" s="719"/>
    </row>
    <row r="38" spans="1:33" s="452" customFormat="1" ht="21" x14ac:dyDescent="0.35">
      <c r="A38" s="449" t="s">
        <v>31</v>
      </c>
      <c r="B38" s="450">
        <f>B39+B40</f>
        <v>342.11</v>
      </c>
      <c r="C38" s="450">
        <f>C39+C40</f>
        <v>292.11</v>
      </c>
      <c r="D38" s="450">
        <f>D39+D40</f>
        <v>292.11</v>
      </c>
      <c r="E38" s="450">
        <f>E39+E40</f>
        <v>292.11</v>
      </c>
      <c r="F38" s="450">
        <f>IFERROR(E38/B38*100,0)</f>
        <v>85.384817748677321</v>
      </c>
      <c r="G38" s="450">
        <f>IFERROR(E38/C38*100,0)</f>
        <v>100</v>
      </c>
      <c r="H38" s="498">
        <f>H39+H40</f>
        <v>0</v>
      </c>
      <c r="I38" s="498">
        <f t="shared" ref="I38:AE38" si="14">I39+I40</f>
        <v>0</v>
      </c>
      <c r="J38" s="498">
        <f t="shared" si="14"/>
        <v>0</v>
      </c>
      <c r="K38" s="498">
        <f t="shared" si="14"/>
        <v>0</v>
      </c>
      <c r="L38" s="498">
        <f t="shared" si="14"/>
        <v>0</v>
      </c>
      <c r="M38" s="498">
        <f t="shared" si="14"/>
        <v>0</v>
      </c>
      <c r="N38" s="498">
        <f t="shared" si="14"/>
        <v>0</v>
      </c>
      <c r="O38" s="498">
        <f t="shared" si="14"/>
        <v>0</v>
      </c>
      <c r="P38" s="498">
        <f t="shared" si="14"/>
        <v>0</v>
      </c>
      <c r="Q38" s="498">
        <f t="shared" si="14"/>
        <v>0</v>
      </c>
      <c r="R38" s="498">
        <f t="shared" si="14"/>
        <v>292.11</v>
      </c>
      <c r="S38" s="498">
        <f t="shared" si="14"/>
        <v>292.11</v>
      </c>
      <c r="T38" s="498">
        <f t="shared" si="14"/>
        <v>0</v>
      </c>
      <c r="U38" s="498">
        <f t="shared" si="14"/>
        <v>0</v>
      </c>
      <c r="V38" s="498">
        <f t="shared" si="14"/>
        <v>0</v>
      </c>
      <c r="W38" s="498">
        <f t="shared" si="14"/>
        <v>0</v>
      </c>
      <c r="X38" s="498">
        <f t="shared" si="14"/>
        <v>50</v>
      </c>
      <c r="Y38" s="498">
        <f t="shared" si="14"/>
        <v>0</v>
      </c>
      <c r="Z38" s="498">
        <f t="shared" si="14"/>
        <v>0</v>
      </c>
      <c r="AA38" s="498">
        <f t="shared" si="14"/>
        <v>0</v>
      </c>
      <c r="AB38" s="498">
        <f t="shared" si="14"/>
        <v>0</v>
      </c>
      <c r="AC38" s="498">
        <f t="shared" si="14"/>
        <v>0</v>
      </c>
      <c r="AD38" s="498">
        <f t="shared" si="14"/>
        <v>0</v>
      </c>
      <c r="AE38" s="498">
        <f t="shared" si="14"/>
        <v>0</v>
      </c>
      <c r="AF38" s="471"/>
      <c r="AG38" s="719"/>
    </row>
    <row r="39" spans="1:33" ht="21" x14ac:dyDescent="0.35">
      <c r="A39" s="453" t="s">
        <v>32</v>
      </c>
      <c r="B39" s="454">
        <f t="shared" ref="B39:E41" si="15">B44</f>
        <v>325</v>
      </c>
      <c r="C39" s="454">
        <f t="shared" si="15"/>
        <v>277.5</v>
      </c>
      <c r="D39" s="454">
        <f t="shared" si="15"/>
        <v>277.5</v>
      </c>
      <c r="E39" s="454">
        <f t="shared" si="15"/>
        <v>277.5</v>
      </c>
      <c r="F39" s="464">
        <f>IFERROR(E39/B39*100,0)</f>
        <v>85.384615384615387</v>
      </c>
      <c r="G39" s="464">
        <f>IFERROR(E39/C39*100,0)</f>
        <v>100</v>
      </c>
      <c r="H39" s="499">
        <f t="shared" ref="H39:AE41" si="16">H44</f>
        <v>0</v>
      </c>
      <c r="I39" s="499">
        <f t="shared" si="16"/>
        <v>0</v>
      </c>
      <c r="J39" s="499">
        <f t="shared" si="16"/>
        <v>0</v>
      </c>
      <c r="K39" s="499">
        <f t="shared" si="16"/>
        <v>0</v>
      </c>
      <c r="L39" s="499">
        <f t="shared" si="16"/>
        <v>0</v>
      </c>
      <c r="M39" s="499">
        <f t="shared" si="16"/>
        <v>0</v>
      </c>
      <c r="N39" s="499">
        <f t="shared" si="16"/>
        <v>0</v>
      </c>
      <c r="O39" s="499">
        <f t="shared" si="16"/>
        <v>0</v>
      </c>
      <c r="P39" s="499">
        <f t="shared" si="16"/>
        <v>0</v>
      </c>
      <c r="Q39" s="499">
        <f t="shared" si="16"/>
        <v>0</v>
      </c>
      <c r="R39" s="499">
        <f t="shared" si="16"/>
        <v>277.5</v>
      </c>
      <c r="S39" s="499">
        <f t="shared" si="16"/>
        <v>277.5</v>
      </c>
      <c r="T39" s="499">
        <f t="shared" si="16"/>
        <v>0</v>
      </c>
      <c r="U39" s="499">
        <f t="shared" si="16"/>
        <v>0</v>
      </c>
      <c r="V39" s="499">
        <f t="shared" si="16"/>
        <v>0</v>
      </c>
      <c r="W39" s="499">
        <f t="shared" si="16"/>
        <v>0</v>
      </c>
      <c r="X39" s="499">
        <f t="shared" si="16"/>
        <v>47.5</v>
      </c>
      <c r="Y39" s="499">
        <f t="shared" si="16"/>
        <v>0</v>
      </c>
      <c r="Z39" s="499">
        <f t="shared" si="16"/>
        <v>0</v>
      </c>
      <c r="AA39" s="499">
        <f t="shared" si="16"/>
        <v>0</v>
      </c>
      <c r="AB39" s="499">
        <f t="shared" si="16"/>
        <v>0</v>
      </c>
      <c r="AC39" s="499">
        <f t="shared" si="16"/>
        <v>0</v>
      </c>
      <c r="AD39" s="499">
        <f t="shared" si="16"/>
        <v>0</v>
      </c>
      <c r="AE39" s="499">
        <f t="shared" si="16"/>
        <v>0</v>
      </c>
      <c r="AF39" s="455"/>
      <c r="AG39" s="719"/>
    </row>
    <row r="40" spans="1:33" ht="21" x14ac:dyDescent="0.35">
      <c r="A40" s="453" t="s">
        <v>33</v>
      </c>
      <c r="B40" s="454">
        <f t="shared" si="15"/>
        <v>17.11</v>
      </c>
      <c r="C40" s="454">
        <f t="shared" si="15"/>
        <v>14.61</v>
      </c>
      <c r="D40" s="454">
        <f t="shared" si="15"/>
        <v>14.61</v>
      </c>
      <c r="E40" s="454">
        <f t="shared" si="15"/>
        <v>14.61</v>
      </c>
      <c r="F40" s="464">
        <f>IFERROR(E40/B40*100,0)</f>
        <v>85.388661601402688</v>
      </c>
      <c r="G40" s="464">
        <f>IFERROR(E40/C40*100,0)</f>
        <v>100</v>
      </c>
      <c r="H40" s="499">
        <f t="shared" si="16"/>
        <v>0</v>
      </c>
      <c r="I40" s="499">
        <f t="shared" si="16"/>
        <v>0</v>
      </c>
      <c r="J40" s="499">
        <f t="shared" si="16"/>
        <v>0</v>
      </c>
      <c r="K40" s="499">
        <f t="shared" si="16"/>
        <v>0</v>
      </c>
      <c r="L40" s="499">
        <f t="shared" si="16"/>
        <v>0</v>
      </c>
      <c r="M40" s="499">
        <f t="shared" si="16"/>
        <v>0</v>
      </c>
      <c r="N40" s="499">
        <f t="shared" si="16"/>
        <v>0</v>
      </c>
      <c r="O40" s="499">
        <f t="shared" si="16"/>
        <v>0</v>
      </c>
      <c r="P40" s="499">
        <f t="shared" si="16"/>
        <v>0</v>
      </c>
      <c r="Q40" s="499">
        <f t="shared" si="16"/>
        <v>0</v>
      </c>
      <c r="R40" s="499">
        <f t="shared" si="16"/>
        <v>14.61</v>
      </c>
      <c r="S40" s="499">
        <f t="shared" si="16"/>
        <v>14.61</v>
      </c>
      <c r="T40" s="499">
        <f t="shared" si="16"/>
        <v>0</v>
      </c>
      <c r="U40" s="499">
        <f t="shared" si="16"/>
        <v>0</v>
      </c>
      <c r="V40" s="499">
        <f t="shared" si="16"/>
        <v>0</v>
      </c>
      <c r="W40" s="499">
        <f t="shared" si="16"/>
        <v>0</v>
      </c>
      <c r="X40" s="499">
        <f t="shared" si="16"/>
        <v>2.5</v>
      </c>
      <c r="Y40" s="499">
        <f t="shared" si="16"/>
        <v>0</v>
      </c>
      <c r="Z40" s="499">
        <f t="shared" si="16"/>
        <v>0</v>
      </c>
      <c r="AA40" s="499">
        <f t="shared" si="16"/>
        <v>0</v>
      </c>
      <c r="AB40" s="499">
        <f t="shared" si="16"/>
        <v>0</v>
      </c>
      <c r="AC40" s="499">
        <f t="shared" si="16"/>
        <v>0</v>
      </c>
      <c r="AD40" s="499">
        <f t="shared" si="16"/>
        <v>0</v>
      </c>
      <c r="AE40" s="499">
        <f t="shared" si="16"/>
        <v>0</v>
      </c>
      <c r="AF40" s="455"/>
      <c r="AG40" s="719"/>
    </row>
    <row r="41" spans="1:33" ht="37.5" x14ac:dyDescent="0.35">
      <c r="A41" s="472" t="s">
        <v>174</v>
      </c>
      <c r="B41" s="454">
        <f t="shared" si="15"/>
        <v>17.11</v>
      </c>
      <c r="C41" s="454">
        <f t="shared" si="15"/>
        <v>14.61</v>
      </c>
      <c r="D41" s="454">
        <f t="shared" si="15"/>
        <v>14.61</v>
      </c>
      <c r="E41" s="454">
        <f t="shared" si="15"/>
        <v>14.61</v>
      </c>
      <c r="F41" s="464">
        <f>IFERROR(E41/B41*100,0)</f>
        <v>85.388661601402688</v>
      </c>
      <c r="G41" s="464">
        <f>IFERROR(E41/C41*100,0)</f>
        <v>100</v>
      </c>
      <c r="H41" s="499">
        <f t="shared" si="16"/>
        <v>0</v>
      </c>
      <c r="I41" s="499">
        <f t="shared" si="16"/>
        <v>0</v>
      </c>
      <c r="J41" s="499">
        <f t="shared" si="16"/>
        <v>0</v>
      </c>
      <c r="K41" s="499">
        <f t="shared" si="16"/>
        <v>0</v>
      </c>
      <c r="L41" s="499">
        <f t="shared" si="16"/>
        <v>0</v>
      </c>
      <c r="M41" s="499">
        <f t="shared" si="16"/>
        <v>0</v>
      </c>
      <c r="N41" s="499">
        <f t="shared" si="16"/>
        <v>0</v>
      </c>
      <c r="O41" s="499">
        <f t="shared" si="16"/>
        <v>0</v>
      </c>
      <c r="P41" s="499">
        <f t="shared" si="16"/>
        <v>0</v>
      </c>
      <c r="Q41" s="499">
        <f t="shared" si="16"/>
        <v>0</v>
      </c>
      <c r="R41" s="499">
        <f t="shared" si="16"/>
        <v>14.61</v>
      </c>
      <c r="S41" s="499">
        <f t="shared" si="16"/>
        <v>14.61</v>
      </c>
      <c r="T41" s="499">
        <f t="shared" si="16"/>
        <v>0</v>
      </c>
      <c r="U41" s="499">
        <f t="shared" si="16"/>
        <v>0</v>
      </c>
      <c r="V41" s="499">
        <f t="shared" si="16"/>
        <v>0</v>
      </c>
      <c r="W41" s="499">
        <f t="shared" si="16"/>
        <v>0</v>
      </c>
      <c r="X41" s="499">
        <f t="shared" si="16"/>
        <v>2.5</v>
      </c>
      <c r="Y41" s="499">
        <f t="shared" si="16"/>
        <v>0</v>
      </c>
      <c r="Z41" s="499">
        <f t="shared" si="16"/>
        <v>0</v>
      </c>
      <c r="AA41" s="499">
        <f t="shared" si="16"/>
        <v>0</v>
      </c>
      <c r="AB41" s="499">
        <f t="shared" si="16"/>
        <v>0</v>
      </c>
      <c r="AC41" s="499">
        <f t="shared" si="16"/>
        <v>0</v>
      </c>
      <c r="AD41" s="499">
        <f t="shared" si="16"/>
        <v>0</v>
      </c>
      <c r="AE41" s="499">
        <f t="shared" si="16"/>
        <v>0</v>
      </c>
      <c r="AF41" s="455"/>
      <c r="AG41" s="719"/>
    </row>
    <row r="42" spans="1:33" ht="21" x14ac:dyDescent="0.35">
      <c r="A42" s="1063" t="s">
        <v>344</v>
      </c>
      <c r="B42" s="1064"/>
      <c r="C42" s="1064"/>
      <c r="D42" s="1064"/>
      <c r="E42" s="1064"/>
      <c r="F42" s="1064"/>
      <c r="G42" s="1064"/>
      <c r="H42" s="1064"/>
      <c r="I42" s="1064"/>
      <c r="J42" s="1064"/>
      <c r="K42" s="1064"/>
      <c r="L42" s="1064"/>
      <c r="M42" s="1064"/>
      <c r="N42" s="1064"/>
      <c r="O42" s="1064"/>
      <c r="P42" s="1064"/>
      <c r="Q42" s="1064"/>
      <c r="R42" s="1064"/>
      <c r="S42" s="1064"/>
      <c r="T42" s="1064"/>
      <c r="U42" s="1064"/>
      <c r="V42" s="1064"/>
      <c r="W42" s="1064"/>
      <c r="X42" s="1064"/>
      <c r="Y42" s="1064"/>
      <c r="Z42" s="1064"/>
      <c r="AA42" s="1064"/>
      <c r="AB42" s="1064"/>
      <c r="AC42" s="1064"/>
      <c r="AD42" s="1064"/>
      <c r="AE42" s="1065"/>
      <c r="AF42" s="473"/>
      <c r="AG42" s="719"/>
    </row>
    <row r="43" spans="1:33" s="452" customFormat="1" ht="21" x14ac:dyDescent="0.35">
      <c r="A43" s="449" t="s">
        <v>31</v>
      </c>
      <c r="B43" s="450">
        <f>B44+B45</f>
        <v>342.11</v>
      </c>
      <c r="C43" s="450">
        <f>C44+C45</f>
        <v>292.11</v>
      </c>
      <c r="D43" s="450">
        <f>D44+D45</f>
        <v>292.11</v>
      </c>
      <c r="E43" s="450">
        <f>E44+E45</f>
        <v>292.11</v>
      </c>
      <c r="F43" s="450">
        <f>IFERROR(E43/B43*100,0)</f>
        <v>85.384817748677321</v>
      </c>
      <c r="G43" s="450">
        <f>IFERROR(E43/C43*100,0)</f>
        <v>100</v>
      </c>
      <c r="H43" s="498">
        <f>H44+H45</f>
        <v>0</v>
      </c>
      <c r="I43" s="498">
        <f t="shared" ref="I43:AE43" si="17">I44+I45</f>
        <v>0</v>
      </c>
      <c r="J43" s="498">
        <f t="shared" si="17"/>
        <v>0</v>
      </c>
      <c r="K43" s="498">
        <f t="shared" si="17"/>
        <v>0</v>
      </c>
      <c r="L43" s="498">
        <f t="shared" si="17"/>
        <v>0</v>
      </c>
      <c r="M43" s="498">
        <f t="shared" si="17"/>
        <v>0</v>
      </c>
      <c r="N43" s="498">
        <f t="shared" si="17"/>
        <v>0</v>
      </c>
      <c r="O43" s="498">
        <f t="shared" si="17"/>
        <v>0</v>
      </c>
      <c r="P43" s="498">
        <f t="shared" si="17"/>
        <v>0</v>
      </c>
      <c r="Q43" s="498">
        <f t="shared" si="17"/>
        <v>0</v>
      </c>
      <c r="R43" s="498">
        <f t="shared" si="17"/>
        <v>292.11</v>
      </c>
      <c r="S43" s="498">
        <f t="shared" si="17"/>
        <v>292.11</v>
      </c>
      <c r="T43" s="498">
        <f t="shared" si="17"/>
        <v>0</v>
      </c>
      <c r="U43" s="498">
        <f t="shared" si="17"/>
        <v>0</v>
      </c>
      <c r="V43" s="498">
        <f t="shared" si="17"/>
        <v>0</v>
      </c>
      <c r="W43" s="498">
        <f t="shared" si="17"/>
        <v>0</v>
      </c>
      <c r="X43" s="498">
        <f t="shared" si="17"/>
        <v>50</v>
      </c>
      <c r="Y43" s="498">
        <f t="shared" si="17"/>
        <v>0</v>
      </c>
      <c r="Z43" s="498">
        <f t="shared" si="17"/>
        <v>0</v>
      </c>
      <c r="AA43" s="498">
        <f t="shared" si="17"/>
        <v>0</v>
      </c>
      <c r="AB43" s="498">
        <f t="shared" si="17"/>
        <v>0</v>
      </c>
      <c r="AC43" s="498">
        <f t="shared" si="17"/>
        <v>0</v>
      </c>
      <c r="AD43" s="498">
        <f t="shared" si="17"/>
        <v>0</v>
      </c>
      <c r="AE43" s="498">
        <f t="shared" si="17"/>
        <v>0</v>
      </c>
      <c r="AF43" s="456"/>
      <c r="AG43" s="719"/>
    </row>
    <row r="44" spans="1:33" ht="21" x14ac:dyDescent="0.35">
      <c r="A44" s="453" t="s">
        <v>32</v>
      </c>
      <c r="B44" s="454">
        <f>SUM(H44,J44,L44,N44,P44,R44,T44,V44,X44,Z44,AB44,AD44)</f>
        <v>325</v>
      </c>
      <c r="C44" s="454">
        <f t="shared" ref="C44:C45" si="18">H44+J44+L44+N44+P44+R44</f>
        <v>277.5</v>
      </c>
      <c r="D44" s="454">
        <f>E44</f>
        <v>277.5</v>
      </c>
      <c r="E44" s="454">
        <f>SUM(I44,K44,M44,O44,Q44,S44,U44,W44,Y44,AA44,AC44,AE44)</f>
        <v>277.5</v>
      </c>
      <c r="F44" s="454">
        <f>IFERROR(E44/B44*100,0)</f>
        <v>85.384615384615387</v>
      </c>
      <c r="G44" s="454">
        <f>IFERROR(E44/C44*100,0)</f>
        <v>100</v>
      </c>
      <c r="H44" s="499">
        <f>H49+H54</f>
        <v>0</v>
      </c>
      <c r="I44" s="499">
        <f t="shared" ref="I44:AE46" si="19">I49+I54</f>
        <v>0</v>
      </c>
      <c r="J44" s="499">
        <f t="shared" si="19"/>
        <v>0</v>
      </c>
      <c r="K44" s="499">
        <f t="shared" si="19"/>
        <v>0</v>
      </c>
      <c r="L44" s="499">
        <f t="shared" si="19"/>
        <v>0</v>
      </c>
      <c r="M44" s="499">
        <f t="shared" si="19"/>
        <v>0</v>
      </c>
      <c r="N44" s="499">
        <f t="shared" si="19"/>
        <v>0</v>
      </c>
      <c r="O44" s="499">
        <f t="shared" si="19"/>
        <v>0</v>
      </c>
      <c r="P44" s="499">
        <f t="shared" si="19"/>
        <v>0</v>
      </c>
      <c r="Q44" s="499">
        <f t="shared" si="19"/>
        <v>0</v>
      </c>
      <c r="R44" s="499">
        <f t="shared" si="19"/>
        <v>277.5</v>
      </c>
      <c r="S44" s="499">
        <f t="shared" si="19"/>
        <v>277.5</v>
      </c>
      <c r="T44" s="499">
        <f t="shared" si="19"/>
        <v>0</v>
      </c>
      <c r="U44" s="499">
        <f t="shared" si="19"/>
        <v>0</v>
      </c>
      <c r="V44" s="499">
        <f t="shared" si="19"/>
        <v>0</v>
      </c>
      <c r="W44" s="499">
        <f t="shared" si="19"/>
        <v>0</v>
      </c>
      <c r="X44" s="499">
        <f t="shared" si="19"/>
        <v>47.5</v>
      </c>
      <c r="Y44" s="499">
        <f t="shared" si="19"/>
        <v>0</v>
      </c>
      <c r="Z44" s="499">
        <f t="shared" si="19"/>
        <v>0</v>
      </c>
      <c r="AA44" s="499">
        <f t="shared" si="19"/>
        <v>0</v>
      </c>
      <c r="AB44" s="499">
        <f t="shared" si="19"/>
        <v>0</v>
      </c>
      <c r="AC44" s="499">
        <f t="shared" si="19"/>
        <v>0</v>
      </c>
      <c r="AD44" s="499">
        <f t="shared" si="19"/>
        <v>0</v>
      </c>
      <c r="AE44" s="499">
        <f t="shared" si="19"/>
        <v>0</v>
      </c>
      <c r="AF44" s="455"/>
      <c r="AG44" s="719"/>
    </row>
    <row r="45" spans="1:33" ht="21" x14ac:dyDescent="0.35">
      <c r="A45" s="453" t="s">
        <v>33</v>
      </c>
      <c r="B45" s="454">
        <f>SUM(H45,J45,L45,N45,P45,R45,T45,V45,X45,Z45,AB45,AD45)</f>
        <v>17.11</v>
      </c>
      <c r="C45" s="454">
        <f t="shared" si="18"/>
        <v>14.61</v>
      </c>
      <c r="D45" s="454">
        <f>E45</f>
        <v>14.61</v>
      </c>
      <c r="E45" s="454">
        <f>SUM(I45,K45,M45,O45,Q45,S45,U45,W45,Y45,AA45,AC45,AE45)</f>
        <v>14.61</v>
      </c>
      <c r="F45" s="454">
        <f>IFERROR(E45/B45*100,0)</f>
        <v>85.388661601402688</v>
      </c>
      <c r="G45" s="454">
        <f>IFERROR(E45/C45*100,0)</f>
        <v>100</v>
      </c>
      <c r="H45" s="499">
        <f t="shared" ref="H45:W46" si="20">H50+H55</f>
        <v>0</v>
      </c>
      <c r="I45" s="499">
        <f t="shared" si="20"/>
        <v>0</v>
      </c>
      <c r="J45" s="499">
        <f t="shared" si="20"/>
        <v>0</v>
      </c>
      <c r="K45" s="499">
        <f t="shared" si="20"/>
        <v>0</v>
      </c>
      <c r="L45" s="499">
        <f t="shared" si="20"/>
        <v>0</v>
      </c>
      <c r="M45" s="499">
        <f t="shared" si="20"/>
        <v>0</v>
      </c>
      <c r="N45" s="499">
        <f t="shared" si="20"/>
        <v>0</v>
      </c>
      <c r="O45" s="499">
        <f t="shared" si="20"/>
        <v>0</v>
      </c>
      <c r="P45" s="499">
        <f t="shared" si="20"/>
        <v>0</v>
      </c>
      <c r="Q45" s="499">
        <f t="shared" si="20"/>
        <v>0</v>
      </c>
      <c r="R45" s="499">
        <f t="shared" si="20"/>
        <v>14.61</v>
      </c>
      <c r="S45" s="499">
        <f t="shared" si="20"/>
        <v>14.61</v>
      </c>
      <c r="T45" s="499">
        <f t="shared" si="20"/>
        <v>0</v>
      </c>
      <c r="U45" s="499">
        <f t="shared" si="20"/>
        <v>0</v>
      </c>
      <c r="V45" s="499">
        <f t="shared" si="20"/>
        <v>0</v>
      </c>
      <c r="W45" s="499">
        <f t="shared" si="20"/>
        <v>0</v>
      </c>
      <c r="X45" s="499">
        <f t="shared" si="19"/>
        <v>2.5</v>
      </c>
      <c r="Y45" s="499">
        <f t="shared" si="19"/>
        <v>0</v>
      </c>
      <c r="Z45" s="499">
        <f t="shared" si="19"/>
        <v>0</v>
      </c>
      <c r="AA45" s="499">
        <f t="shared" si="19"/>
        <v>0</v>
      </c>
      <c r="AB45" s="499">
        <f t="shared" si="19"/>
        <v>0</v>
      </c>
      <c r="AC45" s="499">
        <f t="shared" si="19"/>
        <v>0</v>
      </c>
      <c r="AD45" s="499">
        <f t="shared" si="19"/>
        <v>0</v>
      </c>
      <c r="AE45" s="499">
        <f t="shared" si="19"/>
        <v>0</v>
      </c>
      <c r="AF45" s="455"/>
      <c r="AG45" s="719"/>
    </row>
    <row r="46" spans="1:33" ht="37.5" x14ac:dyDescent="0.35">
      <c r="A46" s="472" t="s">
        <v>174</v>
      </c>
      <c r="B46" s="454">
        <f>SUM(H46,J46,L46,N46,P46,R46,T46,V46,X46,Z46,AB46,AD46)</f>
        <v>17.11</v>
      </c>
      <c r="C46" s="454">
        <f>H46+J46+L46+N46+P46+R46</f>
        <v>14.61</v>
      </c>
      <c r="D46" s="454">
        <f>E46</f>
        <v>14.61</v>
      </c>
      <c r="E46" s="454">
        <f>SUM(I46,K46,M46,O46,Q46,S46,U46,W46,Y46,AA46,AC46,AE46)</f>
        <v>14.61</v>
      </c>
      <c r="F46" s="454">
        <f>IFERROR(E46/B46*100,0)</f>
        <v>85.388661601402688</v>
      </c>
      <c r="G46" s="454">
        <f>IFERROR(E46/C46*100,0)</f>
        <v>100</v>
      </c>
      <c r="H46" s="499">
        <f t="shared" si="20"/>
        <v>0</v>
      </c>
      <c r="I46" s="499">
        <f t="shared" si="20"/>
        <v>0</v>
      </c>
      <c r="J46" s="499">
        <f t="shared" si="20"/>
        <v>0</v>
      </c>
      <c r="K46" s="499">
        <f t="shared" si="20"/>
        <v>0</v>
      </c>
      <c r="L46" s="499">
        <f t="shared" si="20"/>
        <v>0</v>
      </c>
      <c r="M46" s="499">
        <f t="shared" si="20"/>
        <v>0</v>
      </c>
      <c r="N46" s="499">
        <f t="shared" si="20"/>
        <v>0</v>
      </c>
      <c r="O46" s="499">
        <f t="shared" si="20"/>
        <v>0</v>
      </c>
      <c r="P46" s="499">
        <f t="shared" si="20"/>
        <v>0</v>
      </c>
      <c r="Q46" s="499">
        <f t="shared" si="20"/>
        <v>0</v>
      </c>
      <c r="R46" s="499">
        <f t="shared" si="20"/>
        <v>14.61</v>
      </c>
      <c r="S46" s="499">
        <f t="shared" si="20"/>
        <v>14.61</v>
      </c>
      <c r="T46" s="499">
        <f t="shared" si="20"/>
        <v>0</v>
      </c>
      <c r="U46" s="499">
        <f t="shared" si="20"/>
        <v>0</v>
      </c>
      <c r="V46" s="499">
        <f t="shared" si="20"/>
        <v>0</v>
      </c>
      <c r="W46" s="499">
        <f t="shared" si="20"/>
        <v>0</v>
      </c>
      <c r="X46" s="499">
        <f t="shared" si="19"/>
        <v>2.5</v>
      </c>
      <c r="Y46" s="499">
        <f t="shared" si="19"/>
        <v>0</v>
      </c>
      <c r="Z46" s="499">
        <f t="shared" si="19"/>
        <v>0</v>
      </c>
      <c r="AA46" s="499">
        <f t="shared" si="19"/>
        <v>0</v>
      </c>
      <c r="AB46" s="499">
        <f t="shared" si="19"/>
        <v>0</v>
      </c>
      <c r="AC46" s="499">
        <f t="shared" si="19"/>
        <v>0</v>
      </c>
      <c r="AD46" s="499">
        <f t="shared" si="19"/>
        <v>0</v>
      </c>
      <c r="AE46" s="499">
        <f t="shared" si="19"/>
        <v>0</v>
      </c>
      <c r="AF46" s="455"/>
      <c r="AG46" s="719"/>
    </row>
    <row r="47" spans="1:33" ht="21" x14ac:dyDescent="0.35">
      <c r="A47" s="1063" t="s">
        <v>345</v>
      </c>
      <c r="B47" s="1064"/>
      <c r="C47" s="1064"/>
      <c r="D47" s="1064"/>
      <c r="E47" s="1064"/>
      <c r="F47" s="1064"/>
      <c r="G47" s="1064"/>
      <c r="H47" s="1064"/>
      <c r="I47" s="1064"/>
      <c r="J47" s="1064"/>
      <c r="K47" s="1064"/>
      <c r="L47" s="1064"/>
      <c r="M47" s="1064"/>
      <c r="N47" s="1064"/>
      <c r="O47" s="1064"/>
      <c r="P47" s="1064"/>
      <c r="Q47" s="1064"/>
      <c r="R47" s="1064"/>
      <c r="S47" s="1064"/>
      <c r="T47" s="1064"/>
      <c r="U47" s="1064"/>
      <c r="V47" s="1064"/>
      <c r="W47" s="1064"/>
      <c r="X47" s="1064"/>
      <c r="Y47" s="1064"/>
      <c r="Z47" s="1064"/>
      <c r="AA47" s="1064"/>
      <c r="AB47" s="1064"/>
      <c r="AC47" s="1064"/>
      <c r="AD47" s="1064"/>
      <c r="AE47" s="1065"/>
      <c r="AF47" s="455"/>
      <c r="AG47" s="719"/>
    </row>
    <row r="48" spans="1:33" s="452" customFormat="1" ht="100.5" customHeight="1" x14ac:dyDescent="0.35">
      <c r="A48" s="449" t="s">
        <v>31</v>
      </c>
      <c r="B48" s="450">
        <f>B49+B50</f>
        <v>342.11</v>
      </c>
      <c r="C48" s="450">
        <f>C49+C50</f>
        <v>292.11</v>
      </c>
      <c r="D48" s="450">
        <f>D49+D50</f>
        <v>292.11</v>
      </c>
      <c r="E48" s="450">
        <f>E49+E50</f>
        <v>292.11</v>
      </c>
      <c r="F48" s="450">
        <f>IFERROR(E48/B48*100,0)</f>
        <v>85.384817748677321</v>
      </c>
      <c r="G48" s="450">
        <f>IFERROR(E48/C48*100,0)</f>
        <v>100</v>
      </c>
      <c r="H48" s="498">
        <f>H49+H50</f>
        <v>0</v>
      </c>
      <c r="I48" s="498">
        <f t="shared" ref="I48:AE48" si="21">I49+I50</f>
        <v>0</v>
      </c>
      <c r="J48" s="498">
        <f t="shared" si="21"/>
        <v>0</v>
      </c>
      <c r="K48" s="498">
        <f t="shared" si="21"/>
        <v>0</v>
      </c>
      <c r="L48" s="498">
        <f t="shared" si="21"/>
        <v>0</v>
      </c>
      <c r="M48" s="498">
        <f t="shared" si="21"/>
        <v>0</v>
      </c>
      <c r="N48" s="498">
        <f t="shared" si="21"/>
        <v>0</v>
      </c>
      <c r="O48" s="498">
        <f t="shared" si="21"/>
        <v>0</v>
      </c>
      <c r="P48" s="498">
        <f t="shared" si="21"/>
        <v>0</v>
      </c>
      <c r="Q48" s="498">
        <f t="shared" si="21"/>
        <v>0</v>
      </c>
      <c r="R48" s="498">
        <f t="shared" si="21"/>
        <v>292.11</v>
      </c>
      <c r="S48" s="498">
        <f t="shared" si="21"/>
        <v>292.11</v>
      </c>
      <c r="T48" s="498">
        <f t="shared" si="21"/>
        <v>0</v>
      </c>
      <c r="U48" s="498">
        <f t="shared" si="21"/>
        <v>0</v>
      </c>
      <c r="V48" s="498">
        <f t="shared" si="21"/>
        <v>0</v>
      </c>
      <c r="W48" s="498">
        <f t="shared" si="21"/>
        <v>0</v>
      </c>
      <c r="X48" s="498">
        <f t="shared" si="21"/>
        <v>50</v>
      </c>
      <c r="Y48" s="498">
        <f t="shared" si="21"/>
        <v>0</v>
      </c>
      <c r="Z48" s="498">
        <f t="shared" si="21"/>
        <v>0</v>
      </c>
      <c r="AA48" s="498">
        <f t="shared" si="21"/>
        <v>0</v>
      </c>
      <c r="AB48" s="498">
        <f t="shared" si="21"/>
        <v>0</v>
      </c>
      <c r="AC48" s="498">
        <f t="shared" si="21"/>
        <v>0</v>
      </c>
      <c r="AD48" s="498">
        <f t="shared" si="21"/>
        <v>0</v>
      </c>
      <c r="AE48" s="498">
        <f t="shared" si="21"/>
        <v>0</v>
      </c>
      <c r="AF48" s="455" t="s">
        <v>636</v>
      </c>
      <c r="AG48" s="719"/>
    </row>
    <row r="49" spans="1:33" ht="21" x14ac:dyDescent="0.35">
      <c r="A49" s="453" t="s">
        <v>32</v>
      </c>
      <c r="B49" s="599">
        <f>SUM(H49,J49,L49,N49,P49,R49,T49,V49,X49,Z49,AB49,AD49)</f>
        <v>325</v>
      </c>
      <c r="C49" s="454">
        <f>H49+J49+L49+N49+P49+R49</f>
        <v>277.5</v>
      </c>
      <c r="D49" s="454">
        <f>E49</f>
        <v>277.5</v>
      </c>
      <c r="E49" s="454">
        <f>SUM(I49,K49,M49,O49,Q49,S49,U49,W49,Y49,AA49,AC49,AE49)</f>
        <v>277.5</v>
      </c>
      <c r="F49" s="454">
        <f>IFERROR(E49/B49*100,0)</f>
        <v>85.384615384615387</v>
      </c>
      <c r="G49" s="454">
        <f>IFERROR(E49/C49*100,0)</f>
        <v>100</v>
      </c>
      <c r="H49" s="499">
        <v>0</v>
      </c>
      <c r="I49" s="499">
        <v>0</v>
      </c>
      <c r="J49" s="499">
        <v>0</v>
      </c>
      <c r="K49" s="499">
        <v>0</v>
      </c>
      <c r="L49" s="499">
        <v>0</v>
      </c>
      <c r="M49" s="499">
        <v>0</v>
      </c>
      <c r="N49" s="499">
        <v>0</v>
      </c>
      <c r="O49" s="499">
        <v>0</v>
      </c>
      <c r="P49" s="499">
        <v>0</v>
      </c>
      <c r="Q49" s="499">
        <v>0</v>
      </c>
      <c r="R49" s="499">
        <v>277.5</v>
      </c>
      <c r="S49" s="499">
        <v>277.5</v>
      </c>
      <c r="T49" s="499">
        <v>0</v>
      </c>
      <c r="U49" s="499">
        <v>0</v>
      </c>
      <c r="V49" s="499">
        <v>0</v>
      </c>
      <c r="W49" s="499">
        <v>0</v>
      </c>
      <c r="X49" s="499">
        <v>47.5</v>
      </c>
      <c r="Y49" s="499">
        <v>0</v>
      </c>
      <c r="Z49" s="499">
        <v>0</v>
      </c>
      <c r="AA49" s="499">
        <v>0</v>
      </c>
      <c r="AB49" s="499">
        <v>0</v>
      </c>
      <c r="AC49" s="499">
        <v>0</v>
      </c>
      <c r="AD49" s="499">
        <v>0</v>
      </c>
      <c r="AE49" s="499">
        <v>0</v>
      </c>
      <c r="AF49" s="455"/>
      <c r="AG49" s="719"/>
    </row>
    <row r="50" spans="1:33" ht="21" x14ac:dyDescent="0.35">
      <c r="A50" s="453" t="s">
        <v>33</v>
      </c>
      <c r="B50" s="454">
        <f>SUM(H50,J50,L50,N50,P50,R50,T50,V50,X50,Z50,AB50,AD50)</f>
        <v>17.11</v>
      </c>
      <c r="C50" s="454">
        <f t="shared" ref="C50:C51" si="22">H50+J50+L50+N50+P50+R50</f>
        <v>14.61</v>
      </c>
      <c r="D50" s="454">
        <f>E50</f>
        <v>14.61</v>
      </c>
      <c r="E50" s="454">
        <f>SUM(I50,K50,M50,O50,Q50,S50,U50,W50,Y50,AA50,AC50,AE50)</f>
        <v>14.61</v>
      </c>
      <c r="F50" s="454">
        <f>IFERROR(E50/B50*100,0)</f>
        <v>85.388661601402688</v>
      </c>
      <c r="G50" s="454">
        <f>IFERROR(E50/C50*100,0)</f>
        <v>100</v>
      </c>
      <c r="H50" s="499">
        <v>0</v>
      </c>
      <c r="I50" s="499">
        <v>0</v>
      </c>
      <c r="J50" s="499">
        <v>0</v>
      </c>
      <c r="K50" s="499">
        <v>0</v>
      </c>
      <c r="L50" s="499">
        <v>0</v>
      </c>
      <c r="M50" s="499">
        <v>0</v>
      </c>
      <c r="N50" s="499">
        <v>0</v>
      </c>
      <c r="O50" s="499">
        <v>0</v>
      </c>
      <c r="P50" s="499">
        <v>0</v>
      </c>
      <c r="Q50" s="499">
        <v>0</v>
      </c>
      <c r="R50" s="499">
        <v>14.61</v>
      </c>
      <c r="S50" s="499">
        <v>14.61</v>
      </c>
      <c r="T50" s="499">
        <v>0</v>
      </c>
      <c r="U50" s="499">
        <v>0</v>
      </c>
      <c r="V50" s="499">
        <v>0</v>
      </c>
      <c r="W50" s="499">
        <v>0</v>
      </c>
      <c r="X50" s="499">
        <v>2.5</v>
      </c>
      <c r="Y50" s="499">
        <v>0</v>
      </c>
      <c r="Z50" s="499">
        <v>0</v>
      </c>
      <c r="AA50" s="499">
        <v>0</v>
      </c>
      <c r="AB50" s="499">
        <v>0</v>
      </c>
      <c r="AC50" s="499">
        <v>0</v>
      </c>
      <c r="AD50" s="499">
        <v>0</v>
      </c>
      <c r="AE50" s="499">
        <v>0</v>
      </c>
      <c r="AF50" s="455"/>
      <c r="AG50" s="719"/>
    </row>
    <row r="51" spans="1:33" ht="37.5" x14ac:dyDescent="0.35">
      <c r="A51" s="472" t="s">
        <v>174</v>
      </c>
      <c r="B51" s="454">
        <f>SUM(H51,J51,L51,N51,P51,R51,T51,V51,X51,Z51,AB51,AD51)</f>
        <v>17.11</v>
      </c>
      <c r="C51" s="454">
        <f t="shared" si="22"/>
        <v>14.61</v>
      </c>
      <c r="D51" s="454">
        <f>E51</f>
        <v>14.61</v>
      </c>
      <c r="E51" s="454">
        <f>SUM(I51,K51,M51,O51,Q51,S51,U51,W51,Y51,AA51,AC51,AE51)</f>
        <v>14.61</v>
      </c>
      <c r="F51" s="454">
        <f>IFERROR(E51/B51*100,0)</f>
        <v>85.388661601402688</v>
      </c>
      <c r="G51" s="454">
        <f>IFERROR(E51/C51*100,0)</f>
        <v>100</v>
      </c>
      <c r="H51" s="499">
        <v>0</v>
      </c>
      <c r="I51" s="499">
        <v>0</v>
      </c>
      <c r="J51" s="499">
        <v>0</v>
      </c>
      <c r="K51" s="499">
        <v>0</v>
      </c>
      <c r="L51" s="499">
        <v>0</v>
      </c>
      <c r="M51" s="499">
        <v>0</v>
      </c>
      <c r="N51" s="499">
        <v>0</v>
      </c>
      <c r="O51" s="499">
        <v>0</v>
      </c>
      <c r="P51" s="499">
        <v>0</v>
      </c>
      <c r="Q51" s="499">
        <v>0</v>
      </c>
      <c r="R51" s="499">
        <v>14.61</v>
      </c>
      <c r="S51" s="499">
        <v>14.61</v>
      </c>
      <c r="T51" s="499">
        <v>0</v>
      </c>
      <c r="U51" s="499">
        <v>0</v>
      </c>
      <c r="V51" s="499">
        <v>0</v>
      </c>
      <c r="W51" s="499">
        <v>0</v>
      </c>
      <c r="X51" s="499">
        <v>2.5</v>
      </c>
      <c r="Y51" s="499">
        <v>0</v>
      </c>
      <c r="Z51" s="499">
        <v>0</v>
      </c>
      <c r="AA51" s="499">
        <v>0</v>
      </c>
      <c r="AB51" s="499">
        <v>0</v>
      </c>
      <c r="AC51" s="499">
        <v>0</v>
      </c>
      <c r="AD51" s="499">
        <v>0</v>
      </c>
      <c r="AE51" s="499">
        <v>0</v>
      </c>
      <c r="AF51" s="455"/>
      <c r="AG51" s="719"/>
    </row>
    <row r="52" spans="1:33" ht="21" x14ac:dyDescent="0.35">
      <c r="A52" s="1063" t="s">
        <v>346</v>
      </c>
      <c r="B52" s="1064"/>
      <c r="C52" s="1064"/>
      <c r="D52" s="1064"/>
      <c r="E52" s="1064"/>
      <c r="F52" s="1064"/>
      <c r="G52" s="1064"/>
      <c r="H52" s="1064"/>
      <c r="I52" s="1064"/>
      <c r="J52" s="1064"/>
      <c r="K52" s="1064"/>
      <c r="L52" s="1064"/>
      <c r="M52" s="1064"/>
      <c r="N52" s="1064"/>
      <c r="O52" s="1064"/>
      <c r="P52" s="1064"/>
      <c r="Q52" s="1064"/>
      <c r="R52" s="1064"/>
      <c r="S52" s="1064"/>
      <c r="T52" s="1064"/>
      <c r="U52" s="1064"/>
      <c r="V52" s="1064"/>
      <c r="W52" s="1064"/>
      <c r="X52" s="1064"/>
      <c r="Y52" s="1064"/>
      <c r="Z52" s="1064"/>
      <c r="AA52" s="1064"/>
      <c r="AB52" s="1064"/>
      <c r="AC52" s="1064"/>
      <c r="AD52" s="1064"/>
      <c r="AE52" s="1065"/>
      <c r="AF52" s="455"/>
      <c r="AG52" s="719"/>
    </row>
    <row r="53" spans="1:33" s="452" customFormat="1" ht="21" x14ac:dyDescent="0.35">
      <c r="A53" s="449" t="s">
        <v>31</v>
      </c>
      <c r="B53" s="450">
        <f>B54+B55</f>
        <v>0</v>
      </c>
      <c r="C53" s="450">
        <f>C54+C55</f>
        <v>0</v>
      </c>
      <c r="D53" s="450">
        <f>D54+D55</f>
        <v>0</v>
      </c>
      <c r="E53" s="450">
        <f>E54+E55</f>
        <v>0</v>
      </c>
      <c r="F53" s="450">
        <f>IFERROR(E53/B53*100,0)</f>
        <v>0</v>
      </c>
      <c r="G53" s="450">
        <f>IFERROR(E53/C53*100,0)</f>
        <v>0</v>
      </c>
      <c r="H53" s="498">
        <f>H54+H55</f>
        <v>0</v>
      </c>
      <c r="I53" s="498">
        <f t="shared" ref="I53:AE53" si="23">I54+I55</f>
        <v>0</v>
      </c>
      <c r="J53" s="498">
        <f t="shared" si="23"/>
        <v>0</v>
      </c>
      <c r="K53" s="498">
        <f t="shared" si="23"/>
        <v>0</v>
      </c>
      <c r="L53" s="498">
        <f t="shared" si="23"/>
        <v>0</v>
      </c>
      <c r="M53" s="498">
        <f t="shared" si="23"/>
        <v>0</v>
      </c>
      <c r="N53" s="498">
        <f t="shared" si="23"/>
        <v>0</v>
      </c>
      <c r="O53" s="498">
        <f t="shared" si="23"/>
        <v>0</v>
      </c>
      <c r="P53" s="498">
        <f t="shared" si="23"/>
        <v>0</v>
      </c>
      <c r="Q53" s="498">
        <f t="shared" si="23"/>
        <v>0</v>
      </c>
      <c r="R53" s="498">
        <f t="shared" si="23"/>
        <v>0</v>
      </c>
      <c r="S53" s="498">
        <f t="shared" si="23"/>
        <v>0</v>
      </c>
      <c r="T53" s="498">
        <f t="shared" si="23"/>
        <v>0</v>
      </c>
      <c r="U53" s="498">
        <f t="shared" si="23"/>
        <v>0</v>
      </c>
      <c r="V53" s="498">
        <f t="shared" si="23"/>
        <v>0</v>
      </c>
      <c r="W53" s="498">
        <f t="shared" si="23"/>
        <v>0</v>
      </c>
      <c r="X53" s="498">
        <f t="shared" si="23"/>
        <v>0</v>
      </c>
      <c r="Y53" s="498">
        <f t="shared" si="23"/>
        <v>0</v>
      </c>
      <c r="Z53" s="498">
        <f t="shared" si="23"/>
        <v>0</v>
      </c>
      <c r="AA53" s="498">
        <f t="shared" si="23"/>
        <v>0</v>
      </c>
      <c r="AB53" s="498">
        <f t="shared" si="23"/>
        <v>0</v>
      </c>
      <c r="AC53" s="498">
        <f t="shared" si="23"/>
        <v>0</v>
      </c>
      <c r="AD53" s="498">
        <f t="shared" si="23"/>
        <v>0</v>
      </c>
      <c r="AE53" s="498">
        <f t="shared" si="23"/>
        <v>0</v>
      </c>
      <c r="AF53" s="456"/>
      <c r="AG53" s="719"/>
    </row>
    <row r="54" spans="1:33" ht="21" x14ac:dyDescent="0.35">
      <c r="A54" s="453" t="s">
        <v>32</v>
      </c>
      <c r="B54" s="454">
        <f>SUM(H54,J54,L54,N54,P54,R54,T54,V54,X54,Z54,AB54,AD54)</f>
        <v>0</v>
      </c>
      <c r="C54" s="454">
        <f>H54+J54+L54+N54+P54+R54</f>
        <v>0</v>
      </c>
      <c r="D54" s="454">
        <f>E54</f>
        <v>0</v>
      </c>
      <c r="E54" s="454">
        <f>SUM(I54,K54,M54,O54,Q54,S54,U54,W54,Y54,AA54,AC54,AE54)</f>
        <v>0</v>
      </c>
      <c r="F54" s="454">
        <f>IFERROR(E54/B54*100,0)</f>
        <v>0</v>
      </c>
      <c r="G54" s="454">
        <f>IFERROR(E54/C54*100,0)</f>
        <v>0</v>
      </c>
      <c r="H54" s="499">
        <f>H59</f>
        <v>0</v>
      </c>
      <c r="I54" s="499">
        <f t="shared" ref="I54:AE56" si="24">I59</f>
        <v>0</v>
      </c>
      <c r="J54" s="499">
        <f t="shared" si="24"/>
        <v>0</v>
      </c>
      <c r="K54" s="499">
        <f t="shared" si="24"/>
        <v>0</v>
      </c>
      <c r="L54" s="499">
        <f t="shared" si="24"/>
        <v>0</v>
      </c>
      <c r="M54" s="499">
        <f t="shared" si="24"/>
        <v>0</v>
      </c>
      <c r="N54" s="499">
        <f t="shared" si="24"/>
        <v>0</v>
      </c>
      <c r="O54" s="499">
        <f t="shared" si="24"/>
        <v>0</v>
      </c>
      <c r="P54" s="499">
        <f t="shared" si="24"/>
        <v>0</v>
      </c>
      <c r="Q54" s="499">
        <f t="shared" si="24"/>
        <v>0</v>
      </c>
      <c r="R54" s="499">
        <f t="shared" si="24"/>
        <v>0</v>
      </c>
      <c r="S54" s="499">
        <f t="shared" si="24"/>
        <v>0</v>
      </c>
      <c r="T54" s="499">
        <f t="shared" si="24"/>
        <v>0</v>
      </c>
      <c r="U54" s="499">
        <f t="shared" si="24"/>
        <v>0</v>
      </c>
      <c r="V54" s="499">
        <f t="shared" si="24"/>
        <v>0</v>
      </c>
      <c r="W54" s="499">
        <f t="shared" si="24"/>
        <v>0</v>
      </c>
      <c r="X54" s="499">
        <f t="shared" si="24"/>
        <v>0</v>
      </c>
      <c r="Y54" s="499">
        <f t="shared" si="24"/>
        <v>0</v>
      </c>
      <c r="Z54" s="499">
        <f t="shared" si="24"/>
        <v>0</v>
      </c>
      <c r="AA54" s="499">
        <f t="shared" si="24"/>
        <v>0</v>
      </c>
      <c r="AB54" s="499">
        <f t="shared" si="24"/>
        <v>0</v>
      </c>
      <c r="AC54" s="499">
        <f t="shared" si="24"/>
        <v>0</v>
      </c>
      <c r="AD54" s="499">
        <f t="shared" si="24"/>
        <v>0</v>
      </c>
      <c r="AE54" s="499">
        <f t="shared" si="24"/>
        <v>0</v>
      </c>
      <c r="AF54" s="455"/>
      <c r="AG54" s="719"/>
    </row>
    <row r="55" spans="1:33" ht="21" x14ac:dyDescent="0.35">
      <c r="A55" s="453" t="s">
        <v>33</v>
      </c>
      <c r="B55" s="454">
        <f>SUM(H55,J55,L55,N55,P55,R55,T55,V55,X55,Z55,AB55,AD55)</f>
        <v>0</v>
      </c>
      <c r="C55" s="454">
        <f t="shared" ref="C55:C56" si="25">H55+J55+L55+N55+P55+R55</f>
        <v>0</v>
      </c>
      <c r="D55" s="454">
        <f>E55</f>
        <v>0</v>
      </c>
      <c r="E55" s="454">
        <f>SUM(I55,K55,M55,O55,Q55,S55,U55,W55,Y55,AA55,AC55,AE55)</f>
        <v>0</v>
      </c>
      <c r="F55" s="454">
        <f>IFERROR(E55/B55*100,0)</f>
        <v>0</v>
      </c>
      <c r="G55" s="454">
        <f>IFERROR(E55/C55*100,0)</f>
        <v>0</v>
      </c>
      <c r="H55" s="499">
        <f t="shared" ref="H55:W56" si="26">H60</f>
        <v>0</v>
      </c>
      <c r="I55" s="499">
        <f t="shared" si="26"/>
        <v>0</v>
      </c>
      <c r="J55" s="499">
        <f t="shared" si="26"/>
        <v>0</v>
      </c>
      <c r="K55" s="499">
        <f t="shared" si="26"/>
        <v>0</v>
      </c>
      <c r="L55" s="499">
        <f t="shared" si="26"/>
        <v>0</v>
      </c>
      <c r="M55" s="499">
        <f t="shared" si="26"/>
        <v>0</v>
      </c>
      <c r="N55" s="499">
        <f t="shared" si="26"/>
        <v>0</v>
      </c>
      <c r="O55" s="499">
        <f t="shared" si="26"/>
        <v>0</v>
      </c>
      <c r="P55" s="499">
        <f t="shared" si="26"/>
        <v>0</v>
      </c>
      <c r="Q55" s="499">
        <f t="shared" si="26"/>
        <v>0</v>
      </c>
      <c r="R55" s="499">
        <f t="shared" si="26"/>
        <v>0</v>
      </c>
      <c r="S55" s="499">
        <f t="shared" si="26"/>
        <v>0</v>
      </c>
      <c r="T55" s="499">
        <f t="shared" si="26"/>
        <v>0</v>
      </c>
      <c r="U55" s="499">
        <f t="shared" si="26"/>
        <v>0</v>
      </c>
      <c r="V55" s="499">
        <f t="shared" si="26"/>
        <v>0</v>
      </c>
      <c r="W55" s="499">
        <f t="shared" si="26"/>
        <v>0</v>
      </c>
      <c r="X55" s="499">
        <f t="shared" si="24"/>
        <v>0</v>
      </c>
      <c r="Y55" s="499">
        <f t="shared" si="24"/>
        <v>0</v>
      </c>
      <c r="Z55" s="499">
        <f t="shared" si="24"/>
        <v>0</v>
      </c>
      <c r="AA55" s="499">
        <f t="shared" si="24"/>
        <v>0</v>
      </c>
      <c r="AB55" s="499">
        <f t="shared" si="24"/>
        <v>0</v>
      </c>
      <c r="AC55" s="499">
        <f t="shared" si="24"/>
        <v>0</v>
      </c>
      <c r="AD55" s="499">
        <f t="shared" si="24"/>
        <v>0</v>
      </c>
      <c r="AE55" s="499">
        <f t="shared" si="24"/>
        <v>0</v>
      </c>
      <c r="AF55" s="455"/>
      <c r="AG55" s="719"/>
    </row>
    <row r="56" spans="1:33" ht="37.5" x14ac:dyDescent="0.35">
      <c r="A56" s="472" t="s">
        <v>174</v>
      </c>
      <c r="B56" s="454">
        <f>SUM(H56,J56,L56,N56,P56,R56,T56,V56,X56,Z56,AB56,AD56)</f>
        <v>0</v>
      </c>
      <c r="C56" s="454">
        <f t="shared" si="25"/>
        <v>0</v>
      </c>
      <c r="D56" s="454">
        <f>E56</f>
        <v>0</v>
      </c>
      <c r="E56" s="454">
        <f>SUM(I56,K56,M56,O56,Q56,S56,U56,W56,Y56,AA56,AC56,AE56)</f>
        <v>0</v>
      </c>
      <c r="F56" s="454">
        <f>IFERROR(E56/B56*100,0)</f>
        <v>0</v>
      </c>
      <c r="G56" s="454">
        <f>IFERROR(E56/C56*100,0)</f>
        <v>0</v>
      </c>
      <c r="H56" s="499">
        <f t="shared" si="26"/>
        <v>0</v>
      </c>
      <c r="I56" s="499">
        <f t="shared" si="26"/>
        <v>0</v>
      </c>
      <c r="J56" s="499">
        <f t="shared" si="26"/>
        <v>0</v>
      </c>
      <c r="K56" s="499">
        <f t="shared" si="26"/>
        <v>0</v>
      </c>
      <c r="L56" s="499">
        <f t="shared" si="26"/>
        <v>0</v>
      </c>
      <c r="M56" s="499">
        <f t="shared" si="26"/>
        <v>0</v>
      </c>
      <c r="N56" s="499">
        <f t="shared" si="26"/>
        <v>0</v>
      </c>
      <c r="O56" s="499">
        <f t="shared" si="26"/>
        <v>0</v>
      </c>
      <c r="P56" s="499">
        <f t="shared" si="26"/>
        <v>0</v>
      </c>
      <c r="Q56" s="499">
        <f t="shared" si="26"/>
        <v>0</v>
      </c>
      <c r="R56" s="499">
        <f t="shared" si="26"/>
        <v>0</v>
      </c>
      <c r="S56" s="499">
        <f t="shared" si="26"/>
        <v>0</v>
      </c>
      <c r="T56" s="499">
        <f t="shared" si="26"/>
        <v>0</v>
      </c>
      <c r="U56" s="499">
        <f t="shared" si="26"/>
        <v>0</v>
      </c>
      <c r="V56" s="499">
        <f t="shared" si="26"/>
        <v>0</v>
      </c>
      <c r="W56" s="499">
        <f t="shared" si="26"/>
        <v>0</v>
      </c>
      <c r="X56" s="499">
        <f t="shared" si="24"/>
        <v>0</v>
      </c>
      <c r="Y56" s="499">
        <f t="shared" si="24"/>
        <v>0</v>
      </c>
      <c r="Z56" s="499">
        <f t="shared" si="24"/>
        <v>0</v>
      </c>
      <c r="AA56" s="499">
        <f t="shared" si="24"/>
        <v>0</v>
      </c>
      <c r="AB56" s="499">
        <f t="shared" si="24"/>
        <v>0</v>
      </c>
      <c r="AC56" s="499">
        <f t="shared" si="24"/>
        <v>0</v>
      </c>
      <c r="AD56" s="499">
        <f t="shared" si="24"/>
        <v>0</v>
      </c>
      <c r="AE56" s="499">
        <f t="shared" si="24"/>
        <v>0</v>
      </c>
      <c r="AF56" s="455"/>
      <c r="AG56" s="719"/>
    </row>
    <row r="57" spans="1:33" ht="21" x14ac:dyDescent="0.35">
      <c r="A57" s="1063" t="s">
        <v>347</v>
      </c>
      <c r="B57" s="1064"/>
      <c r="C57" s="1064"/>
      <c r="D57" s="1064"/>
      <c r="E57" s="1064"/>
      <c r="F57" s="1064"/>
      <c r="G57" s="1064"/>
      <c r="H57" s="1064"/>
      <c r="I57" s="1064"/>
      <c r="J57" s="1064"/>
      <c r="K57" s="1064"/>
      <c r="L57" s="1064"/>
      <c r="M57" s="1064"/>
      <c r="N57" s="1064"/>
      <c r="O57" s="1064"/>
      <c r="P57" s="1064"/>
      <c r="Q57" s="1064"/>
      <c r="R57" s="1064"/>
      <c r="S57" s="1064"/>
      <c r="T57" s="1064"/>
      <c r="U57" s="1064"/>
      <c r="V57" s="1064"/>
      <c r="W57" s="1064"/>
      <c r="X57" s="1064"/>
      <c r="Y57" s="1064"/>
      <c r="Z57" s="1064"/>
      <c r="AA57" s="1064"/>
      <c r="AB57" s="1064"/>
      <c r="AC57" s="1064"/>
      <c r="AD57" s="1064"/>
      <c r="AE57" s="1065"/>
      <c r="AF57" s="473"/>
      <c r="AG57" s="719"/>
    </row>
    <row r="58" spans="1:33" s="452" customFormat="1" ht="21" x14ac:dyDescent="0.35">
      <c r="A58" s="449" t="s">
        <v>31</v>
      </c>
      <c r="B58" s="450">
        <f>B59+B60</f>
        <v>0</v>
      </c>
      <c r="C58" s="450">
        <f>C59+C60</f>
        <v>0</v>
      </c>
      <c r="D58" s="450">
        <f>D59+D60</f>
        <v>0</v>
      </c>
      <c r="E58" s="450">
        <f>E59+E60</f>
        <v>0</v>
      </c>
      <c r="F58" s="450">
        <f>IFERROR(E58/B58*100,0)</f>
        <v>0</v>
      </c>
      <c r="G58" s="450">
        <f>IFERROR(E58/C58*100,0)</f>
        <v>0</v>
      </c>
      <c r="H58" s="498">
        <f>H59+H60</f>
        <v>0</v>
      </c>
      <c r="I58" s="498">
        <f t="shared" ref="I58:AE58" si="27">I59+I60</f>
        <v>0</v>
      </c>
      <c r="J58" s="498">
        <f t="shared" si="27"/>
        <v>0</v>
      </c>
      <c r="K58" s="498">
        <f t="shared" si="27"/>
        <v>0</v>
      </c>
      <c r="L58" s="498">
        <f t="shared" si="27"/>
        <v>0</v>
      </c>
      <c r="M58" s="498">
        <f t="shared" si="27"/>
        <v>0</v>
      </c>
      <c r="N58" s="498">
        <f t="shared" si="27"/>
        <v>0</v>
      </c>
      <c r="O58" s="498">
        <f t="shared" si="27"/>
        <v>0</v>
      </c>
      <c r="P58" s="498">
        <f t="shared" si="27"/>
        <v>0</v>
      </c>
      <c r="Q58" s="498">
        <f t="shared" si="27"/>
        <v>0</v>
      </c>
      <c r="R58" s="498">
        <f t="shared" si="27"/>
        <v>0</v>
      </c>
      <c r="S58" s="498">
        <f t="shared" si="27"/>
        <v>0</v>
      </c>
      <c r="T58" s="498">
        <f t="shared" si="27"/>
        <v>0</v>
      </c>
      <c r="U58" s="498">
        <f t="shared" si="27"/>
        <v>0</v>
      </c>
      <c r="V58" s="498">
        <f t="shared" si="27"/>
        <v>0</v>
      </c>
      <c r="W58" s="498">
        <f t="shared" si="27"/>
        <v>0</v>
      </c>
      <c r="X58" s="498">
        <f t="shared" si="27"/>
        <v>0</v>
      </c>
      <c r="Y58" s="498">
        <f t="shared" si="27"/>
        <v>0</v>
      </c>
      <c r="Z58" s="498">
        <f t="shared" si="27"/>
        <v>0</v>
      </c>
      <c r="AA58" s="498">
        <f t="shared" si="27"/>
        <v>0</v>
      </c>
      <c r="AB58" s="498">
        <f t="shared" si="27"/>
        <v>0</v>
      </c>
      <c r="AC58" s="498">
        <f t="shared" si="27"/>
        <v>0</v>
      </c>
      <c r="AD58" s="498">
        <f t="shared" si="27"/>
        <v>0</v>
      </c>
      <c r="AE58" s="498">
        <f t="shared" si="27"/>
        <v>0</v>
      </c>
      <c r="AF58" s="456"/>
      <c r="AG58" s="719"/>
    </row>
    <row r="59" spans="1:33" ht="21" x14ac:dyDescent="0.35">
      <c r="A59" s="453" t="s">
        <v>32</v>
      </c>
      <c r="B59" s="599">
        <f>SUM(H59,J59,L59,N59,P59,R59,T59,V59,X59,Z59,AB59,AD59)</f>
        <v>0</v>
      </c>
      <c r="C59" s="454">
        <f>H59+J59+L59+N59+P59+R59</f>
        <v>0</v>
      </c>
      <c r="D59" s="454">
        <f>E59</f>
        <v>0</v>
      </c>
      <c r="E59" s="454">
        <f>SUM(I59,K59,M59,O59,Q59,S59,U59,W59,Y59,AA59,AC59,AE59)</f>
        <v>0</v>
      </c>
      <c r="F59" s="454">
        <f>IFERROR(E59/B59*100,0)</f>
        <v>0</v>
      </c>
      <c r="G59" s="454">
        <f>IFERROR(E59/C59*100,0)</f>
        <v>0</v>
      </c>
      <c r="H59" s="499">
        <v>0</v>
      </c>
      <c r="I59" s="499">
        <v>0</v>
      </c>
      <c r="J59" s="499">
        <v>0</v>
      </c>
      <c r="K59" s="499">
        <v>0</v>
      </c>
      <c r="L59" s="499">
        <v>0</v>
      </c>
      <c r="M59" s="499">
        <v>0</v>
      </c>
      <c r="N59" s="499">
        <v>0</v>
      </c>
      <c r="O59" s="499">
        <v>0</v>
      </c>
      <c r="P59" s="499">
        <v>0</v>
      </c>
      <c r="Q59" s="499">
        <v>0</v>
      </c>
      <c r="R59" s="499">
        <v>0</v>
      </c>
      <c r="S59" s="499">
        <v>0</v>
      </c>
      <c r="T59" s="499">
        <v>0</v>
      </c>
      <c r="U59" s="499">
        <v>0</v>
      </c>
      <c r="V59" s="499">
        <v>0</v>
      </c>
      <c r="W59" s="499">
        <v>0</v>
      </c>
      <c r="X59" s="499">
        <v>0</v>
      </c>
      <c r="Y59" s="499">
        <v>0</v>
      </c>
      <c r="Z59" s="499">
        <v>0</v>
      </c>
      <c r="AA59" s="499">
        <v>0</v>
      </c>
      <c r="AB59" s="499">
        <v>0</v>
      </c>
      <c r="AC59" s="499">
        <v>0</v>
      </c>
      <c r="AD59" s="499">
        <v>0</v>
      </c>
      <c r="AE59" s="499">
        <v>0</v>
      </c>
      <c r="AF59" s="455"/>
      <c r="AG59" s="719"/>
    </row>
    <row r="60" spans="1:33" ht="21" x14ac:dyDescent="0.35">
      <c r="A60" s="453" t="s">
        <v>33</v>
      </c>
      <c r="B60" s="454">
        <f>SUM(H60,J60,L60,N60,P60,R60,T60,V60,X60,Z60,AB60,AD60)</f>
        <v>0</v>
      </c>
      <c r="C60" s="454">
        <f t="shared" ref="C60:C61" si="28">H60+J60+L60+N60+P60+R60</f>
        <v>0</v>
      </c>
      <c r="D60" s="454">
        <f>E60</f>
        <v>0</v>
      </c>
      <c r="E60" s="454">
        <f>SUM(I60,K60,M60,O60,Q60,S60,U60,W60,Y60,AA60,AC60,AE60)</f>
        <v>0</v>
      </c>
      <c r="F60" s="454">
        <f>IFERROR(E60/B60*100,0)</f>
        <v>0</v>
      </c>
      <c r="G60" s="454">
        <f>IFERROR(E60/C60*100,0)</f>
        <v>0</v>
      </c>
      <c r="H60" s="499">
        <v>0</v>
      </c>
      <c r="I60" s="499">
        <v>0</v>
      </c>
      <c r="J60" s="499">
        <v>0</v>
      </c>
      <c r="K60" s="499">
        <v>0</v>
      </c>
      <c r="L60" s="499">
        <v>0</v>
      </c>
      <c r="M60" s="499">
        <v>0</v>
      </c>
      <c r="N60" s="499">
        <v>0</v>
      </c>
      <c r="O60" s="499">
        <v>0</v>
      </c>
      <c r="P60" s="499">
        <v>0</v>
      </c>
      <c r="Q60" s="499">
        <v>0</v>
      </c>
      <c r="R60" s="499">
        <v>0</v>
      </c>
      <c r="S60" s="499">
        <v>0</v>
      </c>
      <c r="T60" s="499">
        <v>0</v>
      </c>
      <c r="U60" s="499">
        <v>0</v>
      </c>
      <c r="V60" s="499">
        <v>0</v>
      </c>
      <c r="W60" s="499">
        <v>0</v>
      </c>
      <c r="X60" s="499">
        <v>0</v>
      </c>
      <c r="Y60" s="499">
        <v>0</v>
      </c>
      <c r="Z60" s="499">
        <v>0</v>
      </c>
      <c r="AA60" s="499">
        <v>0</v>
      </c>
      <c r="AB60" s="499">
        <v>0</v>
      </c>
      <c r="AC60" s="499">
        <v>0</v>
      </c>
      <c r="AD60" s="499">
        <v>0</v>
      </c>
      <c r="AE60" s="499">
        <v>0</v>
      </c>
      <c r="AF60" s="455"/>
      <c r="AG60" s="719"/>
    </row>
    <row r="61" spans="1:33" ht="37.5" x14ac:dyDescent="0.35">
      <c r="A61" s="472" t="s">
        <v>174</v>
      </c>
      <c r="B61" s="454">
        <f>SUM(H61,J61,L61,N61,P61,R61,T61,V61,X61,Z61,AB61,AD61)</f>
        <v>0</v>
      </c>
      <c r="C61" s="454">
        <f t="shared" si="28"/>
        <v>0</v>
      </c>
      <c r="D61" s="454">
        <f>E61</f>
        <v>0</v>
      </c>
      <c r="E61" s="454">
        <f>SUM(I61,K61,M61,O61,Q61,S61,U61,W61,Y61,AA61,AC61,AE61)</f>
        <v>0</v>
      </c>
      <c r="F61" s="454">
        <f>IFERROR(E61/B61*100,0)</f>
        <v>0</v>
      </c>
      <c r="G61" s="454">
        <f>IFERROR(E61/C61*100,0)</f>
        <v>0</v>
      </c>
      <c r="H61" s="499">
        <v>0</v>
      </c>
      <c r="I61" s="499">
        <v>0</v>
      </c>
      <c r="J61" s="499">
        <v>0</v>
      </c>
      <c r="K61" s="499">
        <v>0</v>
      </c>
      <c r="L61" s="499">
        <v>0</v>
      </c>
      <c r="M61" s="499">
        <v>0</v>
      </c>
      <c r="N61" s="499">
        <v>0</v>
      </c>
      <c r="O61" s="499">
        <v>0</v>
      </c>
      <c r="P61" s="499">
        <v>0</v>
      </c>
      <c r="Q61" s="499">
        <v>0</v>
      </c>
      <c r="R61" s="499">
        <v>0</v>
      </c>
      <c r="S61" s="499">
        <v>0</v>
      </c>
      <c r="T61" s="499">
        <v>0</v>
      </c>
      <c r="U61" s="499">
        <v>0</v>
      </c>
      <c r="V61" s="499">
        <v>0</v>
      </c>
      <c r="W61" s="499">
        <v>0</v>
      </c>
      <c r="X61" s="499">
        <v>0</v>
      </c>
      <c r="Y61" s="499">
        <v>0</v>
      </c>
      <c r="Z61" s="499">
        <v>0</v>
      </c>
      <c r="AA61" s="499">
        <v>0</v>
      </c>
      <c r="AB61" s="499">
        <v>0</v>
      </c>
      <c r="AC61" s="499">
        <v>0</v>
      </c>
      <c r="AD61" s="499">
        <v>0</v>
      </c>
      <c r="AE61" s="499">
        <v>0</v>
      </c>
      <c r="AF61" s="455"/>
      <c r="AG61" s="719"/>
    </row>
    <row r="62" spans="1:33" ht="21" x14ac:dyDescent="0.35">
      <c r="A62" s="1075" t="s">
        <v>348</v>
      </c>
      <c r="B62" s="1075"/>
      <c r="C62" s="1075"/>
      <c r="D62" s="1075"/>
      <c r="E62" s="1075"/>
      <c r="F62" s="1075"/>
      <c r="G62" s="1075"/>
      <c r="H62" s="1075"/>
      <c r="I62" s="1075"/>
      <c r="J62" s="1075"/>
      <c r="K62" s="1075"/>
      <c r="L62" s="1075"/>
      <c r="M62" s="1075"/>
      <c r="N62" s="1075"/>
      <c r="O62" s="1075"/>
      <c r="P62" s="1075"/>
      <c r="Q62" s="1075"/>
      <c r="R62" s="1075"/>
      <c r="S62" s="1075"/>
      <c r="T62" s="1075"/>
      <c r="U62" s="1075"/>
      <c r="V62" s="1075"/>
      <c r="W62" s="1075"/>
      <c r="X62" s="1075"/>
      <c r="Y62" s="1075"/>
      <c r="Z62" s="1075"/>
      <c r="AA62" s="1075"/>
      <c r="AB62" s="1075"/>
      <c r="AC62" s="1075"/>
      <c r="AD62" s="1075"/>
      <c r="AE62" s="1075"/>
      <c r="AF62" s="474"/>
      <c r="AG62" s="719"/>
    </row>
    <row r="63" spans="1:33" s="452" customFormat="1" ht="21" x14ac:dyDescent="0.35">
      <c r="A63" s="449" t="s">
        <v>31</v>
      </c>
      <c r="B63" s="450">
        <f>B64+B65</f>
        <v>8831.2000000000007</v>
      </c>
      <c r="C63" s="450">
        <f>C64+C65</f>
        <v>8738.1</v>
      </c>
      <c r="D63" s="450">
        <f>D64+D65</f>
        <v>6040.8760000000002</v>
      </c>
      <c r="E63" s="450">
        <f>E64+E65</f>
        <v>6040.8760000000002</v>
      </c>
      <c r="F63" s="450">
        <f>IFERROR(E63/B63*100,0)</f>
        <v>68.403795633662469</v>
      </c>
      <c r="G63" s="450">
        <f>IFERROR(E63/C63*100,0)</f>
        <v>69.132603197491449</v>
      </c>
      <c r="H63" s="498">
        <f>H64+H65</f>
        <v>0</v>
      </c>
      <c r="I63" s="498">
        <f t="shared" ref="I63:AE63" si="29">I64+I65</f>
        <v>0</v>
      </c>
      <c r="J63" s="498">
        <f t="shared" si="29"/>
        <v>0</v>
      </c>
      <c r="K63" s="498">
        <f t="shared" si="29"/>
        <v>0</v>
      </c>
      <c r="L63" s="498">
        <f t="shared" si="29"/>
        <v>0</v>
      </c>
      <c r="M63" s="498">
        <f t="shared" si="29"/>
        <v>0</v>
      </c>
      <c r="N63" s="498">
        <f t="shared" si="29"/>
        <v>0</v>
      </c>
      <c r="O63" s="498">
        <f t="shared" si="29"/>
        <v>0</v>
      </c>
      <c r="P63" s="498">
        <f t="shared" si="29"/>
        <v>0</v>
      </c>
      <c r="Q63" s="498">
        <f t="shared" si="29"/>
        <v>0</v>
      </c>
      <c r="R63" s="498">
        <f t="shared" si="29"/>
        <v>8738.1</v>
      </c>
      <c r="S63" s="498">
        <f t="shared" si="29"/>
        <v>6040.8760000000002</v>
      </c>
      <c r="T63" s="498">
        <f t="shared" si="29"/>
        <v>0</v>
      </c>
      <c r="U63" s="498">
        <f t="shared" si="29"/>
        <v>0</v>
      </c>
      <c r="V63" s="498">
        <f t="shared" si="29"/>
        <v>0</v>
      </c>
      <c r="W63" s="498">
        <f t="shared" si="29"/>
        <v>0</v>
      </c>
      <c r="X63" s="498">
        <f t="shared" si="29"/>
        <v>93.1</v>
      </c>
      <c r="Y63" s="498">
        <f t="shared" si="29"/>
        <v>0</v>
      </c>
      <c r="Z63" s="498">
        <f t="shared" si="29"/>
        <v>0</v>
      </c>
      <c r="AA63" s="498">
        <f t="shared" si="29"/>
        <v>0</v>
      </c>
      <c r="AB63" s="498">
        <f t="shared" si="29"/>
        <v>0</v>
      </c>
      <c r="AC63" s="498">
        <f t="shared" si="29"/>
        <v>0</v>
      </c>
      <c r="AD63" s="498">
        <f t="shared" si="29"/>
        <v>0</v>
      </c>
      <c r="AE63" s="498">
        <f t="shared" si="29"/>
        <v>0</v>
      </c>
      <c r="AF63" s="471"/>
      <c r="AG63" s="719"/>
    </row>
    <row r="64" spans="1:33" ht="21" x14ac:dyDescent="0.35">
      <c r="A64" s="453" t="s">
        <v>32</v>
      </c>
      <c r="B64" s="464">
        <f>B74+B79+B84+B89+B94+B99+B104+B109+B114+B119+B124</f>
        <v>3972.6</v>
      </c>
      <c r="C64" s="501">
        <f t="shared" ref="C64:Q65" si="30">C74+C79+C84+C89+C94+C99+C104+C109+C114+C119+C124</f>
        <v>3972.6</v>
      </c>
      <c r="D64" s="501">
        <f t="shared" si="30"/>
        <v>3891.2799999999997</v>
      </c>
      <c r="E64" s="501">
        <f t="shared" si="30"/>
        <v>3891.2799999999997</v>
      </c>
      <c r="F64" s="464">
        <f>IFERROR(E64/B64*100,0)</f>
        <v>97.95297789860544</v>
      </c>
      <c r="G64" s="464">
        <f>IFERROR(E64/C64*100,0)</f>
        <v>97.95297789860544</v>
      </c>
      <c r="H64" s="501">
        <f t="shared" si="30"/>
        <v>0</v>
      </c>
      <c r="I64" s="501">
        <f t="shared" si="30"/>
        <v>0</v>
      </c>
      <c r="J64" s="501">
        <f t="shared" si="30"/>
        <v>0</v>
      </c>
      <c r="K64" s="501">
        <f t="shared" si="30"/>
        <v>0</v>
      </c>
      <c r="L64" s="501">
        <f t="shared" si="30"/>
        <v>0</v>
      </c>
      <c r="M64" s="501">
        <f t="shared" si="30"/>
        <v>0</v>
      </c>
      <c r="N64" s="501">
        <f t="shared" si="30"/>
        <v>0</v>
      </c>
      <c r="O64" s="501">
        <f t="shared" si="30"/>
        <v>0</v>
      </c>
      <c r="P64" s="501">
        <f t="shared" si="30"/>
        <v>0</v>
      </c>
      <c r="Q64" s="501">
        <f t="shared" si="30"/>
        <v>0</v>
      </c>
      <c r="R64" s="501">
        <f t="shared" ref="R64:AE65" si="31">R74+R79+R84+R89+R94+R99+R104+R109+R114+R119+R124</f>
        <v>3972.6</v>
      </c>
      <c r="S64" s="501">
        <f t="shared" si="31"/>
        <v>3891.2799999999997</v>
      </c>
      <c r="T64" s="501">
        <f t="shared" si="31"/>
        <v>0</v>
      </c>
      <c r="U64" s="501">
        <f t="shared" si="31"/>
        <v>0</v>
      </c>
      <c r="V64" s="501">
        <f t="shared" si="31"/>
        <v>0</v>
      </c>
      <c r="W64" s="501">
        <f t="shared" si="31"/>
        <v>0</v>
      </c>
      <c r="X64" s="501">
        <f t="shared" si="31"/>
        <v>0</v>
      </c>
      <c r="Y64" s="501">
        <f t="shared" si="31"/>
        <v>0</v>
      </c>
      <c r="Z64" s="501">
        <f t="shared" si="31"/>
        <v>0</v>
      </c>
      <c r="AA64" s="501">
        <f t="shared" si="31"/>
        <v>0</v>
      </c>
      <c r="AB64" s="501">
        <f t="shared" si="31"/>
        <v>0</v>
      </c>
      <c r="AC64" s="501">
        <f t="shared" si="31"/>
        <v>0</v>
      </c>
      <c r="AD64" s="501">
        <f t="shared" si="31"/>
        <v>0</v>
      </c>
      <c r="AE64" s="501">
        <f t="shared" si="31"/>
        <v>0</v>
      </c>
      <c r="AF64" s="455"/>
      <c r="AG64" s="719"/>
    </row>
    <row r="65" spans="1:33" ht="21" x14ac:dyDescent="0.35">
      <c r="A65" s="453" t="s">
        <v>33</v>
      </c>
      <c r="B65" s="464">
        <f>B75+B80+B85+B90+B95+B100+B105+B110+B115+B120+B125</f>
        <v>4858.6000000000004</v>
      </c>
      <c r="C65" s="501">
        <f t="shared" si="30"/>
        <v>4765.5</v>
      </c>
      <c r="D65" s="501">
        <f t="shared" si="30"/>
        <v>2149.596</v>
      </c>
      <c r="E65" s="501">
        <f t="shared" si="30"/>
        <v>2149.596</v>
      </c>
      <c r="F65" s="464">
        <f>IFERROR(E65/B65*100,0)</f>
        <v>44.243115300703906</v>
      </c>
      <c r="G65" s="464">
        <f>IFERROR(E65/C65*100,0)</f>
        <v>45.107459867799811</v>
      </c>
      <c r="H65" s="501">
        <f t="shared" si="30"/>
        <v>0</v>
      </c>
      <c r="I65" s="501">
        <f t="shared" si="30"/>
        <v>0</v>
      </c>
      <c r="J65" s="501">
        <f t="shared" si="30"/>
        <v>0</v>
      </c>
      <c r="K65" s="501">
        <f t="shared" si="30"/>
        <v>0</v>
      </c>
      <c r="L65" s="501">
        <f t="shared" si="30"/>
        <v>0</v>
      </c>
      <c r="M65" s="501">
        <f t="shared" si="30"/>
        <v>0</v>
      </c>
      <c r="N65" s="501">
        <f t="shared" si="30"/>
        <v>0</v>
      </c>
      <c r="O65" s="501">
        <f t="shared" si="30"/>
        <v>0</v>
      </c>
      <c r="P65" s="501">
        <f t="shared" si="30"/>
        <v>0</v>
      </c>
      <c r="Q65" s="501">
        <f t="shared" si="30"/>
        <v>0</v>
      </c>
      <c r="R65" s="501">
        <f t="shared" si="31"/>
        <v>4765.5</v>
      </c>
      <c r="S65" s="501">
        <f t="shared" si="31"/>
        <v>2149.596</v>
      </c>
      <c r="T65" s="501">
        <f t="shared" si="31"/>
        <v>0</v>
      </c>
      <c r="U65" s="501">
        <f t="shared" si="31"/>
        <v>0</v>
      </c>
      <c r="V65" s="501">
        <f t="shared" si="31"/>
        <v>0</v>
      </c>
      <c r="W65" s="501">
        <f t="shared" si="31"/>
        <v>0</v>
      </c>
      <c r="X65" s="501">
        <f t="shared" si="31"/>
        <v>93.1</v>
      </c>
      <c r="Y65" s="501">
        <f t="shared" si="31"/>
        <v>0</v>
      </c>
      <c r="Z65" s="501">
        <f t="shared" si="31"/>
        <v>0</v>
      </c>
      <c r="AA65" s="501">
        <f t="shared" si="31"/>
        <v>0</v>
      </c>
      <c r="AB65" s="501">
        <f t="shared" si="31"/>
        <v>0</v>
      </c>
      <c r="AC65" s="501">
        <f t="shared" si="31"/>
        <v>0</v>
      </c>
      <c r="AD65" s="501">
        <f t="shared" si="31"/>
        <v>0</v>
      </c>
      <c r="AE65" s="501">
        <f t="shared" si="31"/>
        <v>0</v>
      </c>
      <c r="AF65" s="455"/>
      <c r="AG65" s="719"/>
    </row>
    <row r="66" spans="1:33" ht="37.5" x14ac:dyDescent="0.35">
      <c r="A66" s="472" t="s">
        <v>174</v>
      </c>
      <c r="B66" s="464">
        <f>B76+B81+B86+B91+B96+B101+B106+B111+B116+B121+B126</f>
        <v>209.1</v>
      </c>
      <c r="C66" s="501">
        <f t="shared" ref="C66:AE66" si="32">C76+C81+C86+C91+C96+C101+C106+C111+C116+C121+C126</f>
        <v>209.1</v>
      </c>
      <c r="D66" s="501">
        <f t="shared" si="32"/>
        <v>204.82</v>
      </c>
      <c r="E66" s="501">
        <f t="shared" si="32"/>
        <v>204.82</v>
      </c>
      <c r="F66" s="464">
        <f>IFERROR(E66/B66*100,0)</f>
        <v>97.953132472501196</v>
      </c>
      <c r="G66" s="464">
        <f>IFERROR(E66/C66*100,0)</f>
        <v>97.953132472501196</v>
      </c>
      <c r="H66" s="501">
        <f t="shared" si="32"/>
        <v>0</v>
      </c>
      <c r="I66" s="501">
        <f t="shared" si="32"/>
        <v>0</v>
      </c>
      <c r="J66" s="501">
        <f t="shared" si="32"/>
        <v>0</v>
      </c>
      <c r="K66" s="501">
        <f t="shared" si="32"/>
        <v>0</v>
      </c>
      <c r="L66" s="501">
        <f t="shared" si="32"/>
        <v>0</v>
      </c>
      <c r="M66" s="501">
        <f t="shared" si="32"/>
        <v>0</v>
      </c>
      <c r="N66" s="501">
        <f t="shared" si="32"/>
        <v>0</v>
      </c>
      <c r="O66" s="501">
        <f t="shared" si="32"/>
        <v>0</v>
      </c>
      <c r="P66" s="501">
        <f t="shared" si="32"/>
        <v>0</v>
      </c>
      <c r="Q66" s="501">
        <f t="shared" si="32"/>
        <v>0</v>
      </c>
      <c r="R66" s="501">
        <f t="shared" si="32"/>
        <v>209.1</v>
      </c>
      <c r="S66" s="501">
        <f t="shared" si="32"/>
        <v>204.82</v>
      </c>
      <c r="T66" s="501">
        <f t="shared" si="32"/>
        <v>0</v>
      </c>
      <c r="U66" s="501">
        <f t="shared" si="32"/>
        <v>0</v>
      </c>
      <c r="V66" s="501">
        <f t="shared" si="32"/>
        <v>0</v>
      </c>
      <c r="W66" s="501">
        <f t="shared" si="32"/>
        <v>0</v>
      </c>
      <c r="X66" s="501">
        <f t="shared" si="32"/>
        <v>0</v>
      </c>
      <c r="Y66" s="501">
        <f t="shared" si="32"/>
        <v>0</v>
      </c>
      <c r="Z66" s="501">
        <f t="shared" si="32"/>
        <v>0</v>
      </c>
      <c r="AA66" s="501">
        <f t="shared" si="32"/>
        <v>0</v>
      </c>
      <c r="AB66" s="501">
        <f t="shared" si="32"/>
        <v>0</v>
      </c>
      <c r="AC66" s="501">
        <f t="shared" si="32"/>
        <v>0</v>
      </c>
      <c r="AD66" s="501">
        <f t="shared" si="32"/>
        <v>0</v>
      </c>
      <c r="AE66" s="501">
        <f t="shared" si="32"/>
        <v>0</v>
      </c>
      <c r="AF66" s="455"/>
      <c r="AG66" s="719"/>
    </row>
    <row r="67" spans="1:33" ht="21" x14ac:dyDescent="0.35">
      <c r="A67" s="1063" t="s">
        <v>349</v>
      </c>
      <c r="B67" s="1064"/>
      <c r="C67" s="1064"/>
      <c r="D67" s="1064"/>
      <c r="E67" s="1064"/>
      <c r="F67" s="1064"/>
      <c r="G67" s="1064"/>
      <c r="H67" s="1064"/>
      <c r="I67" s="1064"/>
      <c r="J67" s="1064"/>
      <c r="K67" s="1064"/>
      <c r="L67" s="1064"/>
      <c r="M67" s="1064"/>
      <c r="N67" s="1064"/>
      <c r="O67" s="1064"/>
      <c r="P67" s="1064"/>
      <c r="Q67" s="1064"/>
      <c r="R67" s="1064"/>
      <c r="S67" s="1064"/>
      <c r="T67" s="1064"/>
      <c r="U67" s="1064"/>
      <c r="V67" s="1064"/>
      <c r="W67" s="1064"/>
      <c r="X67" s="1064"/>
      <c r="Y67" s="1064"/>
      <c r="Z67" s="1064"/>
      <c r="AA67" s="1064"/>
      <c r="AB67" s="1064"/>
      <c r="AC67" s="1064"/>
      <c r="AD67" s="1064"/>
      <c r="AE67" s="1065"/>
      <c r="AF67" s="455"/>
      <c r="AG67" s="719"/>
    </row>
    <row r="68" spans="1:33" s="452" customFormat="1" ht="21" x14ac:dyDescent="0.35">
      <c r="A68" s="449" t="s">
        <v>31</v>
      </c>
      <c r="B68" s="450">
        <f>B69+B70</f>
        <v>8831.2000000000007</v>
      </c>
      <c r="C68" s="450">
        <f>C69+C70</f>
        <v>8738.1</v>
      </c>
      <c r="D68" s="450">
        <f>D69+D70</f>
        <v>6040.8760000000002</v>
      </c>
      <c r="E68" s="450">
        <f>E69+E70</f>
        <v>6040.8760000000002</v>
      </c>
      <c r="F68" s="450">
        <f>IFERROR(E68/B68*100,0)</f>
        <v>68.403795633662469</v>
      </c>
      <c r="G68" s="450">
        <f>IFERROR(E68/C68*100,0)</f>
        <v>69.132603197491449</v>
      </c>
      <c r="H68" s="498">
        <f>H69+H70</f>
        <v>0</v>
      </c>
      <c r="I68" s="498">
        <f t="shared" ref="I68:AE68" si="33">I69+I70</f>
        <v>0</v>
      </c>
      <c r="J68" s="498">
        <f t="shared" si="33"/>
        <v>0</v>
      </c>
      <c r="K68" s="498">
        <f t="shared" si="33"/>
        <v>0</v>
      </c>
      <c r="L68" s="498">
        <f t="shared" si="33"/>
        <v>0</v>
      </c>
      <c r="M68" s="498">
        <f t="shared" si="33"/>
        <v>0</v>
      </c>
      <c r="N68" s="498">
        <f t="shared" si="33"/>
        <v>0</v>
      </c>
      <c r="O68" s="498">
        <f t="shared" si="33"/>
        <v>0</v>
      </c>
      <c r="P68" s="498">
        <f t="shared" si="33"/>
        <v>0</v>
      </c>
      <c r="Q68" s="498">
        <f t="shared" si="33"/>
        <v>0</v>
      </c>
      <c r="R68" s="498">
        <f t="shared" si="33"/>
        <v>8738.1</v>
      </c>
      <c r="S68" s="498">
        <f t="shared" si="33"/>
        <v>6040.8760000000002</v>
      </c>
      <c r="T68" s="498">
        <f t="shared" si="33"/>
        <v>0</v>
      </c>
      <c r="U68" s="498">
        <f t="shared" si="33"/>
        <v>0</v>
      </c>
      <c r="V68" s="498">
        <f t="shared" si="33"/>
        <v>0</v>
      </c>
      <c r="W68" s="498">
        <f t="shared" si="33"/>
        <v>0</v>
      </c>
      <c r="X68" s="498">
        <f t="shared" si="33"/>
        <v>93.1</v>
      </c>
      <c r="Y68" s="498">
        <f t="shared" si="33"/>
        <v>0</v>
      </c>
      <c r="Z68" s="498">
        <f t="shared" si="33"/>
        <v>0</v>
      </c>
      <c r="AA68" s="498">
        <f t="shared" si="33"/>
        <v>0</v>
      </c>
      <c r="AB68" s="498">
        <f t="shared" si="33"/>
        <v>0</v>
      </c>
      <c r="AC68" s="498">
        <f t="shared" si="33"/>
        <v>0</v>
      </c>
      <c r="AD68" s="498">
        <f t="shared" si="33"/>
        <v>0</v>
      </c>
      <c r="AE68" s="498">
        <f t="shared" si="33"/>
        <v>0</v>
      </c>
      <c r="AF68" s="456"/>
      <c r="AG68" s="719"/>
    </row>
    <row r="69" spans="1:33" ht="21" x14ac:dyDescent="0.35">
      <c r="A69" s="453" t="s">
        <v>32</v>
      </c>
      <c r="B69" s="454">
        <f>SUM(H69,J69,L69,N69,P69,R69,T69,V69,X69,Z69,AB69,AD69)</f>
        <v>3972.6</v>
      </c>
      <c r="C69" s="454">
        <f>H69+J69+L69+N69+P69+R69</f>
        <v>3972.6</v>
      </c>
      <c r="D69" s="454">
        <f>E69</f>
        <v>3891.2799999999997</v>
      </c>
      <c r="E69" s="454">
        <f>SUM(I69,K69,M69,O69,Q69,S69,U69,W69,Y69,AA69,AC69,AE69)</f>
        <v>3891.2799999999997</v>
      </c>
      <c r="F69" s="454">
        <f>IFERROR(E69/B69*100,0)</f>
        <v>97.95297789860544</v>
      </c>
      <c r="G69" s="454">
        <f>IFERROR(E69/C69*100,0)</f>
        <v>97.95297789860544</v>
      </c>
      <c r="H69" s="499">
        <f>H74+H79+H84+H89+H94+H99+H104+H109+H114+H119+H124</f>
        <v>0</v>
      </c>
      <c r="I69" s="499">
        <f t="shared" ref="I69:AE71" si="34">I74+I79+I84+I89+I94+I99+I104+I109+I114+I119+I124</f>
        <v>0</v>
      </c>
      <c r="J69" s="499">
        <f t="shared" si="34"/>
        <v>0</v>
      </c>
      <c r="K69" s="499">
        <f t="shared" si="34"/>
        <v>0</v>
      </c>
      <c r="L69" s="499">
        <f t="shared" si="34"/>
        <v>0</v>
      </c>
      <c r="M69" s="499">
        <f t="shared" si="34"/>
        <v>0</v>
      </c>
      <c r="N69" s="499">
        <f t="shared" si="34"/>
        <v>0</v>
      </c>
      <c r="O69" s="499">
        <f t="shared" si="34"/>
        <v>0</v>
      </c>
      <c r="P69" s="499">
        <f t="shared" si="34"/>
        <v>0</v>
      </c>
      <c r="Q69" s="499">
        <f t="shared" si="34"/>
        <v>0</v>
      </c>
      <c r="R69" s="499">
        <f t="shared" si="34"/>
        <v>3972.6</v>
      </c>
      <c r="S69" s="499">
        <f t="shared" si="34"/>
        <v>3891.2799999999997</v>
      </c>
      <c r="T69" s="499">
        <f t="shared" si="34"/>
        <v>0</v>
      </c>
      <c r="U69" s="499">
        <f t="shared" si="34"/>
        <v>0</v>
      </c>
      <c r="V69" s="499">
        <f t="shared" si="34"/>
        <v>0</v>
      </c>
      <c r="W69" s="499">
        <f t="shared" si="34"/>
        <v>0</v>
      </c>
      <c r="X69" s="499">
        <f t="shared" si="34"/>
        <v>0</v>
      </c>
      <c r="Y69" s="499">
        <f t="shared" si="34"/>
        <v>0</v>
      </c>
      <c r="Z69" s="499">
        <f t="shared" si="34"/>
        <v>0</v>
      </c>
      <c r="AA69" s="499">
        <f t="shared" si="34"/>
        <v>0</v>
      </c>
      <c r="AB69" s="499">
        <f t="shared" si="34"/>
        <v>0</v>
      </c>
      <c r="AC69" s="499">
        <f t="shared" si="34"/>
        <v>0</v>
      </c>
      <c r="AD69" s="499">
        <f t="shared" si="34"/>
        <v>0</v>
      </c>
      <c r="AE69" s="499">
        <f t="shared" si="34"/>
        <v>0</v>
      </c>
      <c r="AF69" s="455"/>
      <c r="AG69" s="719"/>
    </row>
    <row r="70" spans="1:33" ht="21" x14ac:dyDescent="0.35">
      <c r="A70" s="453" t="s">
        <v>33</v>
      </c>
      <c r="B70" s="454">
        <f>SUM(H70,J70,L70,N70,P70,R70,T70,V70,X70,Z70,AB70,AD70)</f>
        <v>4858.6000000000004</v>
      </c>
      <c r="C70" s="454">
        <f t="shared" ref="C70:C71" si="35">H70+J70+L70+N70+P70+R70</f>
        <v>4765.5</v>
      </c>
      <c r="D70" s="454">
        <f>E70</f>
        <v>2149.596</v>
      </c>
      <c r="E70" s="454">
        <f>SUM(I70,K70,M70,O70,Q70,S70,U70,W70,Y70,AA70,AC70,AE70)</f>
        <v>2149.596</v>
      </c>
      <c r="F70" s="454">
        <f>IFERROR(E70/B70*100,0)</f>
        <v>44.243115300703906</v>
      </c>
      <c r="G70" s="454">
        <f>IFERROR(E70/C70*100,0)</f>
        <v>45.107459867799811</v>
      </c>
      <c r="H70" s="499">
        <f t="shared" ref="H70:W71" si="36">H75+H80+H85+H90+H95+H100+H105+H110+H115+H120+H125</f>
        <v>0</v>
      </c>
      <c r="I70" s="499">
        <f t="shared" si="36"/>
        <v>0</v>
      </c>
      <c r="J70" s="499">
        <f t="shared" si="36"/>
        <v>0</v>
      </c>
      <c r="K70" s="499">
        <f t="shared" si="36"/>
        <v>0</v>
      </c>
      <c r="L70" s="499">
        <f t="shared" si="36"/>
        <v>0</v>
      </c>
      <c r="M70" s="499">
        <f t="shared" si="36"/>
        <v>0</v>
      </c>
      <c r="N70" s="499">
        <f t="shared" si="36"/>
        <v>0</v>
      </c>
      <c r="O70" s="499">
        <f t="shared" si="36"/>
        <v>0</v>
      </c>
      <c r="P70" s="499">
        <f t="shared" si="36"/>
        <v>0</v>
      </c>
      <c r="Q70" s="499">
        <f t="shared" si="36"/>
        <v>0</v>
      </c>
      <c r="R70" s="499">
        <f t="shared" si="36"/>
        <v>4765.5</v>
      </c>
      <c r="S70" s="499">
        <f t="shared" si="36"/>
        <v>2149.596</v>
      </c>
      <c r="T70" s="499">
        <f t="shared" si="36"/>
        <v>0</v>
      </c>
      <c r="U70" s="499">
        <f t="shared" si="36"/>
        <v>0</v>
      </c>
      <c r="V70" s="499">
        <f t="shared" si="36"/>
        <v>0</v>
      </c>
      <c r="W70" s="499">
        <f t="shared" si="36"/>
        <v>0</v>
      </c>
      <c r="X70" s="499">
        <f t="shared" si="34"/>
        <v>93.1</v>
      </c>
      <c r="Y70" s="499">
        <f t="shared" si="34"/>
        <v>0</v>
      </c>
      <c r="Z70" s="499">
        <f t="shared" si="34"/>
        <v>0</v>
      </c>
      <c r="AA70" s="499">
        <f t="shared" si="34"/>
        <v>0</v>
      </c>
      <c r="AB70" s="499">
        <f t="shared" si="34"/>
        <v>0</v>
      </c>
      <c r="AC70" s="499">
        <f t="shared" si="34"/>
        <v>0</v>
      </c>
      <c r="AD70" s="499">
        <f t="shared" si="34"/>
        <v>0</v>
      </c>
      <c r="AE70" s="499">
        <f t="shared" si="34"/>
        <v>0</v>
      </c>
      <c r="AF70" s="455"/>
      <c r="AG70" s="719"/>
    </row>
    <row r="71" spans="1:33" ht="37.5" x14ac:dyDescent="0.35">
      <c r="A71" s="472" t="s">
        <v>174</v>
      </c>
      <c r="B71" s="454">
        <f>SUM(H71,J71,L71,N71,P71,R71,T71,V71,X71,Z71,AB71,AD71)</f>
        <v>209.1</v>
      </c>
      <c r="C71" s="454">
        <f t="shared" si="35"/>
        <v>209.1</v>
      </c>
      <c r="D71" s="454">
        <f>E71</f>
        <v>204.82</v>
      </c>
      <c r="E71" s="454">
        <f>SUM(I71,K71,M71,O71,Q71,S71,U71,W71,Y71,AA71,AC71,AE71)</f>
        <v>204.82</v>
      </c>
      <c r="F71" s="454">
        <f>IFERROR(E71/B71*100,0)</f>
        <v>97.953132472501196</v>
      </c>
      <c r="G71" s="454">
        <f>IFERROR(E71/C71*100,0)</f>
        <v>97.953132472501196</v>
      </c>
      <c r="H71" s="499">
        <f t="shared" si="36"/>
        <v>0</v>
      </c>
      <c r="I71" s="499">
        <f t="shared" si="36"/>
        <v>0</v>
      </c>
      <c r="J71" s="499">
        <f t="shared" si="36"/>
        <v>0</v>
      </c>
      <c r="K71" s="499">
        <f t="shared" si="36"/>
        <v>0</v>
      </c>
      <c r="L71" s="499">
        <f t="shared" si="36"/>
        <v>0</v>
      </c>
      <c r="M71" s="499">
        <f t="shared" si="36"/>
        <v>0</v>
      </c>
      <c r="N71" s="499">
        <f t="shared" si="36"/>
        <v>0</v>
      </c>
      <c r="O71" s="499">
        <f t="shared" si="36"/>
        <v>0</v>
      </c>
      <c r="P71" s="499">
        <f t="shared" si="36"/>
        <v>0</v>
      </c>
      <c r="Q71" s="499">
        <f t="shared" si="36"/>
        <v>0</v>
      </c>
      <c r="R71" s="499">
        <f t="shared" si="36"/>
        <v>209.1</v>
      </c>
      <c r="S71" s="499">
        <f t="shared" si="36"/>
        <v>204.82</v>
      </c>
      <c r="T71" s="499">
        <f t="shared" si="36"/>
        <v>0</v>
      </c>
      <c r="U71" s="499">
        <f t="shared" si="36"/>
        <v>0</v>
      </c>
      <c r="V71" s="499">
        <f t="shared" si="36"/>
        <v>0</v>
      </c>
      <c r="W71" s="499">
        <f t="shared" si="36"/>
        <v>0</v>
      </c>
      <c r="X71" s="499">
        <f t="shared" si="34"/>
        <v>0</v>
      </c>
      <c r="Y71" s="499">
        <f t="shared" si="34"/>
        <v>0</v>
      </c>
      <c r="Z71" s="499">
        <f t="shared" si="34"/>
        <v>0</v>
      </c>
      <c r="AA71" s="499">
        <f t="shared" si="34"/>
        <v>0</v>
      </c>
      <c r="AB71" s="499">
        <f t="shared" si="34"/>
        <v>0</v>
      </c>
      <c r="AC71" s="499">
        <f t="shared" si="34"/>
        <v>0</v>
      </c>
      <c r="AD71" s="499">
        <f t="shared" si="34"/>
        <v>0</v>
      </c>
      <c r="AE71" s="499">
        <f t="shared" si="34"/>
        <v>0</v>
      </c>
      <c r="AF71" s="455"/>
      <c r="AG71" s="719"/>
    </row>
    <row r="72" spans="1:33" ht="21" x14ac:dyDescent="0.35">
      <c r="A72" s="1063" t="s">
        <v>350</v>
      </c>
      <c r="B72" s="1064"/>
      <c r="C72" s="1064"/>
      <c r="D72" s="1064"/>
      <c r="E72" s="1064"/>
      <c r="F72" s="1064"/>
      <c r="G72" s="1064"/>
      <c r="H72" s="1064"/>
      <c r="I72" s="1064"/>
      <c r="J72" s="1064"/>
      <c r="K72" s="1064"/>
      <c r="L72" s="1064"/>
      <c r="M72" s="1064"/>
      <c r="N72" s="1064"/>
      <c r="O72" s="1064"/>
      <c r="P72" s="1064"/>
      <c r="Q72" s="1064"/>
      <c r="R72" s="1064"/>
      <c r="S72" s="1064"/>
      <c r="T72" s="1064"/>
      <c r="U72" s="1064"/>
      <c r="V72" s="1064"/>
      <c r="W72" s="1064"/>
      <c r="X72" s="1064"/>
      <c r="Y72" s="1064"/>
      <c r="Z72" s="1064"/>
      <c r="AA72" s="1064"/>
      <c r="AB72" s="1064"/>
      <c r="AC72" s="1064"/>
      <c r="AD72" s="1064"/>
      <c r="AE72" s="1065"/>
      <c r="AF72" s="455"/>
      <c r="AG72" s="719"/>
    </row>
    <row r="73" spans="1:33" s="452" customFormat="1" ht="65.25" customHeight="1" x14ac:dyDescent="0.35">
      <c r="A73" s="449" t="s">
        <v>31</v>
      </c>
      <c r="B73" s="450">
        <f>B74+B75</f>
        <v>1684.22</v>
      </c>
      <c r="C73" s="450">
        <f>C74+C75</f>
        <v>1684.22</v>
      </c>
      <c r="D73" s="450">
        <f>D74+D75</f>
        <v>1684.22</v>
      </c>
      <c r="E73" s="450">
        <f>E74+E75</f>
        <v>1684.22</v>
      </c>
      <c r="F73" s="450">
        <f>IFERROR(E73/B73*100,0)</f>
        <v>100</v>
      </c>
      <c r="G73" s="450">
        <f>IFERROR(E73/C73*100,0)</f>
        <v>100</v>
      </c>
      <c r="H73" s="498">
        <f>H74+H75</f>
        <v>0</v>
      </c>
      <c r="I73" s="498">
        <f t="shared" ref="I73:AE73" si="37">I74+I75</f>
        <v>0</v>
      </c>
      <c r="J73" s="498">
        <f t="shared" si="37"/>
        <v>0</v>
      </c>
      <c r="K73" s="498">
        <f t="shared" si="37"/>
        <v>0</v>
      </c>
      <c r="L73" s="498">
        <f t="shared" si="37"/>
        <v>0</v>
      </c>
      <c r="M73" s="498">
        <f t="shared" si="37"/>
        <v>0</v>
      </c>
      <c r="N73" s="498">
        <f t="shared" si="37"/>
        <v>0</v>
      </c>
      <c r="O73" s="498">
        <f t="shared" si="37"/>
        <v>0</v>
      </c>
      <c r="P73" s="498">
        <f t="shared" si="37"/>
        <v>0</v>
      </c>
      <c r="Q73" s="498">
        <f t="shared" si="37"/>
        <v>0</v>
      </c>
      <c r="R73" s="498">
        <f t="shared" si="37"/>
        <v>1684.22</v>
      </c>
      <c r="S73" s="498">
        <f t="shared" si="37"/>
        <v>1684.22</v>
      </c>
      <c r="T73" s="498">
        <f t="shared" si="37"/>
        <v>0</v>
      </c>
      <c r="U73" s="498">
        <f t="shared" si="37"/>
        <v>0</v>
      </c>
      <c r="V73" s="498">
        <f t="shared" si="37"/>
        <v>0</v>
      </c>
      <c r="W73" s="498">
        <f t="shared" si="37"/>
        <v>0</v>
      </c>
      <c r="X73" s="498">
        <f t="shared" si="37"/>
        <v>0</v>
      </c>
      <c r="Y73" s="498">
        <f t="shared" si="37"/>
        <v>0</v>
      </c>
      <c r="Z73" s="498">
        <f t="shared" si="37"/>
        <v>0</v>
      </c>
      <c r="AA73" s="498">
        <f t="shared" si="37"/>
        <v>0</v>
      </c>
      <c r="AB73" s="498">
        <f t="shared" si="37"/>
        <v>0</v>
      </c>
      <c r="AC73" s="498">
        <f t="shared" si="37"/>
        <v>0</v>
      </c>
      <c r="AD73" s="498">
        <f t="shared" si="37"/>
        <v>0</v>
      </c>
      <c r="AE73" s="498">
        <f t="shared" si="37"/>
        <v>0</v>
      </c>
      <c r="AF73" s="455" t="s">
        <v>637</v>
      </c>
      <c r="AG73" s="719"/>
    </row>
    <row r="74" spans="1:33" ht="21" x14ac:dyDescent="0.35">
      <c r="A74" s="453" t="s">
        <v>32</v>
      </c>
      <c r="B74" s="599">
        <f>SUM(H74,J74,L74,N74,P74,R74,T74,V74,X74,Z74,AB74,AD74)</f>
        <v>1600</v>
      </c>
      <c r="C74" s="454">
        <f>H74+J74+L74+N74+P74+R74</f>
        <v>1600</v>
      </c>
      <c r="D74" s="454">
        <f>E74</f>
        <v>1600</v>
      </c>
      <c r="E74" s="454">
        <f>SUM(I74,K74,M74,O74,Q74,S74,U74,W74,Y74,AA74,AC74,AE74)</f>
        <v>1600</v>
      </c>
      <c r="F74" s="454">
        <f>IFERROR(E74/B74*100,0)</f>
        <v>100</v>
      </c>
      <c r="G74" s="454">
        <f>IFERROR(E74/C74*100,0)</f>
        <v>100</v>
      </c>
      <c r="H74" s="499">
        <v>0</v>
      </c>
      <c r="I74" s="499">
        <v>0</v>
      </c>
      <c r="J74" s="499">
        <v>0</v>
      </c>
      <c r="K74" s="499">
        <v>0</v>
      </c>
      <c r="L74" s="499">
        <v>0</v>
      </c>
      <c r="M74" s="499">
        <v>0</v>
      </c>
      <c r="N74" s="499">
        <v>0</v>
      </c>
      <c r="O74" s="499">
        <v>0</v>
      </c>
      <c r="P74" s="499">
        <v>0</v>
      </c>
      <c r="Q74" s="499">
        <v>0</v>
      </c>
      <c r="R74" s="499">
        <v>1600</v>
      </c>
      <c r="S74" s="499">
        <v>1600</v>
      </c>
      <c r="T74" s="499">
        <v>0</v>
      </c>
      <c r="U74" s="499">
        <v>0</v>
      </c>
      <c r="V74" s="499">
        <v>0</v>
      </c>
      <c r="W74" s="499">
        <v>0</v>
      </c>
      <c r="X74" s="499">
        <v>0</v>
      </c>
      <c r="Y74" s="499">
        <v>0</v>
      </c>
      <c r="Z74" s="499">
        <v>0</v>
      </c>
      <c r="AA74" s="499">
        <v>0</v>
      </c>
      <c r="AB74" s="499">
        <v>0</v>
      </c>
      <c r="AC74" s="499">
        <v>0</v>
      </c>
      <c r="AD74" s="499">
        <v>0</v>
      </c>
      <c r="AE74" s="499">
        <v>0</v>
      </c>
      <c r="AF74" s="455"/>
      <c r="AG74" s="719"/>
    </row>
    <row r="75" spans="1:33" ht="21" x14ac:dyDescent="0.35">
      <c r="A75" s="453" t="s">
        <v>33</v>
      </c>
      <c r="B75" s="454">
        <f>SUM(H75,J75,L75,N75,P75,R75,T75,V75,X75,Z75,AB75,AD75)</f>
        <v>84.22</v>
      </c>
      <c r="C75" s="454">
        <f t="shared" ref="C75:C76" si="38">H75+J75+L75+N75+P75+R75</f>
        <v>84.22</v>
      </c>
      <c r="D75" s="454">
        <f>E75</f>
        <v>84.22</v>
      </c>
      <c r="E75" s="454">
        <f>SUM(I75,K75,M75,O75,Q75,S75,U75,W75,Y75,AA75,AC75,AE75)</f>
        <v>84.22</v>
      </c>
      <c r="F75" s="454">
        <f>IFERROR(E75/B75*100,0)</f>
        <v>100</v>
      </c>
      <c r="G75" s="454">
        <f>IFERROR(E75/C75*100,0)</f>
        <v>100</v>
      </c>
      <c r="H75" s="499">
        <v>0</v>
      </c>
      <c r="I75" s="499">
        <v>0</v>
      </c>
      <c r="J75" s="499">
        <v>0</v>
      </c>
      <c r="K75" s="499">
        <v>0</v>
      </c>
      <c r="L75" s="499">
        <v>0</v>
      </c>
      <c r="M75" s="499">
        <v>0</v>
      </c>
      <c r="N75" s="499">
        <v>0</v>
      </c>
      <c r="O75" s="499">
        <v>0</v>
      </c>
      <c r="P75" s="499">
        <v>0</v>
      </c>
      <c r="Q75" s="499">
        <v>0</v>
      </c>
      <c r="R75" s="499">
        <v>84.22</v>
      </c>
      <c r="S75" s="499">
        <v>84.22</v>
      </c>
      <c r="T75" s="499">
        <v>0</v>
      </c>
      <c r="U75" s="499">
        <v>0</v>
      </c>
      <c r="V75" s="499">
        <v>0</v>
      </c>
      <c r="W75" s="499">
        <v>0</v>
      </c>
      <c r="X75" s="499">
        <v>0</v>
      </c>
      <c r="Y75" s="499">
        <v>0</v>
      </c>
      <c r="Z75" s="499">
        <v>0</v>
      </c>
      <c r="AA75" s="499">
        <v>0</v>
      </c>
      <c r="AB75" s="499">
        <v>0</v>
      </c>
      <c r="AC75" s="499">
        <v>0</v>
      </c>
      <c r="AD75" s="499">
        <v>0</v>
      </c>
      <c r="AE75" s="499">
        <v>0</v>
      </c>
      <c r="AF75" s="455"/>
      <c r="AG75" s="719"/>
    </row>
    <row r="76" spans="1:33" ht="37.5" x14ac:dyDescent="0.35">
      <c r="A76" s="472" t="s">
        <v>174</v>
      </c>
      <c r="B76" s="454">
        <f>SUM(H76,J76,L76,N76,P76,R76,T76,V76,X76,Z76,AB76,AD76)</f>
        <v>84.22</v>
      </c>
      <c r="C76" s="454">
        <f t="shared" si="38"/>
        <v>84.22</v>
      </c>
      <c r="D76" s="454">
        <f>E76</f>
        <v>84.22</v>
      </c>
      <c r="E76" s="454">
        <f>SUM(I76,K76,M76,O76,Q76,S76,U76,W76,Y76,AA76,AC76,AE76)</f>
        <v>84.22</v>
      </c>
      <c r="F76" s="454">
        <f>IFERROR(E76/B76*100,0)</f>
        <v>100</v>
      </c>
      <c r="G76" s="454">
        <f>IFERROR(E76/C76*100,0)</f>
        <v>100</v>
      </c>
      <c r="H76" s="499">
        <v>0</v>
      </c>
      <c r="I76" s="499">
        <v>0</v>
      </c>
      <c r="J76" s="499">
        <v>0</v>
      </c>
      <c r="K76" s="499">
        <v>0</v>
      </c>
      <c r="L76" s="499">
        <v>0</v>
      </c>
      <c r="M76" s="499">
        <v>0</v>
      </c>
      <c r="N76" s="499">
        <v>0</v>
      </c>
      <c r="O76" s="499">
        <v>0</v>
      </c>
      <c r="P76" s="499">
        <v>0</v>
      </c>
      <c r="Q76" s="499">
        <v>0</v>
      </c>
      <c r="R76" s="499">
        <v>84.22</v>
      </c>
      <c r="S76" s="499">
        <v>84.22</v>
      </c>
      <c r="T76" s="499">
        <v>0</v>
      </c>
      <c r="U76" s="499">
        <v>0</v>
      </c>
      <c r="V76" s="499">
        <v>0</v>
      </c>
      <c r="W76" s="499">
        <v>0</v>
      </c>
      <c r="X76" s="499">
        <v>0</v>
      </c>
      <c r="Y76" s="499">
        <v>0</v>
      </c>
      <c r="Z76" s="499">
        <v>0</v>
      </c>
      <c r="AA76" s="499">
        <v>0</v>
      </c>
      <c r="AB76" s="499">
        <v>0</v>
      </c>
      <c r="AC76" s="499">
        <v>0</v>
      </c>
      <c r="AD76" s="499">
        <v>0</v>
      </c>
      <c r="AE76" s="499">
        <v>0</v>
      </c>
      <c r="AF76" s="455"/>
      <c r="AG76" s="719"/>
    </row>
    <row r="77" spans="1:33" ht="21" x14ac:dyDescent="0.35">
      <c r="A77" s="1063" t="s">
        <v>351</v>
      </c>
      <c r="B77" s="1064"/>
      <c r="C77" s="1064"/>
      <c r="D77" s="1064"/>
      <c r="E77" s="1064"/>
      <c r="F77" s="1064"/>
      <c r="G77" s="1064"/>
      <c r="H77" s="1064"/>
      <c r="I77" s="1064"/>
      <c r="J77" s="1064"/>
      <c r="K77" s="1064"/>
      <c r="L77" s="1064"/>
      <c r="M77" s="1064"/>
      <c r="N77" s="1064"/>
      <c r="O77" s="1064"/>
      <c r="P77" s="1064"/>
      <c r="Q77" s="1064"/>
      <c r="R77" s="1064"/>
      <c r="S77" s="1064"/>
      <c r="T77" s="1064"/>
      <c r="U77" s="1064"/>
      <c r="V77" s="1064"/>
      <c r="W77" s="1064"/>
      <c r="X77" s="1064"/>
      <c r="Y77" s="1064"/>
      <c r="Z77" s="1064"/>
      <c r="AA77" s="1064"/>
      <c r="AB77" s="1064"/>
      <c r="AC77" s="1064"/>
      <c r="AD77" s="1064"/>
      <c r="AE77" s="1065"/>
      <c r="AF77" s="455"/>
      <c r="AG77" s="719"/>
    </row>
    <row r="78" spans="1:33" s="452" customFormat="1" ht="60.75" customHeight="1" x14ac:dyDescent="0.35">
      <c r="A78" s="449" t="s">
        <v>31</v>
      </c>
      <c r="B78" s="450">
        <f>B79+B80</f>
        <v>1897.48</v>
      </c>
      <c r="C78" s="450">
        <f>C79+C80</f>
        <v>1897.48</v>
      </c>
      <c r="D78" s="450">
        <f>D79+D80</f>
        <v>1897.48</v>
      </c>
      <c r="E78" s="450">
        <f>E79+E80</f>
        <v>1897.48</v>
      </c>
      <c r="F78" s="450">
        <f>IFERROR(E78/B78*100,0)</f>
        <v>100</v>
      </c>
      <c r="G78" s="450">
        <f>IFERROR(E78/C78*100,0)</f>
        <v>100</v>
      </c>
      <c r="H78" s="498">
        <f>H79+H80</f>
        <v>0</v>
      </c>
      <c r="I78" s="498">
        <f t="shared" ref="I78:AE78" si="39">I79+I80</f>
        <v>0</v>
      </c>
      <c r="J78" s="498">
        <f t="shared" si="39"/>
        <v>0</v>
      </c>
      <c r="K78" s="498">
        <f t="shared" si="39"/>
        <v>0</v>
      </c>
      <c r="L78" s="498">
        <f t="shared" si="39"/>
        <v>0</v>
      </c>
      <c r="M78" s="498">
        <f t="shared" si="39"/>
        <v>0</v>
      </c>
      <c r="N78" s="498">
        <f t="shared" si="39"/>
        <v>0</v>
      </c>
      <c r="O78" s="498">
        <f t="shared" si="39"/>
        <v>0</v>
      </c>
      <c r="P78" s="498">
        <f t="shared" si="39"/>
        <v>0</v>
      </c>
      <c r="Q78" s="498">
        <f t="shared" si="39"/>
        <v>0</v>
      </c>
      <c r="R78" s="498">
        <f t="shared" si="39"/>
        <v>1897.48</v>
      </c>
      <c r="S78" s="498">
        <f t="shared" si="39"/>
        <v>1897.48</v>
      </c>
      <c r="T78" s="498">
        <f t="shared" si="39"/>
        <v>0</v>
      </c>
      <c r="U78" s="498">
        <f t="shared" si="39"/>
        <v>0</v>
      </c>
      <c r="V78" s="498">
        <f t="shared" si="39"/>
        <v>0</v>
      </c>
      <c r="W78" s="498">
        <f t="shared" si="39"/>
        <v>0</v>
      </c>
      <c r="X78" s="498">
        <f t="shared" si="39"/>
        <v>0</v>
      </c>
      <c r="Y78" s="498">
        <f t="shared" si="39"/>
        <v>0</v>
      </c>
      <c r="Z78" s="498">
        <f t="shared" si="39"/>
        <v>0</v>
      </c>
      <c r="AA78" s="498">
        <f t="shared" si="39"/>
        <v>0</v>
      </c>
      <c r="AB78" s="498">
        <f t="shared" si="39"/>
        <v>0</v>
      </c>
      <c r="AC78" s="498">
        <f t="shared" si="39"/>
        <v>0</v>
      </c>
      <c r="AD78" s="498">
        <f t="shared" si="39"/>
        <v>0</v>
      </c>
      <c r="AE78" s="498">
        <f t="shared" si="39"/>
        <v>0</v>
      </c>
      <c r="AF78" s="455" t="s">
        <v>638</v>
      </c>
      <c r="AG78" s="719"/>
    </row>
    <row r="79" spans="1:33" ht="21" x14ac:dyDescent="0.35">
      <c r="A79" s="453" t="s">
        <v>32</v>
      </c>
      <c r="B79" s="599">
        <f>SUM(H79,J79,L79,N79,P79,R79,T79,V79,X79,Z79,AB79,AD79)</f>
        <v>1802.6</v>
      </c>
      <c r="C79" s="454">
        <f>H79+J79+L79+N79+P79+R79</f>
        <v>1802.6</v>
      </c>
      <c r="D79" s="454">
        <f>E79</f>
        <v>1802.6</v>
      </c>
      <c r="E79" s="454">
        <f>SUM(I79,K79,M79,O79,Q79,S79,U79,W79,Y79,AA79,AC79,AE79)</f>
        <v>1802.6</v>
      </c>
      <c r="F79" s="454">
        <f>IFERROR(E79/B79*100,0)</f>
        <v>100</v>
      </c>
      <c r="G79" s="454">
        <f>IFERROR(E79/C79*100,0)</f>
        <v>100</v>
      </c>
      <c r="H79" s="499">
        <v>0</v>
      </c>
      <c r="I79" s="499">
        <v>0</v>
      </c>
      <c r="J79" s="499">
        <v>0</v>
      </c>
      <c r="K79" s="499">
        <v>0</v>
      </c>
      <c r="L79" s="499">
        <v>0</v>
      </c>
      <c r="M79" s="499">
        <v>0</v>
      </c>
      <c r="N79" s="499">
        <v>0</v>
      </c>
      <c r="O79" s="499">
        <v>0</v>
      </c>
      <c r="P79" s="499">
        <v>0</v>
      </c>
      <c r="Q79" s="499">
        <v>0</v>
      </c>
      <c r="R79" s="499">
        <v>1802.6</v>
      </c>
      <c r="S79" s="499">
        <v>1802.6</v>
      </c>
      <c r="T79" s="499">
        <v>0</v>
      </c>
      <c r="U79" s="499">
        <v>0</v>
      </c>
      <c r="V79" s="499">
        <v>0</v>
      </c>
      <c r="W79" s="499">
        <v>0</v>
      </c>
      <c r="X79" s="499">
        <v>0</v>
      </c>
      <c r="Y79" s="499">
        <v>0</v>
      </c>
      <c r="Z79" s="499">
        <v>0</v>
      </c>
      <c r="AA79" s="499">
        <v>0</v>
      </c>
      <c r="AB79" s="499">
        <v>0</v>
      </c>
      <c r="AC79" s="499">
        <v>0</v>
      </c>
      <c r="AD79" s="499">
        <v>0</v>
      </c>
      <c r="AE79" s="499">
        <v>0</v>
      </c>
      <c r="AF79" s="455"/>
      <c r="AG79" s="719"/>
    </row>
    <row r="80" spans="1:33" ht="21" x14ac:dyDescent="0.35">
      <c r="A80" s="453" t="s">
        <v>33</v>
      </c>
      <c r="B80" s="454">
        <f>SUM(H80,J80,L80,N80,P80,R80,T80,V80,X80,Z80,AB80,AD80)</f>
        <v>94.88</v>
      </c>
      <c r="C80" s="454">
        <f t="shared" ref="C80:C81" si="40">H80+J80+L80+N80+P80+R80</f>
        <v>94.88</v>
      </c>
      <c r="D80" s="454">
        <f>E80</f>
        <v>94.88</v>
      </c>
      <c r="E80" s="454">
        <f>SUM(I80,K80,M80,O80,Q80,S80,U80,W80,Y80,AA80,AC80,AE80)</f>
        <v>94.88</v>
      </c>
      <c r="F80" s="454">
        <f>IFERROR(E80/B80*100,0)</f>
        <v>100</v>
      </c>
      <c r="G80" s="454">
        <f>IFERROR(E80/C80*100,0)</f>
        <v>100</v>
      </c>
      <c r="H80" s="499">
        <v>0</v>
      </c>
      <c r="I80" s="499">
        <v>0</v>
      </c>
      <c r="J80" s="499">
        <v>0</v>
      </c>
      <c r="K80" s="499">
        <v>0</v>
      </c>
      <c r="L80" s="499">
        <v>0</v>
      </c>
      <c r="M80" s="499">
        <v>0</v>
      </c>
      <c r="N80" s="499">
        <v>0</v>
      </c>
      <c r="O80" s="499">
        <v>0</v>
      </c>
      <c r="P80" s="499">
        <v>0</v>
      </c>
      <c r="Q80" s="499">
        <v>0</v>
      </c>
      <c r="R80" s="499">
        <v>94.88</v>
      </c>
      <c r="S80" s="499">
        <v>94.88</v>
      </c>
      <c r="T80" s="499">
        <v>0</v>
      </c>
      <c r="U80" s="499">
        <v>0</v>
      </c>
      <c r="V80" s="499">
        <v>0</v>
      </c>
      <c r="W80" s="499">
        <v>0</v>
      </c>
      <c r="X80" s="499">
        <v>0</v>
      </c>
      <c r="Y80" s="499">
        <v>0</v>
      </c>
      <c r="Z80" s="499">
        <v>0</v>
      </c>
      <c r="AA80" s="499">
        <v>0</v>
      </c>
      <c r="AB80" s="499">
        <v>0</v>
      </c>
      <c r="AC80" s="499">
        <v>0</v>
      </c>
      <c r="AD80" s="499">
        <v>0</v>
      </c>
      <c r="AE80" s="499">
        <v>0</v>
      </c>
      <c r="AF80" s="455"/>
      <c r="AG80" s="719"/>
    </row>
    <row r="81" spans="1:33" ht="37.5" x14ac:dyDescent="0.35">
      <c r="A81" s="472" t="s">
        <v>174</v>
      </c>
      <c r="B81" s="454">
        <f>SUM(H81,J81,L81,N81,P81,R81,T81,V81,X81,Z81,AB81,AD81)</f>
        <v>94.88</v>
      </c>
      <c r="C81" s="454">
        <f t="shared" si="40"/>
        <v>94.88</v>
      </c>
      <c r="D81" s="454">
        <f>E81</f>
        <v>94.88</v>
      </c>
      <c r="E81" s="454">
        <f>SUM(I81,K81,M81,O81,Q81,S81,U81,W81,Y81,AA81,AC81,AE81)</f>
        <v>94.88</v>
      </c>
      <c r="F81" s="454">
        <f>IFERROR(E81/B81*100,0)</f>
        <v>100</v>
      </c>
      <c r="G81" s="454">
        <f>IFERROR(E81/C81*100,0)</f>
        <v>100</v>
      </c>
      <c r="H81" s="499">
        <v>0</v>
      </c>
      <c r="I81" s="499">
        <v>0</v>
      </c>
      <c r="J81" s="499">
        <v>0</v>
      </c>
      <c r="K81" s="499">
        <v>0</v>
      </c>
      <c r="L81" s="499">
        <v>0</v>
      </c>
      <c r="M81" s="499">
        <v>0</v>
      </c>
      <c r="N81" s="499">
        <v>0</v>
      </c>
      <c r="O81" s="499">
        <v>0</v>
      </c>
      <c r="P81" s="499">
        <v>0</v>
      </c>
      <c r="Q81" s="499">
        <v>0</v>
      </c>
      <c r="R81" s="499">
        <v>94.88</v>
      </c>
      <c r="S81" s="499">
        <v>94.88</v>
      </c>
      <c r="T81" s="499">
        <v>0</v>
      </c>
      <c r="U81" s="499">
        <v>0</v>
      </c>
      <c r="V81" s="499">
        <v>0</v>
      </c>
      <c r="W81" s="499">
        <v>0</v>
      </c>
      <c r="X81" s="499">
        <v>0</v>
      </c>
      <c r="Y81" s="499">
        <v>0</v>
      </c>
      <c r="Z81" s="499">
        <v>0</v>
      </c>
      <c r="AA81" s="499">
        <v>0</v>
      </c>
      <c r="AB81" s="499">
        <v>0</v>
      </c>
      <c r="AC81" s="499">
        <v>0</v>
      </c>
      <c r="AD81" s="499">
        <v>0</v>
      </c>
      <c r="AE81" s="499">
        <v>0</v>
      </c>
      <c r="AF81" s="455"/>
      <c r="AG81" s="719"/>
    </row>
    <row r="82" spans="1:33" ht="21" x14ac:dyDescent="0.35">
      <c r="A82" s="1063" t="s">
        <v>352</v>
      </c>
      <c r="B82" s="1064"/>
      <c r="C82" s="1064"/>
      <c r="D82" s="1064"/>
      <c r="E82" s="1064"/>
      <c r="F82" s="1064"/>
      <c r="G82" s="1064"/>
      <c r="H82" s="1064"/>
      <c r="I82" s="1064"/>
      <c r="J82" s="1064"/>
      <c r="K82" s="1064"/>
      <c r="L82" s="1064"/>
      <c r="M82" s="1064"/>
      <c r="N82" s="1064"/>
      <c r="O82" s="1064"/>
      <c r="P82" s="1064"/>
      <c r="Q82" s="1064"/>
      <c r="R82" s="1064"/>
      <c r="S82" s="1064"/>
      <c r="T82" s="1064"/>
      <c r="U82" s="1064"/>
      <c r="V82" s="1064"/>
      <c r="W82" s="1064"/>
      <c r="X82" s="1064"/>
      <c r="Y82" s="1064"/>
      <c r="Z82" s="1064"/>
      <c r="AA82" s="1064"/>
      <c r="AB82" s="1064"/>
      <c r="AC82" s="1064"/>
      <c r="AD82" s="1064"/>
      <c r="AE82" s="1065"/>
      <c r="AF82" s="455"/>
      <c r="AG82" s="719"/>
    </row>
    <row r="83" spans="1:33" s="452" customFormat="1" ht="56.25" x14ac:dyDescent="0.35">
      <c r="A83" s="449" t="s">
        <v>31</v>
      </c>
      <c r="B83" s="450">
        <f>B84+B85</f>
        <v>500</v>
      </c>
      <c r="C83" s="450">
        <f>C84+C85</f>
        <v>500</v>
      </c>
      <c r="D83" s="450">
        <f>D84+D85</f>
        <v>500</v>
      </c>
      <c r="E83" s="450">
        <f>E84+E85</f>
        <v>500</v>
      </c>
      <c r="F83" s="450">
        <f>IFERROR(E83/B83*100,0)</f>
        <v>100</v>
      </c>
      <c r="G83" s="450">
        <f>IFERROR(E83/C83*100,0)</f>
        <v>100</v>
      </c>
      <c r="H83" s="498">
        <f>H84+H85</f>
        <v>0</v>
      </c>
      <c r="I83" s="498">
        <f t="shared" ref="I83:AE83" si="41">I84+I85</f>
        <v>0</v>
      </c>
      <c r="J83" s="498">
        <f t="shared" si="41"/>
        <v>0</v>
      </c>
      <c r="K83" s="498">
        <f t="shared" si="41"/>
        <v>0</v>
      </c>
      <c r="L83" s="498">
        <f t="shared" si="41"/>
        <v>0</v>
      </c>
      <c r="M83" s="498">
        <f t="shared" si="41"/>
        <v>0</v>
      </c>
      <c r="N83" s="498">
        <f t="shared" si="41"/>
        <v>0</v>
      </c>
      <c r="O83" s="498">
        <f t="shared" si="41"/>
        <v>0</v>
      </c>
      <c r="P83" s="498">
        <f t="shared" si="41"/>
        <v>0</v>
      </c>
      <c r="Q83" s="498">
        <f t="shared" si="41"/>
        <v>0</v>
      </c>
      <c r="R83" s="498">
        <f t="shared" si="41"/>
        <v>500</v>
      </c>
      <c r="S83" s="498">
        <f t="shared" si="41"/>
        <v>500</v>
      </c>
      <c r="T83" s="498">
        <f t="shared" si="41"/>
        <v>0</v>
      </c>
      <c r="U83" s="498">
        <f t="shared" si="41"/>
        <v>0</v>
      </c>
      <c r="V83" s="498">
        <f t="shared" si="41"/>
        <v>0</v>
      </c>
      <c r="W83" s="498">
        <f t="shared" si="41"/>
        <v>0</v>
      </c>
      <c r="X83" s="498">
        <f t="shared" si="41"/>
        <v>0</v>
      </c>
      <c r="Y83" s="498">
        <f t="shared" si="41"/>
        <v>0</v>
      </c>
      <c r="Z83" s="498">
        <f t="shared" si="41"/>
        <v>0</v>
      </c>
      <c r="AA83" s="498">
        <f t="shared" si="41"/>
        <v>0</v>
      </c>
      <c r="AB83" s="498">
        <f t="shared" si="41"/>
        <v>0</v>
      </c>
      <c r="AC83" s="498">
        <f t="shared" si="41"/>
        <v>0</v>
      </c>
      <c r="AD83" s="498">
        <f t="shared" si="41"/>
        <v>0</v>
      </c>
      <c r="AE83" s="498">
        <f t="shared" si="41"/>
        <v>0</v>
      </c>
      <c r="AF83" s="455" t="s">
        <v>638</v>
      </c>
      <c r="AG83" s="719"/>
    </row>
    <row r="84" spans="1:33" ht="21" x14ac:dyDescent="0.35">
      <c r="A84" s="453" t="s">
        <v>32</v>
      </c>
      <c r="B84" s="599">
        <f>SUM(H84,J84,L84,N84,P84,R84,T84,V84,X84,Z84,AB84,AD84)</f>
        <v>475</v>
      </c>
      <c r="C84" s="454">
        <f>H84+J84+L84+N84+P84+R84</f>
        <v>475</v>
      </c>
      <c r="D84" s="454">
        <f>E84</f>
        <v>475</v>
      </c>
      <c r="E84" s="454">
        <f>SUM(I84,K84,M84,O84,Q84,S84,U84,W84,Y84,AA84,AC84,AE84)</f>
        <v>475</v>
      </c>
      <c r="F84" s="454">
        <f>IFERROR(E84/B84*100,0)</f>
        <v>100</v>
      </c>
      <c r="G84" s="454">
        <f>IFERROR(E84/C84*100,0)</f>
        <v>100</v>
      </c>
      <c r="H84" s="499">
        <v>0</v>
      </c>
      <c r="I84" s="499">
        <v>0</v>
      </c>
      <c r="J84" s="499">
        <v>0</v>
      </c>
      <c r="K84" s="499">
        <v>0</v>
      </c>
      <c r="L84" s="499">
        <v>0</v>
      </c>
      <c r="M84" s="499">
        <v>0</v>
      </c>
      <c r="N84" s="499">
        <v>0</v>
      </c>
      <c r="O84" s="499">
        <v>0</v>
      </c>
      <c r="P84" s="499">
        <v>0</v>
      </c>
      <c r="Q84" s="499">
        <v>0</v>
      </c>
      <c r="R84" s="499">
        <v>475</v>
      </c>
      <c r="S84" s="499">
        <v>475</v>
      </c>
      <c r="T84" s="499">
        <v>0</v>
      </c>
      <c r="U84" s="499">
        <v>0</v>
      </c>
      <c r="V84" s="499">
        <v>0</v>
      </c>
      <c r="W84" s="499">
        <v>0</v>
      </c>
      <c r="X84" s="499">
        <v>0</v>
      </c>
      <c r="Y84" s="499">
        <v>0</v>
      </c>
      <c r="Z84" s="499">
        <v>0</v>
      </c>
      <c r="AA84" s="499">
        <v>0</v>
      </c>
      <c r="AB84" s="499">
        <v>0</v>
      </c>
      <c r="AC84" s="499">
        <v>0</v>
      </c>
      <c r="AD84" s="499">
        <v>0</v>
      </c>
      <c r="AE84" s="499">
        <v>0</v>
      </c>
      <c r="AF84" s="455"/>
      <c r="AG84" s="719"/>
    </row>
    <row r="85" spans="1:33" ht="21" x14ac:dyDescent="0.35">
      <c r="A85" s="453" t="s">
        <v>33</v>
      </c>
      <c r="B85" s="454">
        <f>SUM(H85,J85,L85,N85,P85,R85,T85,V85,X85,Z85,AB85,AD85)</f>
        <v>25</v>
      </c>
      <c r="C85" s="454">
        <f t="shared" ref="C85:C86" si="42">H85+J85+L85+N85+P85+R85</f>
        <v>25</v>
      </c>
      <c r="D85" s="454">
        <f>E85</f>
        <v>25</v>
      </c>
      <c r="E85" s="454">
        <f>SUM(I85,K85,M85,O85,Q85,S85,U85,W85,Y85,AA85,AC85,AE85)</f>
        <v>25</v>
      </c>
      <c r="F85" s="454">
        <f>IFERROR(E85/B85*100,0)</f>
        <v>100</v>
      </c>
      <c r="G85" s="454">
        <f>IFERROR(E85/C85*100,0)</f>
        <v>100</v>
      </c>
      <c r="H85" s="499">
        <v>0</v>
      </c>
      <c r="I85" s="499">
        <v>0</v>
      </c>
      <c r="J85" s="499">
        <v>0</v>
      </c>
      <c r="K85" s="499">
        <v>0</v>
      </c>
      <c r="L85" s="499">
        <v>0</v>
      </c>
      <c r="M85" s="499">
        <v>0</v>
      </c>
      <c r="N85" s="499">
        <v>0</v>
      </c>
      <c r="O85" s="499">
        <v>0</v>
      </c>
      <c r="P85" s="499">
        <v>0</v>
      </c>
      <c r="Q85" s="499">
        <v>0</v>
      </c>
      <c r="R85" s="499">
        <v>25</v>
      </c>
      <c r="S85" s="499">
        <v>25</v>
      </c>
      <c r="T85" s="499">
        <v>0</v>
      </c>
      <c r="U85" s="499">
        <v>0</v>
      </c>
      <c r="V85" s="499">
        <v>0</v>
      </c>
      <c r="W85" s="499">
        <v>0</v>
      </c>
      <c r="X85" s="499">
        <v>0</v>
      </c>
      <c r="Y85" s="499">
        <v>0</v>
      </c>
      <c r="Z85" s="499">
        <v>0</v>
      </c>
      <c r="AA85" s="499">
        <v>0</v>
      </c>
      <c r="AB85" s="499">
        <v>0</v>
      </c>
      <c r="AC85" s="499">
        <v>0</v>
      </c>
      <c r="AD85" s="499">
        <v>0</v>
      </c>
      <c r="AE85" s="499">
        <v>0</v>
      </c>
      <c r="AF85" s="455"/>
      <c r="AG85" s="719"/>
    </row>
    <row r="86" spans="1:33" ht="37.5" x14ac:dyDescent="0.35">
      <c r="A86" s="472" t="s">
        <v>174</v>
      </c>
      <c r="B86" s="454">
        <f>SUM(H86,J86,L86,N86,P86,R86,T86,V86,X86,Z86,AB86,AD86)</f>
        <v>25</v>
      </c>
      <c r="C86" s="454">
        <f t="shared" si="42"/>
        <v>25</v>
      </c>
      <c r="D86" s="454">
        <f>E86</f>
        <v>25</v>
      </c>
      <c r="E86" s="454">
        <f>SUM(I86,K86,M86,O86,Q86,S86,U86,W86,Y86,AA86,AC86,AE86)</f>
        <v>25</v>
      </c>
      <c r="F86" s="454">
        <f>IFERROR(E86/B86*100,0)</f>
        <v>100</v>
      </c>
      <c r="G86" s="454">
        <f>IFERROR(E86/C86*100,0)</f>
        <v>100</v>
      </c>
      <c r="H86" s="499">
        <v>0</v>
      </c>
      <c r="I86" s="499">
        <v>0</v>
      </c>
      <c r="J86" s="499">
        <v>0</v>
      </c>
      <c r="K86" s="499">
        <v>0</v>
      </c>
      <c r="L86" s="499">
        <v>0</v>
      </c>
      <c r="M86" s="499">
        <v>0</v>
      </c>
      <c r="N86" s="499">
        <v>0</v>
      </c>
      <c r="O86" s="499">
        <v>0</v>
      </c>
      <c r="P86" s="499">
        <v>0</v>
      </c>
      <c r="Q86" s="499">
        <v>0</v>
      </c>
      <c r="R86" s="499">
        <v>25</v>
      </c>
      <c r="S86" s="499">
        <v>25</v>
      </c>
      <c r="T86" s="499">
        <v>0</v>
      </c>
      <c r="U86" s="499">
        <v>0</v>
      </c>
      <c r="V86" s="499">
        <v>0</v>
      </c>
      <c r="W86" s="499">
        <v>0</v>
      </c>
      <c r="X86" s="499">
        <v>0</v>
      </c>
      <c r="Y86" s="499">
        <v>0</v>
      </c>
      <c r="Z86" s="499">
        <v>0</v>
      </c>
      <c r="AA86" s="499">
        <v>0</v>
      </c>
      <c r="AB86" s="499">
        <v>0</v>
      </c>
      <c r="AC86" s="499">
        <v>0</v>
      </c>
      <c r="AD86" s="499">
        <v>0</v>
      </c>
      <c r="AE86" s="499">
        <v>0</v>
      </c>
      <c r="AF86" s="455"/>
      <c r="AG86" s="719"/>
    </row>
    <row r="87" spans="1:33" ht="21" x14ac:dyDescent="0.35">
      <c r="A87" s="1063" t="s">
        <v>353</v>
      </c>
      <c r="B87" s="1064"/>
      <c r="C87" s="1064"/>
      <c r="D87" s="1064"/>
      <c r="E87" s="1064"/>
      <c r="F87" s="1064"/>
      <c r="G87" s="1064"/>
      <c r="H87" s="1064"/>
      <c r="I87" s="1064"/>
      <c r="J87" s="1064"/>
      <c r="K87" s="1064"/>
      <c r="L87" s="1064"/>
      <c r="M87" s="1064"/>
      <c r="N87" s="1064"/>
      <c r="O87" s="1064"/>
      <c r="P87" s="1064"/>
      <c r="Q87" s="1064"/>
      <c r="R87" s="1064"/>
      <c r="S87" s="1064"/>
      <c r="T87" s="1064"/>
      <c r="U87" s="1064"/>
      <c r="V87" s="1064"/>
      <c r="W87" s="1064"/>
      <c r="X87" s="1064"/>
      <c r="Y87" s="1064"/>
      <c r="Z87" s="1064"/>
      <c r="AA87" s="1064"/>
      <c r="AB87" s="1064"/>
      <c r="AC87" s="1064"/>
      <c r="AD87" s="1064"/>
      <c r="AE87" s="1065"/>
      <c r="AF87" s="455"/>
      <c r="AG87" s="719"/>
    </row>
    <row r="88" spans="1:33" s="452" customFormat="1" ht="56.25" x14ac:dyDescent="0.35">
      <c r="A88" s="449" t="s">
        <v>31</v>
      </c>
      <c r="B88" s="596">
        <f>B89+B90</f>
        <v>500</v>
      </c>
      <c r="C88" s="450">
        <f>C89+C90</f>
        <v>500</v>
      </c>
      <c r="D88" s="450">
        <f>D89+D90</f>
        <v>500</v>
      </c>
      <c r="E88" s="450">
        <f>E89+E90</f>
        <v>500</v>
      </c>
      <c r="F88" s="450">
        <f>IFERROR(E88/B88*100,0)</f>
        <v>100</v>
      </c>
      <c r="G88" s="450">
        <f>IFERROR(E88/C88*100,0)</f>
        <v>100</v>
      </c>
      <c r="H88" s="498">
        <f>H89+H90</f>
        <v>0</v>
      </c>
      <c r="I88" s="498">
        <f t="shared" ref="I88:AE88" si="43">I89+I90</f>
        <v>0</v>
      </c>
      <c r="J88" s="498">
        <f t="shared" si="43"/>
        <v>0</v>
      </c>
      <c r="K88" s="498">
        <f t="shared" si="43"/>
        <v>0</v>
      </c>
      <c r="L88" s="498">
        <f t="shared" si="43"/>
        <v>0</v>
      </c>
      <c r="M88" s="498">
        <f t="shared" si="43"/>
        <v>0</v>
      </c>
      <c r="N88" s="498">
        <f t="shared" si="43"/>
        <v>0</v>
      </c>
      <c r="O88" s="498">
        <f t="shared" si="43"/>
        <v>0</v>
      </c>
      <c r="P88" s="498">
        <f t="shared" si="43"/>
        <v>0</v>
      </c>
      <c r="Q88" s="498">
        <f t="shared" si="43"/>
        <v>0</v>
      </c>
      <c r="R88" s="498">
        <f t="shared" si="43"/>
        <v>500</v>
      </c>
      <c r="S88" s="498">
        <f t="shared" si="43"/>
        <v>500</v>
      </c>
      <c r="T88" s="498">
        <f t="shared" si="43"/>
        <v>0</v>
      </c>
      <c r="U88" s="498">
        <f t="shared" si="43"/>
        <v>0</v>
      </c>
      <c r="V88" s="498">
        <f t="shared" si="43"/>
        <v>0</v>
      </c>
      <c r="W88" s="498">
        <f t="shared" si="43"/>
        <v>0</v>
      </c>
      <c r="X88" s="498">
        <f t="shared" si="43"/>
        <v>0</v>
      </c>
      <c r="Y88" s="498">
        <f t="shared" si="43"/>
        <v>0</v>
      </c>
      <c r="Z88" s="498">
        <f t="shared" si="43"/>
        <v>0</v>
      </c>
      <c r="AA88" s="498">
        <f t="shared" si="43"/>
        <v>0</v>
      </c>
      <c r="AB88" s="498">
        <f t="shared" si="43"/>
        <v>0</v>
      </c>
      <c r="AC88" s="498">
        <f t="shared" si="43"/>
        <v>0</v>
      </c>
      <c r="AD88" s="498">
        <f t="shared" si="43"/>
        <v>0</v>
      </c>
      <c r="AE88" s="498">
        <f t="shared" si="43"/>
        <v>0</v>
      </c>
      <c r="AF88" s="455" t="s">
        <v>639</v>
      </c>
      <c r="AG88" s="719"/>
    </row>
    <row r="89" spans="1:33" ht="21" x14ac:dyDescent="0.35">
      <c r="A89" s="453" t="s">
        <v>32</v>
      </c>
      <c r="B89" s="454">
        <f>SUM(H89,J89,L89,N89,P89,R89,T89,V89,X89,Z89,AB89,AD89)</f>
        <v>0</v>
      </c>
      <c r="C89" s="454">
        <f>H89+J89+L89+N89+P89+R89</f>
        <v>0</v>
      </c>
      <c r="D89" s="454">
        <f>E89</f>
        <v>0</v>
      </c>
      <c r="E89" s="454">
        <f>SUM(I89,K89,M89,O89,Q89,S89,U89,W89,Y89,AA89,AC89,AE89)</f>
        <v>0</v>
      </c>
      <c r="F89" s="454">
        <f>IFERROR(E89/B89*100,0)</f>
        <v>0</v>
      </c>
      <c r="G89" s="454">
        <f>IFERROR(E89/C89*100,0)</f>
        <v>0</v>
      </c>
      <c r="H89" s="499">
        <v>0</v>
      </c>
      <c r="I89" s="499">
        <v>0</v>
      </c>
      <c r="J89" s="499">
        <v>0</v>
      </c>
      <c r="K89" s="499">
        <v>0</v>
      </c>
      <c r="L89" s="499">
        <v>0</v>
      </c>
      <c r="M89" s="499">
        <v>0</v>
      </c>
      <c r="N89" s="499">
        <v>0</v>
      </c>
      <c r="O89" s="499">
        <v>0</v>
      </c>
      <c r="P89" s="499">
        <v>0</v>
      </c>
      <c r="Q89" s="499">
        <v>0</v>
      </c>
      <c r="R89" s="499">
        <v>0</v>
      </c>
      <c r="S89" s="499">
        <v>0</v>
      </c>
      <c r="T89" s="499">
        <v>0</v>
      </c>
      <c r="U89" s="499">
        <v>0</v>
      </c>
      <c r="V89" s="499">
        <v>0</v>
      </c>
      <c r="W89" s="499">
        <v>0</v>
      </c>
      <c r="X89" s="499">
        <v>0</v>
      </c>
      <c r="Y89" s="499">
        <v>0</v>
      </c>
      <c r="Z89" s="499">
        <v>0</v>
      </c>
      <c r="AA89" s="499">
        <v>0</v>
      </c>
      <c r="AB89" s="499">
        <v>0</v>
      </c>
      <c r="AC89" s="499">
        <v>0</v>
      </c>
      <c r="AD89" s="499">
        <v>0</v>
      </c>
      <c r="AE89" s="499">
        <v>0</v>
      </c>
      <c r="AF89" s="455"/>
      <c r="AG89" s="719"/>
    </row>
    <row r="90" spans="1:33" ht="21" x14ac:dyDescent="0.35">
      <c r="A90" s="453" t="s">
        <v>33</v>
      </c>
      <c r="B90" s="454">
        <f>SUM(H90,J90,L90,N90,P90,R90,T90,V90,X90,Z90,AB90,AD90)</f>
        <v>500</v>
      </c>
      <c r="C90" s="454">
        <f t="shared" ref="C90:C91" si="44">H90+J90+L90+N90+P90+R90</f>
        <v>500</v>
      </c>
      <c r="D90" s="454">
        <f>E90</f>
        <v>500</v>
      </c>
      <c r="E90" s="454">
        <f>SUM(I90,K90,M90,O90,Q90,S90,U90,W90,Y90,AA90,AC90,AE90)</f>
        <v>500</v>
      </c>
      <c r="F90" s="454">
        <f>IFERROR(E90/B90*100,0)</f>
        <v>100</v>
      </c>
      <c r="G90" s="454">
        <f>IFERROR(E90/C90*100,0)</f>
        <v>100</v>
      </c>
      <c r="H90" s="499">
        <v>0</v>
      </c>
      <c r="I90" s="499">
        <v>0</v>
      </c>
      <c r="J90" s="499">
        <v>0</v>
      </c>
      <c r="K90" s="499">
        <v>0</v>
      </c>
      <c r="L90" s="499">
        <v>0</v>
      </c>
      <c r="M90" s="499">
        <v>0</v>
      </c>
      <c r="N90" s="499">
        <v>0</v>
      </c>
      <c r="O90" s="499">
        <v>0</v>
      </c>
      <c r="P90" s="499">
        <v>0</v>
      </c>
      <c r="Q90" s="499">
        <v>0</v>
      </c>
      <c r="R90" s="499">
        <v>500</v>
      </c>
      <c r="S90" s="499">
        <v>500</v>
      </c>
      <c r="T90" s="499">
        <v>0</v>
      </c>
      <c r="U90" s="499">
        <v>0</v>
      </c>
      <c r="V90" s="499">
        <v>0</v>
      </c>
      <c r="W90" s="499">
        <v>0</v>
      </c>
      <c r="X90" s="499">
        <v>0</v>
      </c>
      <c r="Y90" s="499">
        <v>0</v>
      </c>
      <c r="Z90" s="499">
        <v>0</v>
      </c>
      <c r="AA90" s="499">
        <v>0</v>
      </c>
      <c r="AB90" s="499">
        <v>0</v>
      </c>
      <c r="AC90" s="499">
        <v>0</v>
      </c>
      <c r="AD90" s="499">
        <v>0</v>
      </c>
      <c r="AE90" s="499">
        <v>0</v>
      </c>
      <c r="AF90" s="455"/>
      <c r="AG90" s="719"/>
    </row>
    <row r="91" spans="1:33" ht="37.5" x14ac:dyDescent="0.35">
      <c r="A91" s="472" t="s">
        <v>174</v>
      </c>
      <c r="B91" s="454">
        <f>SUM(H91,J91,L91,N91,P91,R91,T91,V91,X91,Z91,AB91,AD91)</f>
        <v>0</v>
      </c>
      <c r="C91" s="454">
        <f t="shared" si="44"/>
        <v>0</v>
      </c>
      <c r="D91" s="454">
        <f>E91</f>
        <v>0</v>
      </c>
      <c r="E91" s="454">
        <f>SUM(I91,K91,M91,O91,Q91,S91,U91,W91,Y91,AA91,AC91,AE91)</f>
        <v>0</v>
      </c>
      <c r="F91" s="454">
        <f>IFERROR(E91/B91*100,0)</f>
        <v>0</v>
      </c>
      <c r="G91" s="454">
        <f>IFERROR(E91/C91*100,0)</f>
        <v>0</v>
      </c>
      <c r="H91" s="499">
        <v>0</v>
      </c>
      <c r="I91" s="499">
        <v>0</v>
      </c>
      <c r="J91" s="499">
        <v>0</v>
      </c>
      <c r="K91" s="499">
        <v>0</v>
      </c>
      <c r="L91" s="499">
        <v>0</v>
      </c>
      <c r="M91" s="499">
        <v>0</v>
      </c>
      <c r="N91" s="499">
        <v>0</v>
      </c>
      <c r="O91" s="499">
        <v>0</v>
      </c>
      <c r="P91" s="499">
        <v>0</v>
      </c>
      <c r="Q91" s="499">
        <v>0</v>
      </c>
      <c r="R91" s="499">
        <v>0</v>
      </c>
      <c r="S91" s="499">
        <v>0</v>
      </c>
      <c r="T91" s="499">
        <v>0</v>
      </c>
      <c r="U91" s="499">
        <v>0</v>
      </c>
      <c r="V91" s="499">
        <v>0</v>
      </c>
      <c r="W91" s="499">
        <v>0</v>
      </c>
      <c r="X91" s="499">
        <v>0</v>
      </c>
      <c r="Y91" s="499">
        <v>0</v>
      </c>
      <c r="Z91" s="499">
        <v>0</v>
      </c>
      <c r="AA91" s="499">
        <v>0</v>
      </c>
      <c r="AB91" s="499">
        <v>0</v>
      </c>
      <c r="AC91" s="499">
        <v>0</v>
      </c>
      <c r="AD91" s="499">
        <v>0</v>
      </c>
      <c r="AE91" s="499">
        <v>0</v>
      </c>
      <c r="AF91" s="455"/>
      <c r="AG91" s="719"/>
    </row>
    <row r="92" spans="1:33" ht="21" x14ac:dyDescent="0.35">
      <c r="A92" s="475" t="s">
        <v>354</v>
      </c>
      <c r="B92" s="476"/>
      <c r="C92" s="476"/>
      <c r="D92" s="476"/>
      <c r="E92" s="476"/>
      <c r="F92" s="476"/>
      <c r="G92" s="476"/>
      <c r="H92" s="476"/>
      <c r="I92" s="476"/>
      <c r="J92" s="476"/>
      <c r="K92" s="476"/>
      <c r="L92" s="476"/>
      <c r="M92" s="476"/>
      <c r="N92" s="476"/>
      <c r="O92" s="476"/>
      <c r="P92" s="476"/>
      <c r="Q92" s="476"/>
      <c r="R92" s="476"/>
      <c r="S92" s="476"/>
      <c r="T92" s="476"/>
      <c r="U92" s="476"/>
      <c r="V92" s="476"/>
      <c r="W92" s="476"/>
      <c r="X92" s="476"/>
      <c r="Y92" s="476"/>
      <c r="Z92" s="476"/>
      <c r="AA92" s="476"/>
      <c r="AB92" s="476"/>
      <c r="AC92" s="476"/>
      <c r="AD92" s="476"/>
      <c r="AE92" s="477"/>
      <c r="AF92" s="473"/>
      <c r="AG92" s="719"/>
    </row>
    <row r="93" spans="1:33" s="452" customFormat="1" ht="56.25" x14ac:dyDescent="0.35">
      <c r="A93" s="449" t="s">
        <v>31</v>
      </c>
      <c r="B93" s="450">
        <f>B94+B95</f>
        <v>1156.4000000000001</v>
      </c>
      <c r="C93" s="450">
        <f>C94+C95</f>
        <v>1156.4000000000001</v>
      </c>
      <c r="D93" s="450">
        <f>D94+D95</f>
        <v>1156.4000000000001</v>
      </c>
      <c r="E93" s="450">
        <f>E94+E95</f>
        <v>1156.4000000000001</v>
      </c>
      <c r="F93" s="450">
        <f>IFERROR(E93/B93*100,0)</f>
        <v>100</v>
      </c>
      <c r="G93" s="450">
        <f>IFERROR(E93/C93*100,0)</f>
        <v>100</v>
      </c>
      <c r="H93" s="498">
        <f>H94+H95</f>
        <v>0</v>
      </c>
      <c r="I93" s="498">
        <f t="shared" ref="I93:AE93" si="45">I94+I95</f>
        <v>0</v>
      </c>
      <c r="J93" s="498">
        <f t="shared" si="45"/>
        <v>0</v>
      </c>
      <c r="K93" s="498">
        <f t="shared" si="45"/>
        <v>0</v>
      </c>
      <c r="L93" s="498">
        <f t="shared" si="45"/>
        <v>0</v>
      </c>
      <c r="M93" s="498">
        <f t="shared" si="45"/>
        <v>0</v>
      </c>
      <c r="N93" s="498">
        <f t="shared" si="45"/>
        <v>0</v>
      </c>
      <c r="O93" s="498">
        <f t="shared" si="45"/>
        <v>0</v>
      </c>
      <c r="P93" s="498">
        <f t="shared" si="45"/>
        <v>0</v>
      </c>
      <c r="Q93" s="498">
        <f t="shared" si="45"/>
        <v>0</v>
      </c>
      <c r="R93" s="498">
        <f t="shared" si="45"/>
        <v>1156.4000000000001</v>
      </c>
      <c r="S93" s="498">
        <f t="shared" si="45"/>
        <v>1156.4000000000001</v>
      </c>
      <c r="T93" s="498">
        <f t="shared" si="45"/>
        <v>0</v>
      </c>
      <c r="U93" s="498">
        <f t="shared" si="45"/>
        <v>0</v>
      </c>
      <c r="V93" s="498">
        <f t="shared" si="45"/>
        <v>0</v>
      </c>
      <c r="W93" s="498">
        <f t="shared" si="45"/>
        <v>0</v>
      </c>
      <c r="X93" s="498">
        <f t="shared" si="45"/>
        <v>0</v>
      </c>
      <c r="Y93" s="498">
        <f t="shared" si="45"/>
        <v>0</v>
      </c>
      <c r="Z93" s="498">
        <f t="shared" si="45"/>
        <v>0</v>
      </c>
      <c r="AA93" s="498">
        <f t="shared" si="45"/>
        <v>0</v>
      </c>
      <c r="AB93" s="498">
        <f t="shared" si="45"/>
        <v>0</v>
      </c>
      <c r="AC93" s="498">
        <f t="shared" si="45"/>
        <v>0</v>
      </c>
      <c r="AD93" s="498">
        <f t="shared" si="45"/>
        <v>0</v>
      </c>
      <c r="AE93" s="498">
        <f t="shared" si="45"/>
        <v>0</v>
      </c>
      <c r="AF93" s="455" t="s">
        <v>640</v>
      </c>
      <c r="AG93" s="719"/>
    </row>
    <row r="94" spans="1:33" ht="21" x14ac:dyDescent="0.35">
      <c r="A94" s="453" t="s">
        <v>32</v>
      </c>
      <c r="B94" s="454">
        <f>SUM(H94,J94,L94,N94,P94,R94,T94,V94,X94,Z94,AB94,AD94)</f>
        <v>0</v>
      </c>
      <c r="C94" s="454">
        <f>H94+J94+L94+N94+P94+R94</f>
        <v>0</v>
      </c>
      <c r="D94" s="454">
        <f>E94</f>
        <v>0</v>
      </c>
      <c r="E94" s="454">
        <f>SUM(I94,K94,M94,O94,Q94,S94,U94,W94,Y94,AA94,AC94,AE94)</f>
        <v>0</v>
      </c>
      <c r="F94" s="454">
        <f>IFERROR(E94/B94*100,0)</f>
        <v>0</v>
      </c>
      <c r="G94" s="454">
        <f>IFERROR(E94/C94*100,0)</f>
        <v>0</v>
      </c>
      <c r="H94" s="499">
        <v>0</v>
      </c>
      <c r="I94" s="499">
        <v>0</v>
      </c>
      <c r="J94" s="499">
        <v>0</v>
      </c>
      <c r="K94" s="499">
        <v>0</v>
      </c>
      <c r="L94" s="499">
        <v>0</v>
      </c>
      <c r="M94" s="499">
        <v>0</v>
      </c>
      <c r="N94" s="499">
        <v>0</v>
      </c>
      <c r="O94" s="499">
        <v>0</v>
      </c>
      <c r="P94" s="499">
        <v>0</v>
      </c>
      <c r="Q94" s="499">
        <v>0</v>
      </c>
      <c r="R94" s="499">
        <v>0</v>
      </c>
      <c r="S94" s="499">
        <v>0</v>
      </c>
      <c r="T94" s="499">
        <v>0</v>
      </c>
      <c r="U94" s="499">
        <v>0</v>
      </c>
      <c r="V94" s="499">
        <v>0</v>
      </c>
      <c r="W94" s="499">
        <v>0</v>
      </c>
      <c r="X94" s="499">
        <v>0</v>
      </c>
      <c r="Y94" s="499">
        <v>0</v>
      </c>
      <c r="Z94" s="499">
        <v>0</v>
      </c>
      <c r="AA94" s="499">
        <v>0</v>
      </c>
      <c r="AB94" s="499">
        <v>0</v>
      </c>
      <c r="AC94" s="499">
        <v>0</v>
      </c>
      <c r="AD94" s="499">
        <v>0</v>
      </c>
      <c r="AE94" s="499">
        <v>0</v>
      </c>
      <c r="AF94" s="455"/>
      <c r="AG94" s="719"/>
    </row>
    <row r="95" spans="1:33" ht="21" x14ac:dyDescent="0.35">
      <c r="A95" s="453" t="s">
        <v>33</v>
      </c>
      <c r="B95" s="454">
        <f>SUM(H95,J95,L95,N95,P95,R95,T95,V95,X95,Z95,AB95,AD95)</f>
        <v>1156.4000000000001</v>
      </c>
      <c r="C95" s="454">
        <f t="shared" ref="C95:C96" si="46">H95+J95+L95+N95+P95+R95</f>
        <v>1156.4000000000001</v>
      </c>
      <c r="D95" s="454">
        <f>E95</f>
        <v>1156.4000000000001</v>
      </c>
      <c r="E95" s="454">
        <f>SUM(I95,K95,M95,O95,Q95,S95,U95,W95,Y95,AA95,AC95,AE95)</f>
        <v>1156.4000000000001</v>
      </c>
      <c r="F95" s="454">
        <f>IFERROR(E95/B95*100,0)</f>
        <v>100</v>
      </c>
      <c r="G95" s="454">
        <f>IFERROR(E95/C95*100,0)</f>
        <v>100</v>
      </c>
      <c r="H95" s="499">
        <v>0</v>
      </c>
      <c r="I95" s="499">
        <v>0</v>
      </c>
      <c r="J95" s="499">
        <v>0</v>
      </c>
      <c r="K95" s="499">
        <v>0</v>
      </c>
      <c r="L95" s="499">
        <v>0</v>
      </c>
      <c r="M95" s="499">
        <v>0</v>
      </c>
      <c r="N95" s="499">
        <v>0</v>
      </c>
      <c r="O95" s="499">
        <v>0</v>
      </c>
      <c r="P95" s="499">
        <v>0</v>
      </c>
      <c r="Q95" s="499">
        <v>0</v>
      </c>
      <c r="R95" s="499">
        <v>1156.4000000000001</v>
      </c>
      <c r="S95" s="499">
        <v>1156.4000000000001</v>
      </c>
      <c r="T95" s="499">
        <v>0</v>
      </c>
      <c r="U95" s="499">
        <v>0</v>
      </c>
      <c r="V95" s="499">
        <v>0</v>
      </c>
      <c r="W95" s="499">
        <v>0</v>
      </c>
      <c r="X95" s="499">
        <v>0</v>
      </c>
      <c r="Y95" s="499">
        <v>0</v>
      </c>
      <c r="Z95" s="499">
        <v>0</v>
      </c>
      <c r="AA95" s="499">
        <v>0</v>
      </c>
      <c r="AB95" s="499">
        <v>0</v>
      </c>
      <c r="AC95" s="499">
        <v>0</v>
      </c>
      <c r="AD95" s="499">
        <v>0</v>
      </c>
      <c r="AE95" s="499">
        <v>0</v>
      </c>
      <c r="AF95" s="455"/>
      <c r="AG95" s="719"/>
    </row>
    <row r="96" spans="1:33" ht="37.5" x14ac:dyDescent="0.35">
      <c r="A96" s="472" t="s">
        <v>174</v>
      </c>
      <c r="B96" s="454">
        <f>SUM(H96,J96,L96,N96,P96,R96,T96,V96,X96,Z96,AB96,AD96)</f>
        <v>0</v>
      </c>
      <c r="C96" s="454">
        <f t="shared" si="46"/>
        <v>0</v>
      </c>
      <c r="D96" s="454">
        <f>E96</f>
        <v>0</v>
      </c>
      <c r="E96" s="454">
        <f>SUM(I96,K96,M96,O96,Q96,S96,U96,W96,Y96,AA96,AC96,AE96)</f>
        <v>0</v>
      </c>
      <c r="F96" s="454">
        <f>IFERROR(E96/B96*100,0)</f>
        <v>0</v>
      </c>
      <c r="G96" s="454">
        <f>IFERROR(E96/C96*100,0)</f>
        <v>0</v>
      </c>
      <c r="H96" s="499">
        <v>0</v>
      </c>
      <c r="I96" s="499">
        <v>0</v>
      </c>
      <c r="J96" s="499">
        <v>0</v>
      </c>
      <c r="K96" s="499">
        <v>0</v>
      </c>
      <c r="L96" s="499">
        <v>0</v>
      </c>
      <c r="M96" s="499">
        <v>0</v>
      </c>
      <c r="N96" s="499">
        <v>0</v>
      </c>
      <c r="O96" s="499">
        <v>0</v>
      </c>
      <c r="P96" s="499">
        <v>0</v>
      </c>
      <c r="Q96" s="499">
        <v>0</v>
      </c>
      <c r="R96" s="499">
        <v>0</v>
      </c>
      <c r="S96" s="499">
        <v>0</v>
      </c>
      <c r="T96" s="499">
        <v>0</v>
      </c>
      <c r="U96" s="499">
        <v>0</v>
      </c>
      <c r="V96" s="499">
        <v>0</v>
      </c>
      <c r="W96" s="499">
        <v>0</v>
      </c>
      <c r="X96" s="499">
        <v>0</v>
      </c>
      <c r="Y96" s="499">
        <v>0</v>
      </c>
      <c r="Z96" s="499">
        <v>0</v>
      </c>
      <c r="AA96" s="499">
        <v>0</v>
      </c>
      <c r="AB96" s="499">
        <v>0</v>
      </c>
      <c r="AC96" s="499">
        <v>0</v>
      </c>
      <c r="AD96" s="499">
        <v>0</v>
      </c>
      <c r="AE96" s="499">
        <v>0</v>
      </c>
      <c r="AF96" s="455"/>
      <c r="AG96" s="719"/>
    </row>
    <row r="97" spans="1:33" ht="21" x14ac:dyDescent="0.35">
      <c r="A97" s="475" t="s">
        <v>355</v>
      </c>
      <c r="B97" s="478"/>
      <c r="C97" s="478"/>
      <c r="D97" s="478"/>
      <c r="E97" s="478"/>
      <c r="F97" s="478"/>
      <c r="G97" s="478"/>
      <c r="H97" s="478"/>
      <c r="I97" s="478"/>
      <c r="J97" s="478"/>
      <c r="K97" s="478"/>
      <c r="L97" s="478"/>
      <c r="M97" s="478"/>
      <c r="N97" s="478"/>
      <c r="O97" s="478"/>
      <c r="P97" s="478"/>
      <c r="Q97" s="478"/>
      <c r="R97" s="478"/>
      <c r="S97" s="478"/>
      <c r="T97" s="478"/>
      <c r="U97" s="478"/>
      <c r="V97" s="478"/>
      <c r="W97" s="478"/>
      <c r="X97" s="478"/>
      <c r="Y97" s="478"/>
      <c r="Z97" s="478"/>
      <c r="AA97" s="478"/>
      <c r="AB97" s="478"/>
      <c r="AC97" s="478"/>
      <c r="AD97" s="478"/>
      <c r="AE97" s="479"/>
      <c r="AF97" s="473"/>
      <c r="AG97" s="719"/>
    </row>
    <row r="98" spans="1:33" s="452" customFormat="1" ht="21" x14ac:dyDescent="0.35">
      <c r="A98" s="449" t="s">
        <v>31</v>
      </c>
      <c r="B98" s="450">
        <f>B99+B100</f>
        <v>0</v>
      </c>
      <c r="C98" s="450">
        <f>C99+C100</f>
        <v>0</v>
      </c>
      <c r="D98" s="450">
        <f>D99+D100</f>
        <v>0</v>
      </c>
      <c r="E98" s="450">
        <f>E99+E100</f>
        <v>0</v>
      </c>
      <c r="F98" s="450">
        <f>IFERROR(E98/B98*100,0)</f>
        <v>0</v>
      </c>
      <c r="G98" s="450">
        <f>IFERROR(E98/C98*100,0)</f>
        <v>0</v>
      </c>
      <c r="H98" s="498">
        <f>H99+H100</f>
        <v>0</v>
      </c>
      <c r="I98" s="498">
        <f t="shared" ref="I98:AE98" si="47">I99+I100</f>
        <v>0</v>
      </c>
      <c r="J98" s="498">
        <f t="shared" si="47"/>
        <v>0</v>
      </c>
      <c r="K98" s="498">
        <f t="shared" si="47"/>
        <v>0</v>
      </c>
      <c r="L98" s="498">
        <f t="shared" si="47"/>
        <v>0</v>
      </c>
      <c r="M98" s="498">
        <f t="shared" si="47"/>
        <v>0</v>
      </c>
      <c r="N98" s="498">
        <f t="shared" si="47"/>
        <v>0</v>
      </c>
      <c r="O98" s="498">
        <f t="shared" si="47"/>
        <v>0</v>
      </c>
      <c r="P98" s="498">
        <f t="shared" si="47"/>
        <v>0</v>
      </c>
      <c r="Q98" s="498">
        <f t="shared" si="47"/>
        <v>0</v>
      </c>
      <c r="R98" s="498">
        <f t="shared" si="47"/>
        <v>0</v>
      </c>
      <c r="S98" s="498">
        <f t="shared" si="47"/>
        <v>0</v>
      </c>
      <c r="T98" s="498">
        <f t="shared" si="47"/>
        <v>0</v>
      </c>
      <c r="U98" s="498">
        <f t="shared" si="47"/>
        <v>0</v>
      </c>
      <c r="V98" s="498">
        <f t="shared" si="47"/>
        <v>0</v>
      </c>
      <c r="W98" s="498">
        <f t="shared" si="47"/>
        <v>0</v>
      </c>
      <c r="X98" s="498">
        <f t="shared" si="47"/>
        <v>0</v>
      </c>
      <c r="Y98" s="498">
        <f t="shared" si="47"/>
        <v>0</v>
      </c>
      <c r="Z98" s="498">
        <f t="shared" si="47"/>
        <v>0</v>
      </c>
      <c r="AA98" s="498">
        <f t="shared" si="47"/>
        <v>0</v>
      </c>
      <c r="AB98" s="498">
        <f t="shared" si="47"/>
        <v>0</v>
      </c>
      <c r="AC98" s="498">
        <f t="shared" si="47"/>
        <v>0</v>
      </c>
      <c r="AD98" s="498">
        <f t="shared" si="47"/>
        <v>0</v>
      </c>
      <c r="AE98" s="498">
        <f t="shared" si="47"/>
        <v>0</v>
      </c>
      <c r="AF98" s="456"/>
      <c r="AG98" s="719"/>
    </row>
    <row r="99" spans="1:33" ht="21" x14ac:dyDescent="0.35">
      <c r="A99" s="453" t="s">
        <v>32</v>
      </c>
      <c r="B99" s="454">
        <f>SUM(H99,J99,L99,N99,P99,R99,T99,V99,X99,Z99,AB99,AD99)</f>
        <v>0</v>
      </c>
      <c r="C99" s="454">
        <f>H99+J99+L99+N99+P99+R99</f>
        <v>0</v>
      </c>
      <c r="D99" s="454">
        <f>E99</f>
        <v>0</v>
      </c>
      <c r="E99" s="454">
        <f>SUM(I99,K99,M99,O99,Q99,S99,U99,W99,Y99,AA99,AC99,AE99)</f>
        <v>0</v>
      </c>
      <c r="F99" s="454">
        <f>IFERROR(E99/B99*100,0)</f>
        <v>0</v>
      </c>
      <c r="G99" s="454">
        <f>IFERROR(E99/C99*100,0)</f>
        <v>0</v>
      </c>
      <c r="H99" s="499">
        <v>0</v>
      </c>
      <c r="I99" s="499">
        <v>0</v>
      </c>
      <c r="J99" s="499">
        <v>0</v>
      </c>
      <c r="K99" s="499">
        <v>0</v>
      </c>
      <c r="L99" s="499">
        <v>0</v>
      </c>
      <c r="M99" s="499">
        <v>0</v>
      </c>
      <c r="N99" s="499">
        <v>0</v>
      </c>
      <c r="O99" s="499">
        <v>0</v>
      </c>
      <c r="P99" s="499">
        <v>0</v>
      </c>
      <c r="Q99" s="499">
        <v>0</v>
      </c>
      <c r="R99" s="499">
        <v>0</v>
      </c>
      <c r="S99" s="499">
        <v>0</v>
      </c>
      <c r="T99" s="499">
        <v>0</v>
      </c>
      <c r="U99" s="499">
        <v>0</v>
      </c>
      <c r="V99" s="499">
        <v>0</v>
      </c>
      <c r="W99" s="499">
        <v>0</v>
      </c>
      <c r="X99" s="499">
        <v>0</v>
      </c>
      <c r="Y99" s="499">
        <v>0</v>
      </c>
      <c r="Z99" s="499">
        <v>0</v>
      </c>
      <c r="AA99" s="499">
        <v>0</v>
      </c>
      <c r="AB99" s="499">
        <v>0</v>
      </c>
      <c r="AC99" s="499">
        <v>0</v>
      </c>
      <c r="AD99" s="499">
        <v>0</v>
      </c>
      <c r="AE99" s="499">
        <v>0</v>
      </c>
      <c r="AF99" s="455"/>
      <c r="AG99" s="719"/>
    </row>
    <row r="100" spans="1:33" ht="21" x14ac:dyDescent="0.35">
      <c r="A100" s="453" t="s">
        <v>33</v>
      </c>
      <c r="B100" s="454">
        <f>SUM(H100,J100,L100,N100,P100,R100,T100,V100,X100,Z100,AB100,AD100)</f>
        <v>0</v>
      </c>
      <c r="C100" s="454">
        <f t="shared" ref="C100:C101" si="48">H100+J100+L100+N100+P100+R100</f>
        <v>0</v>
      </c>
      <c r="D100" s="454">
        <f>E100</f>
        <v>0</v>
      </c>
      <c r="E100" s="454">
        <f>SUM(I100,K100,M100,O100,Q100,S100,U100,W100,Y100,AA100,AC100,AE100)</f>
        <v>0</v>
      </c>
      <c r="F100" s="454">
        <f>IFERROR(E100/B100*100,0)</f>
        <v>0</v>
      </c>
      <c r="G100" s="454">
        <f>IFERROR(E100/C100*100,0)</f>
        <v>0</v>
      </c>
      <c r="H100" s="499">
        <v>0</v>
      </c>
      <c r="I100" s="499">
        <v>0</v>
      </c>
      <c r="J100" s="499">
        <v>0</v>
      </c>
      <c r="K100" s="499">
        <v>0</v>
      </c>
      <c r="L100" s="499">
        <v>0</v>
      </c>
      <c r="M100" s="499">
        <v>0</v>
      </c>
      <c r="N100" s="499">
        <v>0</v>
      </c>
      <c r="O100" s="499">
        <v>0</v>
      </c>
      <c r="P100" s="499">
        <v>0</v>
      </c>
      <c r="Q100" s="499">
        <v>0</v>
      </c>
      <c r="R100" s="499">
        <v>0</v>
      </c>
      <c r="S100" s="499">
        <v>0</v>
      </c>
      <c r="T100" s="499">
        <v>0</v>
      </c>
      <c r="U100" s="499">
        <v>0</v>
      </c>
      <c r="V100" s="499">
        <v>0</v>
      </c>
      <c r="W100" s="499">
        <v>0</v>
      </c>
      <c r="X100" s="499">
        <v>0</v>
      </c>
      <c r="Y100" s="499">
        <v>0</v>
      </c>
      <c r="Z100" s="499">
        <v>0</v>
      </c>
      <c r="AA100" s="499">
        <v>0</v>
      </c>
      <c r="AB100" s="499">
        <v>0</v>
      </c>
      <c r="AC100" s="499">
        <v>0</v>
      </c>
      <c r="AD100" s="499">
        <v>0</v>
      </c>
      <c r="AE100" s="499">
        <v>0</v>
      </c>
      <c r="AF100" s="455"/>
      <c r="AG100" s="719"/>
    </row>
    <row r="101" spans="1:33" ht="37.5" x14ac:dyDescent="0.35">
      <c r="A101" s="472" t="s">
        <v>174</v>
      </c>
      <c r="B101" s="454">
        <f>SUM(H101,J101,L101,N101,P101,R101,T101,V101,X101,Z101,AB101,AD101)</f>
        <v>0</v>
      </c>
      <c r="C101" s="454">
        <f t="shared" si="48"/>
        <v>0</v>
      </c>
      <c r="D101" s="454">
        <f>E101</f>
        <v>0</v>
      </c>
      <c r="E101" s="454">
        <f>SUM(I101,K101,M101,O101,Q101,S101,U101,W101,Y101,AA101,AC101,AE101)</f>
        <v>0</v>
      </c>
      <c r="F101" s="454">
        <f>IFERROR(E101/B101*100,0)</f>
        <v>0</v>
      </c>
      <c r="G101" s="454">
        <f>IFERROR(E101/C101*100,0)</f>
        <v>0</v>
      </c>
      <c r="H101" s="499">
        <v>0</v>
      </c>
      <c r="I101" s="499">
        <v>0</v>
      </c>
      <c r="J101" s="499">
        <v>0</v>
      </c>
      <c r="K101" s="499">
        <v>0</v>
      </c>
      <c r="L101" s="499">
        <v>0</v>
      </c>
      <c r="M101" s="499">
        <v>0</v>
      </c>
      <c r="N101" s="499">
        <v>0</v>
      </c>
      <c r="O101" s="499">
        <v>0</v>
      </c>
      <c r="P101" s="499">
        <v>0</v>
      </c>
      <c r="Q101" s="499">
        <v>0</v>
      </c>
      <c r="R101" s="499">
        <v>0</v>
      </c>
      <c r="S101" s="499">
        <v>0</v>
      </c>
      <c r="T101" s="499">
        <v>0</v>
      </c>
      <c r="U101" s="499">
        <v>0</v>
      </c>
      <c r="V101" s="499">
        <v>0</v>
      </c>
      <c r="W101" s="499">
        <v>0</v>
      </c>
      <c r="X101" s="499">
        <v>0</v>
      </c>
      <c r="Y101" s="499">
        <v>0</v>
      </c>
      <c r="Z101" s="499">
        <v>0</v>
      </c>
      <c r="AA101" s="499">
        <v>0</v>
      </c>
      <c r="AB101" s="499">
        <v>0</v>
      </c>
      <c r="AC101" s="499">
        <v>0</v>
      </c>
      <c r="AD101" s="499">
        <v>0</v>
      </c>
      <c r="AE101" s="499">
        <v>0</v>
      </c>
      <c r="AF101" s="455"/>
      <c r="AG101" s="719"/>
    </row>
    <row r="102" spans="1:33" ht="21" x14ac:dyDescent="0.35">
      <c r="A102" s="475" t="s">
        <v>356</v>
      </c>
      <c r="B102" s="478"/>
      <c r="C102" s="478"/>
      <c r="D102" s="478"/>
      <c r="E102" s="478"/>
      <c r="F102" s="478"/>
      <c r="G102" s="478"/>
      <c r="H102" s="478"/>
      <c r="I102" s="478"/>
      <c r="J102" s="478"/>
      <c r="K102" s="478"/>
      <c r="L102" s="478"/>
      <c r="M102" s="478"/>
      <c r="N102" s="478"/>
      <c r="O102" s="478"/>
      <c r="P102" s="478"/>
      <c r="Q102" s="478"/>
      <c r="R102" s="478"/>
      <c r="S102" s="478"/>
      <c r="T102" s="478"/>
      <c r="U102" s="478"/>
      <c r="V102" s="478"/>
      <c r="W102" s="478"/>
      <c r="X102" s="478"/>
      <c r="Y102" s="478"/>
      <c r="Z102" s="478"/>
      <c r="AA102" s="478"/>
      <c r="AB102" s="478"/>
      <c r="AC102" s="478"/>
      <c r="AD102" s="478"/>
      <c r="AE102" s="479"/>
      <c r="AF102" s="473"/>
      <c r="AG102" s="719"/>
    </row>
    <row r="103" spans="1:33" s="452" customFormat="1" ht="112.5" x14ac:dyDescent="0.35">
      <c r="A103" s="449" t="s">
        <v>31</v>
      </c>
      <c r="B103" s="596">
        <f>B104+B105</f>
        <v>793.1</v>
      </c>
      <c r="C103" s="450">
        <f>C104+C105</f>
        <v>700</v>
      </c>
      <c r="D103" s="450">
        <f>D104+D105</f>
        <v>288.37599999999998</v>
      </c>
      <c r="E103" s="450">
        <f>E104+E105</f>
        <v>288.37599999999998</v>
      </c>
      <c r="F103" s="450">
        <f>IFERROR(E103/B103*100,0)</f>
        <v>36.360610263522879</v>
      </c>
      <c r="G103" s="450">
        <f>IFERROR(E103/C103*100,0)</f>
        <v>41.196571428571424</v>
      </c>
      <c r="H103" s="498">
        <f>H104+H105</f>
        <v>0</v>
      </c>
      <c r="I103" s="498">
        <f t="shared" ref="I103:AE103" si="49">I104+I105</f>
        <v>0</v>
      </c>
      <c r="J103" s="498">
        <f t="shared" si="49"/>
        <v>0</v>
      </c>
      <c r="K103" s="498">
        <f t="shared" si="49"/>
        <v>0</v>
      </c>
      <c r="L103" s="498">
        <f t="shared" si="49"/>
        <v>0</v>
      </c>
      <c r="M103" s="498">
        <f t="shared" si="49"/>
        <v>0</v>
      </c>
      <c r="N103" s="498">
        <f t="shared" si="49"/>
        <v>0</v>
      </c>
      <c r="O103" s="498">
        <f t="shared" si="49"/>
        <v>0</v>
      </c>
      <c r="P103" s="498">
        <f t="shared" si="49"/>
        <v>0</v>
      </c>
      <c r="Q103" s="498">
        <f t="shared" si="49"/>
        <v>0</v>
      </c>
      <c r="R103" s="498">
        <f t="shared" si="49"/>
        <v>700</v>
      </c>
      <c r="S103" s="498">
        <f t="shared" si="49"/>
        <v>288.37599999999998</v>
      </c>
      <c r="T103" s="498">
        <f t="shared" si="49"/>
        <v>0</v>
      </c>
      <c r="U103" s="498">
        <f t="shared" si="49"/>
        <v>0</v>
      </c>
      <c r="V103" s="498">
        <f t="shared" si="49"/>
        <v>0</v>
      </c>
      <c r="W103" s="498">
        <f t="shared" si="49"/>
        <v>0</v>
      </c>
      <c r="X103" s="498">
        <f t="shared" si="49"/>
        <v>93.1</v>
      </c>
      <c r="Y103" s="498">
        <f t="shared" si="49"/>
        <v>0</v>
      </c>
      <c r="Z103" s="498">
        <f t="shared" si="49"/>
        <v>0</v>
      </c>
      <c r="AA103" s="498">
        <f t="shared" si="49"/>
        <v>0</v>
      </c>
      <c r="AB103" s="498">
        <f t="shared" si="49"/>
        <v>0</v>
      </c>
      <c r="AC103" s="498">
        <f t="shared" si="49"/>
        <v>0</v>
      </c>
      <c r="AD103" s="498">
        <f t="shared" si="49"/>
        <v>0</v>
      </c>
      <c r="AE103" s="498">
        <f t="shared" si="49"/>
        <v>0</v>
      </c>
      <c r="AF103" s="455" t="s">
        <v>641</v>
      </c>
      <c r="AG103" s="719"/>
    </row>
    <row r="104" spans="1:33" ht="21" x14ac:dyDescent="0.35">
      <c r="A104" s="453" t="s">
        <v>32</v>
      </c>
      <c r="B104" s="454">
        <f>SUM(H104,J104,L104,N104,P104,R104,T104,V104,X104,Z104,AB104,AD104)</f>
        <v>0</v>
      </c>
      <c r="C104" s="454">
        <f>H104+J104+L104+N104+P104+R104</f>
        <v>0</v>
      </c>
      <c r="D104" s="454">
        <f>E104</f>
        <v>0</v>
      </c>
      <c r="E104" s="454">
        <f>SUM(I104,K104,M104,O104,Q104,S104,U104,W104,Y104,AA104,AC104,AE104)</f>
        <v>0</v>
      </c>
      <c r="F104" s="454">
        <f>IFERROR(E104/B104*100,0)</f>
        <v>0</v>
      </c>
      <c r="G104" s="454">
        <f>IFERROR(E104/C104*100,0)</f>
        <v>0</v>
      </c>
      <c r="H104" s="499">
        <v>0</v>
      </c>
      <c r="I104" s="499">
        <v>0</v>
      </c>
      <c r="J104" s="499">
        <v>0</v>
      </c>
      <c r="K104" s="499">
        <v>0</v>
      </c>
      <c r="L104" s="499">
        <v>0</v>
      </c>
      <c r="M104" s="499">
        <v>0</v>
      </c>
      <c r="N104" s="499">
        <v>0</v>
      </c>
      <c r="O104" s="499">
        <v>0</v>
      </c>
      <c r="P104" s="499">
        <v>0</v>
      </c>
      <c r="Q104" s="499">
        <v>0</v>
      </c>
      <c r="R104" s="499">
        <v>0</v>
      </c>
      <c r="S104" s="499">
        <v>0</v>
      </c>
      <c r="T104" s="499">
        <v>0</v>
      </c>
      <c r="U104" s="499">
        <v>0</v>
      </c>
      <c r="V104" s="499">
        <v>0</v>
      </c>
      <c r="W104" s="499">
        <v>0</v>
      </c>
      <c r="X104" s="499">
        <v>0</v>
      </c>
      <c r="Y104" s="499">
        <v>0</v>
      </c>
      <c r="Z104" s="499">
        <v>0</v>
      </c>
      <c r="AA104" s="499">
        <v>0</v>
      </c>
      <c r="AB104" s="499">
        <v>0</v>
      </c>
      <c r="AC104" s="499">
        <v>0</v>
      </c>
      <c r="AD104" s="499">
        <v>0</v>
      </c>
      <c r="AE104" s="499">
        <v>0</v>
      </c>
      <c r="AF104" s="455"/>
      <c r="AG104" s="719"/>
    </row>
    <row r="105" spans="1:33" ht="21" x14ac:dyDescent="0.35">
      <c r="A105" s="453" t="s">
        <v>33</v>
      </c>
      <c r="B105" s="454">
        <f>SUM(H105,J105,L105,N105,P105,R105,T105,V105,X105,Z105,AB105,AD105)</f>
        <v>793.1</v>
      </c>
      <c r="C105" s="454">
        <f t="shared" ref="C105:C106" si="50">H105+J105+L105+N105+P105+R105</f>
        <v>700</v>
      </c>
      <c r="D105" s="454">
        <f>E105</f>
        <v>288.37599999999998</v>
      </c>
      <c r="E105" s="454">
        <f>SUM(I105,K105,M105,O105,Q105,S105,U105,W105,Y105,AA105,AC105,AE105)</f>
        <v>288.37599999999998</v>
      </c>
      <c r="F105" s="454">
        <f>IFERROR(E105/B105*100,0)</f>
        <v>36.360610263522879</v>
      </c>
      <c r="G105" s="454">
        <f>IFERROR(E105/C105*100,0)</f>
        <v>41.196571428571424</v>
      </c>
      <c r="H105" s="499">
        <v>0</v>
      </c>
      <c r="I105" s="499">
        <v>0</v>
      </c>
      <c r="J105" s="499">
        <v>0</v>
      </c>
      <c r="K105" s="499">
        <v>0</v>
      </c>
      <c r="L105" s="499">
        <v>0</v>
      </c>
      <c r="M105" s="499">
        <v>0</v>
      </c>
      <c r="N105" s="499">
        <v>0</v>
      </c>
      <c r="O105" s="499">
        <v>0</v>
      </c>
      <c r="P105" s="499">
        <v>0</v>
      </c>
      <c r="Q105" s="499">
        <v>0</v>
      </c>
      <c r="R105" s="499">
        <v>700</v>
      </c>
      <c r="S105" s="499">
        <v>288.37599999999998</v>
      </c>
      <c r="T105" s="499">
        <v>0</v>
      </c>
      <c r="U105" s="499">
        <v>0</v>
      </c>
      <c r="V105" s="499">
        <v>0</v>
      </c>
      <c r="W105" s="499">
        <v>0</v>
      </c>
      <c r="X105" s="499">
        <v>93.1</v>
      </c>
      <c r="Y105" s="499">
        <v>0</v>
      </c>
      <c r="Z105" s="499">
        <v>0</v>
      </c>
      <c r="AA105" s="499">
        <v>0</v>
      </c>
      <c r="AB105" s="499">
        <v>0</v>
      </c>
      <c r="AC105" s="499">
        <v>0</v>
      </c>
      <c r="AD105" s="499">
        <v>0</v>
      </c>
      <c r="AE105" s="499">
        <v>0</v>
      </c>
      <c r="AF105" s="455"/>
      <c r="AG105" s="719"/>
    </row>
    <row r="106" spans="1:33" ht="37.5" x14ac:dyDescent="0.35">
      <c r="A106" s="472" t="s">
        <v>174</v>
      </c>
      <c r="B106" s="454">
        <f>SUM(H106,J106,L106,N106,P106,R106,T106,V106,X106,Z106,AB106,AD106)</f>
        <v>0</v>
      </c>
      <c r="C106" s="454">
        <f t="shared" si="50"/>
        <v>0</v>
      </c>
      <c r="D106" s="454">
        <f>E106</f>
        <v>0</v>
      </c>
      <c r="E106" s="454">
        <f>SUM(I106,K106,M106,O106,Q106,S106,U106,W106,Y106,AA106,AC106,AE106)</f>
        <v>0</v>
      </c>
      <c r="F106" s="454">
        <f>IFERROR(E106/B106*100,0)</f>
        <v>0</v>
      </c>
      <c r="G106" s="454">
        <f>IFERROR(E106/C106*100,0)</f>
        <v>0</v>
      </c>
      <c r="H106" s="499">
        <v>0</v>
      </c>
      <c r="I106" s="499">
        <v>0</v>
      </c>
      <c r="J106" s="499">
        <v>0</v>
      </c>
      <c r="K106" s="499">
        <v>0</v>
      </c>
      <c r="L106" s="499">
        <v>0</v>
      </c>
      <c r="M106" s="499">
        <v>0</v>
      </c>
      <c r="N106" s="499">
        <v>0</v>
      </c>
      <c r="O106" s="499">
        <v>0</v>
      </c>
      <c r="P106" s="499">
        <v>0</v>
      </c>
      <c r="Q106" s="499">
        <v>0</v>
      </c>
      <c r="R106" s="499">
        <v>0</v>
      </c>
      <c r="S106" s="499">
        <v>0</v>
      </c>
      <c r="T106" s="499">
        <v>0</v>
      </c>
      <c r="U106" s="499">
        <v>0</v>
      </c>
      <c r="V106" s="499">
        <v>0</v>
      </c>
      <c r="W106" s="499">
        <v>0</v>
      </c>
      <c r="X106" s="499">
        <v>0</v>
      </c>
      <c r="Y106" s="499">
        <v>0</v>
      </c>
      <c r="Z106" s="499">
        <v>0</v>
      </c>
      <c r="AA106" s="499">
        <v>0</v>
      </c>
      <c r="AB106" s="499">
        <v>0</v>
      </c>
      <c r="AC106" s="499">
        <v>0</v>
      </c>
      <c r="AD106" s="499">
        <v>0</v>
      </c>
      <c r="AE106" s="499">
        <v>0</v>
      </c>
      <c r="AF106" s="455"/>
      <c r="AG106" s="719"/>
    </row>
    <row r="107" spans="1:33" ht="21" x14ac:dyDescent="0.35">
      <c r="A107" s="475" t="s">
        <v>357</v>
      </c>
      <c r="B107" s="478"/>
      <c r="C107" s="478"/>
      <c r="D107" s="478"/>
      <c r="E107" s="478"/>
      <c r="F107" s="478"/>
      <c r="G107" s="478"/>
      <c r="H107" s="478"/>
      <c r="I107" s="478"/>
      <c r="J107" s="478"/>
      <c r="K107" s="478"/>
      <c r="L107" s="478"/>
      <c r="M107" s="478"/>
      <c r="N107" s="478"/>
      <c r="O107" s="478"/>
      <c r="P107" s="478"/>
      <c r="Q107" s="478"/>
      <c r="R107" s="478"/>
      <c r="S107" s="478"/>
      <c r="T107" s="478"/>
      <c r="U107" s="478"/>
      <c r="V107" s="478"/>
      <c r="W107" s="478"/>
      <c r="X107" s="478"/>
      <c r="Y107" s="478"/>
      <c r="Z107" s="478"/>
      <c r="AA107" s="478"/>
      <c r="AB107" s="478"/>
      <c r="AC107" s="478"/>
      <c r="AD107" s="478"/>
      <c r="AE107" s="479"/>
      <c r="AF107" s="473"/>
      <c r="AG107" s="719"/>
    </row>
    <row r="108" spans="1:33" s="452" customFormat="1" ht="225" x14ac:dyDescent="0.35">
      <c r="A108" s="449" t="s">
        <v>31</v>
      </c>
      <c r="B108" s="450">
        <f>B109+B110</f>
        <v>1000</v>
      </c>
      <c r="C108" s="450">
        <f>C109+C110</f>
        <v>1000</v>
      </c>
      <c r="D108" s="450">
        <f>D109+D110</f>
        <v>0</v>
      </c>
      <c r="E108" s="450">
        <f>E109+E110</f>
        <v>0</v>
      </c>
      <c r="F108" s="450">
        <f>IFERROR(E108/B108*100,0)</f>
        <v>0</v>
      </c>
      <c r="G108" s="450">
        <f>IFERROR(E108/C108*100,0)</f>
        <v>0</v>
      </c>
      <c r="H108" s="498">
        <f>H109+H110</f>
        <v>0</v>
      </c>
      <c r="I108" s="498">
        <f t="shared" ref="I108:AE108" si="51">I109+I110</f>
        <v>0</v>
      </c>
      <c r="J108" s="498">
        <f t="shared" si="51"/>
        <v>0</v>
      </c>
      <c r="K108" s="498">
        <f t="shared" si="51"/>
        <v>0</v>
      </c>
      <c r="L108" s="498">
        <f t="shared" si="51"/>
        <v>0</v>
      </c>
      <c r="M108" s="498">
        <f t="shared" si="51"/>
        <v>0</v>
      </c>
      <c r="N108" s="498">
        <f t="shared" si="51"/>
        <v>0</v>
      </c>
      <c r="O108" s="498">
        <f t="shared" si="51"/>
        <v>0</v>
      </c>
      <c r="P108" s="498">
        <f t="shared" si="51"/>
        <v>0</v>
      </c>
      <c r="Q108" s="498">
        <f t="shared" si="51"/>
        <v>0</v>
      </c>
      <c r="R108" s="498">
        <f t="shared" si="51"/>
        <v>1000</v>
      </c>
      <c r="S108" s="498">
        <f t="shared" si="51"/>
        <v>0</v>
      </c>
      <c r="T108" s="498">
        <f t="shared" si="51"/>
        <v>0</v>
      </c>
      <c r="U108" s="498">
        <f t="shared" si="51"/>
        <v>0</v>
      </c>
      <c r="V108" s="498">
        <f t="shared" si="51"/>
        <v>0</v>
      </c>
      <c r="W108" s="498">
        <f t="shared" si="51"/>
        <v>0</v>
      </c>
      <c r="X108" s="498">
        <f t="shared" si="51"/>
        <v>0</v>
      </c>
      <c r="Y108" s="498">
        <f t="shared" si="51"/>
        <v>0</v>
      </c>
      <c r="Z108" s="498">
        <f t="shared" si="51"/>
        <v>0</v>
      </c>
      <c r="AA108" s="498">
        <f t="shared" si="51"/>
        <v>0</v>
      </c>
      <c r="AB108" s="498">
        <f t="shared" si="51"/>
        <v>0</v>
      </c>
      <c r="AC108" s="498">
        <f t="shared" si="51"/>
        <v>0</v>
      </c>
      <c r="AD108" s="498">
        <f t="shared" si="51"/>
        <v>0</v>
      </c>
      <c r="AE108" s="498">
        <f t="shared" si="51"/>
        <v>0</v>
      </c>
      <c r="AF108" s="455" t="s">
        <v>642</v>
      </c>
      <c r="AG108" s="719"/>
    </row>
    <row r="109" spans="1:33" ht="21" x14ac:dyDescent="0.35">
      <c r="A109" s="453" t="s">
        <v>32</v>
      </c>
      <c r="B109" s="454">
        <f>SUM(H109,J109,L109,N109,P109,R109,T109,V109,X109,Z109,AB109,AD109)</f>
        <v>0</v>
      </c>
      <c r="C109" s="454">
        <f>H109+J109+L109+N109+P109+R109</f>
        <v>0</v>
      </c>
      <c r="D109" s="454">
        <f>E109</f>
        <v>0</v>
      </c>
      <c r="E109" s="454">
        <f>SUM(I109,K109,M109,O109,Q109,S109,U109,W109,Y109,AA109,AC109,AE109)</f>
        <v>0</v>
      </c>
      <c r="F109" s="454">
        <f>IFERROR(E109/B109*100,0)</f>
        <v>0</v>
      </c>
      <c r="G109" s="454">
        <f>IFERROR(E109/C109*100,0)</f>
        <v>0</v>
      </c>
      <c r="H109" s="499">
        <v>0</v>
      </c>
      <c r="I109" s="499">
        <v>0</v>
      </c>
      <c r="J109" s="499">
        <v>0</v>
      </c>
      <c r="K109" s="499">
        <v>0</v>
      </c>
      <c r="L109" s="499">
        <v>0</v>
      </c>
      <c r="M109" s="499">
        <v>0</v>
      </c>
      <c r="N109" s="499">
        <v>0</v>
      </c>
      <c r="O109" s="499">
        <v>0</v>
      </c>
      <c r="P109" s="499">
        <v>0</v>
      </c>
      <c r="Q109" s="499">
        <v>0</v>
      </c>
      <c r="R109" s="499">
        <v>0</v>
      </c>
      <c r="S109" s="499">
        <v>0</v>
      </c>
      <c r="T109" s="499">
        <v>0</v>
      </c>
      <c r="U109" s="499">
        <v>0</v>
      </c>
      <c r="V109" s="499">
        <v>0</v>
      </c>
      <c r="W109" s="499">
        <v>0</v>
      </c>
      <c r="X109" s="499">
        <v>0</v>
      </c>
      <c r="Y109" s="499">
        <v>0</v>
      </c>
      <c r="Z109" s="499">
        <v>0</v>
      </c>
      <c r="AA109" s="499">
        <v>0</v>
      </c>
      <c r="AB109" s="499">
        <v>0</v>
      </c>
      <c r="AC109" s="499">
        <v>0</v>
      </c>
      <c r="AD109" s="499">
        <v>0</v>
      </c>
      <c r="AE109" s="499">
        <v>0</v>
      </c>
      <c r="AF109" s="455"/>
      <c r="AG109" s="719"/>
    </row>
    <row r="110" spans="1:33" ht="21" x14ac:dyDescent="0.35">
      <c r="A110" s="453" t="s">
        <v>33</v>
      </c>
      <c r="B110" s="454">
        <f>SUM(H110,J110,L110,N110,P110,R110,T110,V110,X110,Z110,AB110,AD110)</f>
        <v>1000</v>
      </c>
      <c r="C110" s="454">
        <f t="shared" ref="C110:C111" si="52">H110+J110+L110+N110+P110+R110</f>
        <v>1000</v>
      </c>
      <c r="D110" s="454">
        <f>E110</f>
        <v>0</v>
      </c>
      <c r="E110" s="454">
        <f>SUM(I110,K110,M110,O110,Q110,S110,U110,W110,Y110,AA110,AC110,AE110)</f>
        <v>0</v>
      </c>
      <c r="F110" s="454">
        <f>IFERROR(E110/B110*100,0)</f>
        <v>0</v>
      </c>
      <c r="G110" s="454">
        <f>IFERROR(E110/C110*100,0)</f>
        <v>0</v>
      </c>
      <c r="H110" s="499">
        <v>0</v>
      </c>
      <c r="I110" s="499">
        <v>0</v>
      </c>
      <c r="J110" s="499">
        <v>0</v>
      </c>
      <c r="K110" s="499">
        <v>0</v>
      </c>
      <c r="L110" s="499">
        <v>0</v>
      </c>
      <c r="M110" s="499">
        <v>0</v>
      </c>
      <c r="N110" s="499">
        <v>0</v>
      </c>
      <c r="O110" s="499">
        <v>0</v>
      </c>
      <c r="P110" s="499">
        <v>0</v>
      </c>
      <c r="Q110" s="499">
        <v>0</v>
      </c>
      <c r="R110" s="499">
        <v>1000</v>
      </c>
      <c r="S110" s="499">
        <v>0</v>
      </c>
      <c r="T110" s="499">
        <v>0</v>
      </c>
      <c r="U110" s="499">
        <v>0</v>
      </c>
      <c r="V110" s="499">
        <v>0</v>
      </c>
      <c r="W110" s="499">
        <v>0</v>
      </c>
      <c r="X110" s="499">
        <v>0</v>
      </c>
      <c r="Y110" s="499">
        <v>0</v>
      </c>
      <c r="Z110" s="499">
        <v>0</v>
      </c>
      <c r="AA110" s="499">
        <v>0</v>
      </c>
      <c r="AB110" s="499">
        <v>0</v>
      </c>
      <c r="AC110" s="499">
        <v>0</v>
      </c>
      <c r="AD110" s="499">
        <v>0</v>
      </c>
      <c r="AE110" s="499">
        <v>0</v>
      </c>
      <c r="AF110" s="455"/>
      <c r="AG110" s="719"/>
    </row>
    <row r="111" spans="1:33" ht="37.5" x14ac:dyDescent="0.35">
      <c r="A111" s="472" t="s">
        <v>174</v>
      </c>
      <c r="B111" s="454">
        <f>SUM(H111,J111,L111,N111,P111,R111,T111,V111,X111,Z111,AB111,AD111)</f>
        <v>0</v>
      </c>
      <c r="C111" s="454">
        <f t="shared" si="52"/>
        <v>0</v>
      </c>
      <c r="D111" s="454">
        <f>E111</f>
        <v>0</v>
      </c>
      <c r="E111" s="454">
        <f>SUM(I111,K111,M111,O111,Q111,S111,U111,W111,Y111,AA111,AC111,AE111)</f>
        <v>0</v>
      </c>
      <c r="F111" s="454">
        <f>IFERROR(E111/B111*100,0)</f>
        <v>0</v>
      </c>
      <c r="G111" s="454">
        <f>IFERROR(E111/C111*100,0)</f>
        <v>0</v>
      </c>
      <c r="H111" s="499">
        <v>0</v>
      </c>
      <c r="I111" s="499">
        <v>0</v>
      </c>
      <c r="J111" s="499">
        <v>0</v>
      </c>
      <c r="K111" s="499">
        <v>0</v>
      </c>
      <c r="L111" s="499">
        <v>0</v>
      </c>
      <c r="M111" s="499">
        <v>0</v>
      </c>
      <c r="N111" s="499">
        <v>0</v>
      </c>
      <c r="O111" s="499">
        <v>0</v>
      </c>
      <c r="P111" s="499">
        <v>0</v>
      </c>
      <c r="Q111" s="499">
        <v>0</v>
      </c>
      <c r="R111" s="499">
        <v>0</v>
      </c>
      <c r="S111" s="499">
        <v>0</v>
      </c>
      <c r="T111" s="499">
        <v>0</v>
      </c>
      <c r="U111" s="499">
        <v>0</v>
      </c>
      <c r="V111" s="499">
        <v>0</v>
      </c>
      <c r="W111" s="499">
        <v>0</v>
      </c>
      <c r="X111" s="499">
        <v>0</v>
      </c>
      <c r="Y111" s="499">
        <v>0</v>
      </c>
      <c r="Z111" s="499">
        <v>0</v>
      </c>
      <c r="AA111" s="499">
        <v>0</v>
      </c>
      <c r="AB111" s="499">
        <v>0</v>
      </c>
      <c r="AC111" s="499">
        <v>0</v>
      </c>
      <c r="AD111" s="499">
        <v>0</v>
      </c>
      <c r="AE111" s="499">
        <v>0</v>
      </c>
      <c r="AF111" s="455"/>
      <c r="AG111" s="719"/>
    </row>
    <row r="112" spans="1:33" ht="21" x14ac:dyDescent="0.35">
      <c r="A112" s="475" t="s">
        <v>358</v>
      </c>
      <c r="B112" s="478"/>
      <c r="C112" s="478"/>
      <c r="D112" s="478"/>
      <c r="E112" s="478"/>
      <c r="F112" s="478"/>
      <c r="G112" s="478"/>
      <c r="H112" s="478"/>
      <c r="I112" s="478"/>
      <c r="J112" s="478"/>
      <c r="K112" s="478"/>
      <c r="L112" s="478"/>
      <c r="M112" s="478"/>
      <c r="N112" s="478"/>
      <c r="O112" s="478"/>
      <c r="P112" s="478"/>
      <c r="Q112" s="478"/>
      <c r="R112" s="478"/>
      <c r="S112" s="478"/>
      <c r="T112" s="478"/>
      <c r="U112" s="478"/>
      <c r="V112" s="478"/>
      <c r="W112" s="478"/>
      <c r="X112" s="478"/>
      <c r="Y112" s="478"/>
      <c r="Z112" s="478"/>
      <c r="AA112" s="478"/>
      <c r="AB112" s="478"/>
      <c r="AC112" s="478"/>
      <c r="AD112" s="478"/>
      <c r="AE112" s="479"/>
      <c r="AF112" s="473"/>
      <c r="AG112" s="719"/>
    </row>
    <row r="113" spans="1:33" s="452" customFormat="1" ht="225" x14ac:dyDescent="0.35">
      <c r="A113" s="449" t="s">
        <v>31</v>
      </c>
      <c r="B113" s="450">
        <f>B114+B115</f>
        <v>600</v>
      </c>
      <c r="C113" s="450">
        <f>C114+C115</f>
        <v>600</v>
      </c>
      <c r="D113" s="450">
        <f>D114+D115</f>
        <v>0</v>
      </c>
      <c r="E113" s="450">
        <f>E114+E115</f>
        <v>0</v>
      </c>
      <c r="F113" s="450">
        <f>IFERROR(E113/B113*100,0)</f>
        <v>0</v>
      </c>
      <c r="G113" s="450">
        <f>IFERROR(E113/C113*100,0)</f>
        <v>0</v>
      </c>
      <c r="H113" s="498">
        <f>H114+H115</f>
        <v>0</v>
      </c>
      <c r="I113" s="498">
        <f t="shared" ref="I113:AE113" si="53">I114+I115</f>
        <v>0</v>
      </c>
      <c r="J113" s="498">
        <f t="shared" si="53"/>
        <v>0</v>
      </c>
      <c r="K113" s="498">
        <f t="shared" si="53"/>
        <v>0</v>
      </c>
      <c r="L113" s="498">
        <f t="shared" si="53"/>
        <v>0</v>
      </c>
      <c r="M113" s="498">
        <f t="shared" si="53"/>
        <v>0</v>
      </c>
      <c r="N113" s="498">
        <f t="shared" si="53"/>
        <v>0</v>
      </c>
      <c r="O113" s="498">
        <f t="shared" si="53"/>
        <v>0</v>
      </c>
      <c r="P113" s="498">
        <f t="shared" si="53"/>
        <v>0</v>
      </c>
      <c r="Q113" s="498">
        <f t="shared" si="53"/>
        <v>0</v>
      </c>
      <c r="R113" s="498">
        <f t="shared" si="53"/>
        <v>600</v>
      </c>
      <c r="S113" s="498">
        <f t="shared" si="53"/>
        <v>0</v>
      </c>
      <c r="T113" s="498">
        <f t="shared" si="53"/>
        <v>0</v>
      </c>
      <c r="U113" s="498">
        <f t="shared" si="53"/>
        <v>0</v>
      </c>
      <c r="V113" s="498">
        <f t="shared" si="53"/>
        <v>0</v>
      </c>
      <c r="W113" s="498">
        <f t="shared" si="53"/>
        <v>0</v>
      </c>
      <c r="X113" s="498">
        <f t="shared" si="53"/>
        <v>0</v>
      </c>
      <c r="Y113" s="498">
        <f t="shared" si="53"/>
        <v>0</v>
      </c>
      <c r="Z113" s="498">
        <f t="shared" si="53"/>
        <v>0</v>
      </c>
      <c r="AA113" s="498">
        <f t="shared" si="53"/>
        <v>0</v>
      </c>
      <c r="AB113" s="498">
        <f t="shared" si="53"/>
        <v>0</v>
      </c>
      <c r="AC113" s="498">
        <f t="shared" si="53"/>
        <v>0</v>
      </c>
      <c r="AD113" s="498">
        <f t="shared" si="53"/>
        <v>0</v>
      </c>
      <c r="AE113" s="498">
        <f t="shared" si="53"/>
        <v>0</v>
      </c>
      <c r="AF113" s="455" t="s">
        <v>643</v>
      </c>
      <c r="AG113" s="719"/>
    </row>
    <row r="114" spans="1:33" ht="21" x14ac:dyDescent="0.35">
      <c r="A114" s="453" t="s">
        <v>32</v>
      </c>
      <c r="B114" s="454">
        <f>SUM(H114,J114,L114,N114,P114,R114,T114,V114,X114,Z114,AB114,AD114)</f>
        <v>0</v>
      </c>
      <c r="C114" s="454">
        <f>H114+J114+L114+N114+P114+R114</f>
        <v>0</v>
      </c>
      <c r="D114" s="454">
        <f>E114</f>
        <v>0</v>
      </c>
      <c r="E114" s="454">
        <f>SUM(I114,K114,M114,O114,Q114,S114,U114,W114,Y114,AA114,AC114,AE114)</f>
        <v>0</v>
      </c>
      <c r="F114" s="454">
        <f>IFERROR(E114/B114*100,0)</f>
        <v>0</v>
      </c>
      <c r="G114" s="454">
        <f>IFERROR(E114/C114*100,0)</f>
        <v>0</v>
      </c>
      <c r="H114" s="499">
        <v>0</v>
      </c>
      <c r="I114" s="499">
        <v>0</v>
      </c>
      <c r="J114" s="499">
        <v>0</v>
      </c>
      <c r="K114" s="499">
        <v>0</v>
      </c>
      <c r="L114" s="499">
        <v>0</v>
      </c>
      <c r="M114" s="499">
        <v>0</v>
      </c>
      <c r="N114" s="499">
        <v>0</v>
      </c>
      <c r="O114" s="499">
        <v>0</v>
      </c>
      <c r="P114" s="499">
        <v>0</v>
      </c>
      <c r="Q114" s="499">
        <v>0</v>
      </c>
      <c r="R114" s="499">
        <v>0</v>
      </c>
      <c r="S114" s="499">
        <v>0</v>
      </c>
      <c r="T114" s="499">
        <v>0</v>
      </c>
      <c r="U114" s="499">
        <v>0</v>
      </c>
      <c r="V114" s="499">
        <v>0</v>
      </c>
      <c r="W114" s="499">
        <v>0</v>
      </c>
      <c r="X114" s="499">
        <v>0</v>
      </c>
      <c r="Y114" s="499">
        <v>0</v>
      </c>
      <c r="Z114" s="499">
        <v>0</v>
      </c>
      <c r="AA114" s="499">
        <v>0</v>
      </c>
      <c r="AB114" s="499">
        <v>0</v>
      </c>
      <c r="AC114" s="499">
        <v>0</v>
      </c>
      <c r="AD114" s="499">
        <v>0</v>
      </c>
      <c r="AE114" s="499">
        <v>0</v>
      </c>
      <c r="AF114" s="455"/>
      <c r="AG114" s="719"/>
    </row>
    <row r="115" spans="1:33" ht="21" x14ac:dyDescent="0.35">
      <c r="A115" s="453" t="s">
        <v>33</v>
      </c>
      <c r="B115" s="454">
        <f>SUM(H115,J115,L115,N115,P115,R115,T115,V115,X115,Z115,AB115,AD115)</f>
        <v>600</v>
      </c>
      <c r="C115" s="454">
        <f t="shared" ref="C115:C116" si="54">H115+J115+L115+N115+P115+R115</f>
        <v>600</v>
      </c>
      <c r="D115" s="454">
        <f>E115</f>
        <v>0</v>
      </c>
      <c r="E115" s="454">
        <f>SUM(I115,K115,M115,O115,Q115,S115,U115,W115,Y115,AA115,AC115,AE115)</f>
        <v>0</v>
      </c>
      <c r="F115" s="454">
        <f>IFERROR(E115/B115*100,0)</f>
        <v>0</v>
      </c>
      <c r="G115" s="454">
        <f>IFERROR(E115/C115*100,0)</f>
        <v>0</v>
      </c>
      <c r="H115" s="499">
        <v>0</v>
      </c>
      <c r="I115" s="499">
        <v>0</v>
      </c>
      <c r="J115" s="499">
        <v>0</v>
      </c>
      <c r="K115" s="499">
        <v>0</v>
      </c>
      <c r="L115" s="499">
        <v>0</v>
      </c>
      <c r="M115" s="499">
        <v>0</v>
      </c>
      <c r="N115" s="499">
        <v>0</v>
      </c>
      <c r="O115" s="499">
        <v>0</v>
      </c>
      <c r="P115" s="499">
        <v>0</v>
      </c>
      <c r="Q115" s="499">
        <v>0</v>
      </c>
      <c r="R115" s="499">
        <v>600</v>
      </c>
      <c r="S115" s="499">
        <v>0</v>
      </c>
      <c r="T115" s="499">
        <v>0</v>
      </c>
      <c r="U115" s="499">
        <v>0</v>
      </c>
      <c r="V115" s="499">
        <v>0</v>
      </c>
      <c r="W115" s="499">
        <v>0</v>
      </c>
      <c r="X115" s="499">
        <v>0</v>
      </c>
      <c r="Y115" s="499">
        <v>0</v>
      </c>
      <c r="Z115" s="499">
        <v>0</v>
      </c>
      <c r="AA115" s="499">
        <v>0</v>
      </c>
      <c r="AB115" s="499">
        <v>0</v>
      </c>
      <c r="AC115" s="499">
        <v>0</v>
      </c>
      <c r="AD115" s="499">
        <v>0</v>
      </c>
      <c r="AE115" s="499">
        <v>0</v>
      </c>
      <c r="AF115" s="455"/>
      <c r="AG115" s="719"/>
    </row>
    <row r="116" spans="1:33" ht="37.5" x14ac:dyDescent="0.35">
      <c r="A116" s="472" t="s">
        <v>174</v>
      </c>
      <c r="B116" s="454">
        <f>SUM(H116,J116,L116,N116,P116,R116,T116,V116,X116,Z116,AB116,AD116)</f>
        <v>0</v>
      </c>
      <c r="C116" s="454">
        <f t="shared" si="54"/>
        <v>0</v>
      </c>
      <c r="D116" s="454">
        <f>E116</f>
        <v>0</v>
      </c>
      <c r="E116" s="454">
        <f>SUM(I116,K116,M116,O116,Q116,S116,U116,W116,Y116,AA116,AC116,AE116)</f>
        <v>0</v>
      </c>
      <c r="F116" s="454">
        <f>IFERROR(E116/B116*100,0)</f>
        <v>0</v>
      </c>
      <c r="G116" s="454">
        <f>IFERROR(E116/C116*100,0)</f>
        <v>0</v>
      </c>
      <c r="H116" s="499">
        <v>0</v>
      </c>
      <c r="I116" s="499">
        <v>0</v>
      </c>
      <c r="J116" s="499">
        <v>0</v>
      </c>
      <c r="K116" s="499">
        <v>0</v>
      </c>
      <c r="L116" s="499">
        <v>0</v>
      </c>
      <c r="M116" s="499">
        <v>0</v>
      </c>
      <c r="N116" s="499">
        <v>0</v>
      </c>
      <c r="O116" s="499">
        <v>0</v>
      </c>
      <c r="P116" s="499">
        <v>0</v>
      </c>
      <c r="Q116" s="499">
        <v>0</v>
      </c>
      <c r="R116" s="499">
        <v>0</v>
      </c>
      <c r="S116" s="499">
        <v>0</v>
      </c>
      <c r="T116" s="499">
        <v>0</v>
      </c>
      <c r="U116" s="499">
        <v>0</v>
      </c>
      <c r="V116" s="499">
        <v>0</v>
      </c>
      <c r="W116" s="499">
        <v>0</v>
      </c>
      <c r="X116" s="499">
        <v>0</v>
      </c>
      <c r="Y116" s="499">
        <v>0</v>
      </c>
      <c r="Z116" s="499">
        <v>0</v>
      </c>
      <c r="AA116" s="499">
        <v>0</v>
      </c>
      <c r="AB116" s="499">
        <v>0</v>
      </c>
      <c r="AC116" s="499">
        <v>0</v>
      </c>
      <c r="AD116" s="499">
        <v>0</v>
      </c>
      <c r="AE116" s="499">
        <v>0</v>
      </c>
      <c r="AF116" s="455"/>
      <c r="AG116" s="719"/>
    </row>
    <row r="117" spans="1:33" ht="21" x14ac:dyDescent="0.35">
      <c r="A117" s="475" t="s">
        <v>359</v>
      </c>
      <c r="B117" s="478"/>
      <c r="C117" s="478"/>
      <c r="D117" s="478"/>
      <c r="E117" s="478"/>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9"/>
      <c r="AF117" s="473"/>
      <c r="AG117" s="719"/>
    </row>
    <row r="118" spans="1:33" s="452" customFormat="1" ht="206.25" x14ac:dyDescent="0.35">
      <c r="A118" s="449" t="s">
        <v>31</v>
      </c>
      <c r="B118" s="450">
        <f>B119+B120</f>
        <v>600</v>
      </c>
      <c r="C118" s="450">
        <f>C119+C120</f>
        <v>600</v>
      </c>
      <c r="D118" s="450">
        <f>D119+D120</f>
        <v>0</v>
      </c>
      <c r="E118" s="450">
        <f>E119+E120</f>
        <v>0</v>
      </c>
      <c r="F118" s="450">
        <f>IFERROR(E118/B118*100,0)</f>
        <v>0</v>
      </c>
      <c r="G118" s="450">
        <f>IFERROR(E118/C118*100,0)</f>
        <v>0</v>
      </c>
      <c r="H118" s="498">
        <f>H119+H120</f>
        <v>0</v>
      </c>
      <c r="I118" s="498">
        <f t="shared" ref="I118:AE118" si="55">I119+I120</f>
        <v>0</v>
      </c>
      <c r="J118" s="498">
        <f t="shared" si="55"/>
        <v>0</v>
      </c>
      <c r="K118" s="498">
        <f t="shared" si="55"/>
        <v>0</v>
      </c>
      <c r="L118" s="498">
        <f t="shared" si="55"/>
        <v>0</v>
      </c>
      <c r="M118" s="498">
        <f t="shared" si="55"/>
        <v>0</v>
      </c>
      <c r="N118" s="498">
        <f t="shared" si="55"/>
        <v>0</v>
      </c>
      <c r="O118" s="498">
        <f t="shared" si="55"/>
        <v>0</v>
      </c>
      <c r="P118" s="498">
        <f t="shared" si="55"/>
        <v>0</v>
      </c>
      <c r="Q118" s="498">
        <f t="shared" si="55"/>
        <v>0</v>
      </c>
      <c r="R118" s="498">
        <f t="shared" si="55"/>
        <v>600</v>
      </c>
      <c r="S118" s="498">
        <f t="shared" si="55"/>
        <v>0</v>
      </c>
      <c r="T118" s="498">
        <f t="shared" si="55"/>
        <v>0</v>
      </c>
      <c r="U118" s="498">
        <f t="shared" si="55"/>
        <v>0</v>
      </c>
      <c r="V118" s="498">
        <f t="shared" si="55"/>
        <v>0</v>
      </c>
      <c r="W118" s="498">
        <f t="shared" si="55"/>
        <v>0</v>
      </c>
      <c r="X118" s="498">
        <f t="shared" si="55"/>
        <v>0</v>
      </c>
      <c r="Y118" s="498">
        <f t="shared" si="55"/>
        <v>0</v>
      </c>
      <c r="Z118" s="498">
        <f t="shared" si="55"/>
        <v>0</v>
      </c>
      <c r="AA118" s="498">
        <f t="shared" si="55"/>
        <v>0</v>
      </c>
      <c r="AB118" s="498">
        <f t="shared" si="55"/>
        <v>0</v>
      </c>
      <c r="AC118" s="498">
        <f t="shared" si="55"/>
        <v>0</v>
      </c>
      <c r="AD118" s="498">
        <f t="shared" si="55"/>
        <v>0</v>
      </c>
      <c r="AE118" s="498">
        <f t="shared" si="55"/>
        <v>0</v>
      </c>
      <c r="AF118" s="455" t="s">
        <v>644</v>
      </c>
      <c r="AG118" s="719"/>
    </row>
    <row r="119" spans="1:33" ht="21" x14ac:dyDescent="0.35">
      <c r="A119" s="453" t="s">
        <v>32</v>
      </c>
      <c r="B119" s="454">
        <f>SUM(H119,J119,L119,N119,P119,R119,T119,V119,X119,Z119,AB119,AD119)</f>
        <v>0</v>
      </c>
      <c r="C119" s="454">
        <f>H119+J119+L119+N119+P119+R119</f>
        <v>0</v>
      </c>
      <c r="D119" s="454">
        <f>E119</f>
        <v>0</v>
      </c>
      <c r="E119" s="454">
        <f>SUM(I119,K119,M119,O119,Q119,S119,U119,W119,Y119,AA119,AC119,AE119)</f>
        <v>0</v>
      </c>
      <c r="F119" s="454">
        <f>IFERROR(E119/B119*100,0)</f>
        <v>0</v>
      </c>
      <c r="G119" s="454">
        <f>IFERROR(E119/C119*100,0)</f>
        <v>0</v>
      </c>
      <c r="H119" s="499">
        <v>0</v>
      </c>
      <c r="I119" s="499">
        <v>0</v>
      </c>
      <c r="J119" s="499">
        <v>0</v>
      </c>
      <c r="K119" s="499">
        <v>0</v>
      </c>
      <c r="L119" s="499">
        <v>0</v>
      </c>
      <c r="M119" s="499">
        <v>0</v>
      </c>
      <c r="N119" s="499">
        <v>0</v>
      </c>
      <c r="O119" s="499">
        <v>0</v>
      </c>
      <c r="P119" s="499">
        <v>0</v>
      </c>
      <c r="Q119" s="499">
        <v>0</v>
      </c>
      <c r="R119" s="499">
        <v>0</v>
      </c>
      <c r="S119" s="499">
        <v>0</v>
      </c>
      <c r="T119" s="499">
        <v>0</v>
      </c>
      <c r="U119" s="499">
        <v>0</v>
      </c>
      <c r="V119" s="499">
        <v>0</v>
      </c>
      <c r="W119" s="499">
        <v>0</v>
      </c>
      <c r="X119" s="499">
        <v>0</v>
      </c>
      <c r="Y119" s="499">
        <v>0</v>
      </c>
      <c r="Z119" s="499">
        <v>0</v>
      </c>
      <c r="AA119" s="499">
        <v>0</v>
      </c>
      <c r="AB119" s="499">
        <v>0</v>
      </c>
      <c r="AC119" s="499">
        <v>0</v>
      </c>
      <c r="AD119" s="499">
        <v>0</v>
      </c>
      <c r="AE119" s="499">
        <v>0</v>
      </c>
      <c r="AF119" s="455"/>
      <c r="AG119" s="719"/>
    </row>
    <row r="120" spans="1:33" ht="21" x14ac:dyDescent="0.35">
      <c r="A120" s="453" t="s">
        <v>33</v>
      </c>
      <c r="B120" s="454">
        <f>SUM(H120,J120,L120,N120,P120,R120,T120,V120,X120,Z120,AB120,AD120)</f>
        <v>600</v>
      </c>
      <c r="C120" s="454">
        <f t="shared" ref="C120:C121" si="56">H120+J120+L120+N120+P120+R120</f>
        <v>600</v>
      </c>
      <c r="D120" s="454">
        <f>E120</f>
        <v>0</v>
      </c>
      <c r="E120" s="454">
        <f>SUM(I120,K120,M120,O120,Q120,S120,U120,W120,Y120,AA120,AC120,AE120)</f>
        <v>0</v>
      </c>
      <c r="F120" s="454">
        <f>IFERROR(E120/B120*100,0)</f>
        <v>0</v>
      </c>
      <c r="G120" s="454">
        <f>IFERROR(E120/C120*100,0)</f>
        <v>0</v>
      </c>
      <c r="H120" s="499">
        <v>0</v>
      </c>
      <c r="I120" s="499">
        <v>0</v>
      </c>
      <c r="J120" s="499">
        <v>0</v>
      </c>
      <c r="K120" s="499">
        <v>0</v>
      </c>
      <c r="L120" s="499">
        <v>0</v>
      </c>
      <c r="M120" s="499">
        <v>0</v>
      </c>
      <c r="N120" s="499">
        <v>0</v>
      </c>
      <c r="O120" s="499">
        <v>0</v>
      </c>
      <c r="P120" s="499">
        <v>0</v>
      </c>
      <c r="Q120" s="499">
        <v>0</v>
      </c>
      <c r="R120" s="499">
        <v>600</v>
      </c>
      <c r="S120" s="499">
        <v>0</v>
      </c>
      <c r="T120" s="499">
        <v>0</v>
      </c>
      <c r="U120" s="499">
        <v>0</v>
      </c>
      <c r="V120" s="499">
        <v>0</v>
      </c>
      <c r="W120" s="499">
        <v>0</v>
      </c>
      <c r="X120" s="499">
        <v>0</v>
      </c>
      <c r="Y120" s="499">
        <v>0</v>
      </c>
      <c r="Z120" s="499">
        <v>0</v>
      </c>
      <c r="AA120" s="499">
        <v>0</v>
      </c>
      <c r="AB120" s="499">
        <v>0</v>
      </c>
      <c r="AC120" s="499">
        <v>0</v>
      </c>
      <c r="AD120" s="499">
        <v>0</v>
      </c>
      <c r="AE120" s="499">
        <v>0</v>
      </c>
      <c r="AF120" s="455"/>
      <c r="AG120" s="719"/>
    </row>
    <row r="121" spans="1:33" ht="37.5" x14ac:dyDescent="0.35">
      <c r="A121" s="472" t="s">
        <v>174</v>
      </c>
      <c r="B121" s="454">
        <f>SUM(H121,J121,L121,N121,P121,R121,T121,V121,X121,Z121,AB121,AD121)</f>
        <v>0</v>
      </c>
      <c r="C121" s="454">
        <f t="shared" si="56"/>
        <v>0</v>
      </c>
      <c r="D121" s="454">
        <f>E121</f>
        <v>0</v>
      </c>
      <c r="E121" s="454">
        <f>SUM(I121,K121,M121,O121,Q121,S121,U121,W121,Y121,AA121,AC121,AE121)</f>
        <v>0</v>
      </c>
      <c r="F121" s="454">
        <f>IFERROR(E121/B121*100,0)</f>
        <v>0</v>
      </c>
      <c r="G121" s="454">
        <f>IFERROR(E121/C121*100,0)</f>
        <v>0</v>
      </c>
      <c r="H121" s="499">
        <v>0</v>
      </c>
      <c r="I121" s="499">
        <v>0</v>
      </c>
      <c r="J121" s="499">
        <v>0</v>
      </c>
      <c r="K121" s="499">
        <v>0</v>
      </c>
      <c r="L121" s="499">
        <v>0</v>
      </c>
      <c r="M121" s="499">
        <v>0</v>
      </c>
      <c r="N121" s="499">
        <v>0</v>
      </c>
      <c r="O121" s="499">
        <v>0</v>
      </c>
      <c r="P121" s="499">
        <v>0</v>
      </c>
      <c r="Q121" s="499">
        <v>0</v>
      </c>
      <c r="R121" s="499">
        <v>0</v>
      </c>
      <c r="S121" s="499">
        <v>0</v>
      </c>
      <c r="T121" s="499">
        <v>0</v>
      </c>
      <c r="U121" s="499">
        <v>0</v>
      </c>
      <c r="V121" s="499">
        <v>0</v>
      </c>
      <c r="W121" s="499">
        <v>0</v>
      </c>
      <c r="X121" s="499">
        <v>0</v>
      </c>
      <c r="Y121" s="499">
        <v>0</v>
      </c>
      <c r="Z121" s="499">
        <v>0</v>
      </c>
      <c r="AA121" s="499">
        <v>0</v>
      </c>
      <c r="AB121" s="499">
        <v>0</v>
      </c>
      <c r="AC121" s="499">
        <v>0</v>
      </c>
      <c r="AD121" s="499">
        <v>0</v>
      </c>
      <c r="AE121" s="499">
        <v>0</v>
      </c>
      <c r="AF121" s="455"/>
      <c r="AG121" s="719"/>
    </row>
    <row r="122" spans="1:33" ht="21" x14ac:dyDescent="0.35">
      <c r="A122" s="475" t="s">
        <v>360</v>
      </c>
      <c r="B122" s="478"/>
      <c r="C122" s="478"/>
      <c r="D122" s="478"/>
      <c r="E122" s="478"/>
      <c r="F122" s="478"/>
      <c r="G122" s="478"/>
      <c r="H122" s="478"/>
      <c r="I122" s="478"/>
      <c r="J122" s="478"/>
      <c r="K122" s="478"/>
      <c r="L122" s="478"/>
      <c r="M122" s="478"/>
      <c r="N122" s="478"/>
      <c r="O122" s="478"/>
      <c r="P122" s="478"/>
      <c r="Q122" s="478"/>
      <c r="R122" s="478"/>
      <c r="S122" s="478"/>
      <c r="T122" s="478"/>
      <c r="U122" s="478"/>
      <c r="V122" s="478"/>
      <c r="W122" s="478"/>
      <c r="X122" s="478"/>
      <c r="Y122" s="478"/>
      <c r="Z122" s="478"/>
      <c r="AA122" s="478"/>
      <c r="AB122" s="478"/>
      <c r="AC122" s="478"/>
      <c r="AD122" s="478"/>
      <c r="AE122" s="479"/>
      <c r="AF122" s="455"/>
      <c r="AG122" s="719"/>
    </row>
    <row r="123" spans="1:33" s="452" customFormat="1" ht="112.5" x14ac:dyDescent="0.35">
      <c r="A123" s="449" t="s">
        <v>31</v>
      </c>
      <c r="B123" s="450">
        <f>B124+B125</f>
        <v>100</v>
      </c>
      <c r="C123" s="450">
        <f>C124+C125</f>
        <v>100</v>
      </c>
      <c r="D123" s="450">
        <f>D124+D125</f>
        <v>14.4</v>
      </c>
      <c r="E123" s="450">
        <f>E124+E125</f>
        <v>14.4</v>
      </c>
      <c r="F123" s="450">
        <f>IFERROR(E123/B123*100,0)</f>
        <v>14.400000000000002</v>
      </c>
      <c r="G123" s="450">
        <f>IFERROR(E123/C123*100,0)</f>
        <v>14.400000000000002</v>
      </c>
      <c r="H123" s="498">
        <f>H124+H125</f>
        <v>0</v>
      </c>
      <c r="I123" s="498">
        <f t="shared" ref="I123:AE123" si="57">I124+I125</f>
        <v>0</v>
      </c>
      <c r="J123" s="498">
        <f t="shared" si="57"/>
        <v>0</v>
      </c>
      <c r="K123" s="498">
        <f t="shared" si="57"/>
        <v>0</v>
      </c>
      <c r="L123" s="498">
        <f t="shared" si="57"/>
        <v>0</v>
      </c>
      <c r="M123" s="498">
        <f t="shared" si="57"/>
        <v>0</v>
      </c>
      <c r="N123" s="498">
        <f t="shared" si="57"/>
        <v>0</v>
      </c>
      <c r="O123" s="498">
        <f t="shared" si="57"/>
        <v>0</v>
      </c>
      <c r="P123" s="498">
        <f t="shared" si="57"/>
        <v>0</v>
      </c>
      <c r="Q123" s="498">
        <f t="shared" si="57"/>
        <v>0</v>
      </c>
      <c r="R123" s="498">
        <f t="shared" si="57"/>
        <v>100</v>
      </c>
      <c r="S123" s="498">
        <f t="shared" si="57"/>
        <v>14.4</v>
      </c>
      <c r="T123" s="498">
        <f t="shared" si="57"/>
        <v>0</v>
      </c>
      <c r="U123" s="498">
        <f t="shared" si="57"/>
        <v>0</v>
      </c>
      <c r="V123" s="498">
        <f t="shared" si="57"/>
        <v>0</v>
      </c>
      <c r="W123" s="498">
        <f t="shared" si="57"/>
        <v>0</v>
      </c>
      <c r="X123" s="498">
        <f t="shared" si="57"/>
        <v>0</v>
      </c>
      <c r="Y123" s="498">
        <f t="shared" si="57"/>
        <v>0</v>
      </c>
      <c r="Z123" s="498">
        <f t="shared" si="57"/>
        <v>0</v>
      </c>
      <c r="AA123" s="498">
        <f t="shared" si="57"/>
        <v>0</v>
      </c>
      <c r="AB123" s="498">
        <f t="shared" si="57"/>
        <v>0</v>
      </c>
      <c r="AC123" s="498">
        <f t="shared" si="57"/>
        <v>0</v>
      </c>
      <c r="AD123" s="498">
        <f t="shared" si="57"/>
        <v>0</v>
      </c>
      <c r="AE123" s="498">
        <f t="shared" si="57"/>
        <v>0</v>
      </c>
      <c r="AF123" s="455" t="s">
        <v>645</v>
      </c>
      <c r="AG123" s="719"/>
    </row>
    <row r="124" spans="1:33" ht="21" x14ac:dyDescent="0.35">
      <c r="A124" s="453" t="s">
        <v>32</v>
      </c>
      <c r="B124" s="454">
        <f>SUM(H124,J124,L124,N124,P124,R124,T124,V124,X124,Z124,AB124,AD124)</f>
        <v>95</v>
      </c>
      <c r="C124" s="454">
        <f>H124+J124+L124+N124+P124+R124</f>
        <v>95</v>
      </c>
      <c r="D124" s="454">
        <f>E124</f>
        <v>13.68</v>
      </c>
      <c r="E124" s="454">
        <f>SUM(I124,K124,M124,O124,Q124,S124,U124,W124,Y124,AA124,AC124,AE124)</f>
        <v>13.68</v>
      </c>
      <c r="F124" s="454">
        <f>IFERROR(E124/B124*100,0)</f>
        <v>14.399999999999999</v>
      </c>
      <c r="G124" s="454">
        <f>IFERROR(E124/C124*100,0)</f>
        <v>14.399999999999999</v>
      </c>
      <c r="H124" s="499">
        <v>0</v>
      </c>
      <c r="I124" s="499">
        <v>0</v>
      </c>
      <c r="J124" s="499">
        <v>0</v>
      </c>
      <c r="K124" s="499">
        <v>0</v>
      </c>
      <c r="L124" s="499">
        <v>0</v>
      </c>
      <c r="M124" s="499">
        <v>0</v>
      </c>
      <c r="N124" s="499">
        <v>0</v>
      </c>
      <c r="O124" s="499">
        <v>0</v>
      </c>
      <c r="P124" s="499">
        <v>0</v>
      </c>
      <c r="Q124" s="499">
        <v>0</v>
      </c>
      <c r="R124" s="499">
        <v>95</v>
      </c>
      <c r="S124" s="499">
        <v>13.68</v>
      </c>
      <c r="T124" s="499">
        <v>0</v>
      </c>
      <c r="U124" s="499">
        <v>0</v>
      </c>
      <c r="V124" s="499">
        <v>0</v>
      </c>
      <c r="W124" s="499">
        <v>0</v>
      </c>
      <c r="X124" s="499">
        <v>0</v>
      </c>
      <c r="Y124" s="499">
        <v>0</v>
      </c>
      <c r="Z124" s="499">
        <v>0</v>
      </c>
      <c r="AA124" s="499">
        <v>0</v>
      </c>
      <c r="AB124" s="499">
        <v>0</v>
      </c>
      <c r="AC124" s="499">
        <v>0</v>
      </c>
      <c r="AD124" s="499">
        <v>0</v>
      </c>
      <c r="AE124" s="499">
        <v>0</v>
      </c>
      <c r="AF124" s="455"/>
      <c r="AG124" s="719"/>
    </row>
    <row r="125" spans="1:33" ht="21" x14ac:dyDescent="0.35">
      <c r="A125" s="453" t="s">
        <v>33</v>
      </c>
      <c r="B125" s="454">
        <f>SUM(H125,J125,L125,N125,P125,R125,T125,V125,X125,Z125,AB125,AD125)</f>
        <v>5</v>
      </c>
      <c r="C125" s="454">
        <f t="shared" ref="C125:C126" si="58">H125+J125+L125+N125+P125+R125</f>
        <v>5</v>
      </c>
      <c r="D125" s="454">
        <f>E125</f>
        <v>0.72</v>
      </c>
      <c r="E125" s="454">
        <f>SUM(I125,K125,M125,O125,Q125,S125,U125,W125,Y125,AA125,AC125,AE125)</f>
        <v>0.72</v>
      </c>
      <c r="F125" s="454">
        <f>IFERROR(E125/B125*100,0)</f>
        <v>14.399999999999999</v>
      </c>
      <c r="G125" s="454">
        <f>IFERROR(E125/C125*100,0)</f>
        <v>14.399999999999999</v>
      </c>
      <c r="H125" s="499">
        <v>0</v>
      </c>
      <c r="I125" s="499">
        <v>0</v>
      </c>
      <c r="J125" s="499">
        <v>0</v>
      </c>
      <c r="K125" s="499">
        <v>0</v>
      </c>
      <c r="L125" s="499">
        <v>0</v>
      </c>
      <c r="M125" s="499">
        <v>0</v>
      </c>
      <c r="N125" s="499">
        <v>0</v>
      </c>
      <c r="O125" s="499">
        <v>0</v>
      </c>
      <c r="P125" s="499">
        <v>0</v>
      </c>
      <c r="Q125" s="499">
        <v>0</v>
      </c>
      <c r="R125" s="499">
        <v>5</v>
      </c>
      <c r="S125" s="499">
        <v>0.72</v>
      </c>
      <c r="T125" s="499">
        <v>0</v>
      </c>
      <c r="U125" s="499">
        <v>0</v>
      </c>
      <c r="V125" s="499">
        <v>0</v>
      </c>
      <c r="W125" s="499">
        <v>0</v>
      </c>
      <c r="X125" s="499">
        <v>0</v>
      </c>
      <c r="Y125" s="499">
        <v>0</v>
      </c>
      <c r="Z125" s="499">
        <v>0</v>
      </c>
      <c r="AA125" s="499">
        <v>0</v>
      </c>
      <c r="AB125" s="499">
        <v>0</v>
      </c>
      <c r="AC125" s="499">
        <v>0</v>
      </c>
      <c r="AD125" s="499">
        <v>0</v>
      </c>
      <c r="AE125" s="499">
        <v>0</v>
      </c>
      <c r="AF125" s="455"/>
      <c r="AG125" s="719"/>
    </row>
    <row r="126" spans="1:33" ht="37.5" x14ac:dyDescent="0.35">
      <c r="A126" s="472" t="s">
        <v>174</v>
      </c>
      <c r="B126" s="454">
        <f>SUM(H126,J126,L126,N126,P126,R126,T126,V126,X126,Z126,AB126,AD126)</f>
        <v>5</v>
      </c>
      <c r="C126" s="454">
        <f t="shared" si="58"/>
        <v>5</v>
      </c>
      <c r="D126" s="454">
        <f>E126</f>
        <v>0.72</v>
      </c>
      <c r="E126" s="454">
        <f>SUM(I126,K126,M126,O126,Q126,S126,U126,W126,Y126,AA126,AC126,AE126)</f>
        <v>0.72</v>
      </c>
      <c r="F126" s="454">
        <f>IFERROR(E126/B126*100,0)</f>
        <v>14.399999999999999</v>
      </c>
      <c r="G126" s="454">
        <f>IFERROR(E126/C126*100,0)</f>
        <v>14.399999999999999</v>
      </c>
      <c r="H126" s="499">
        <v>0</v>
      </c>
      <c r="I126" s="499">
        <v>0</v>
      </c>
      <c r="J126" s="499">
        <v>0</v>
      </c>
      <c r="K126" s="499">
        <v>0</v>
      </c>
      <c r="L126" s="499">
        <v>0</v>
      </c>
      <c r="M126" s="499">
        <v>0</v>
      </c>
      <c r="N126" s="499">
        <v>0</v>
      </c>
      <c r="O126" s="499">
        <v>0</v>
      </c>
      <c r="P126" s="499">
        <v>0</v>
      </c>
      <c r="Q126" s="499">
        <v>0</v>
      </c>
      <c r="R126" s="499">
        <v>5</v>
      </c>
      <c r="S126" s="499">
        <v>0.72</v>
      </c>
      <c r="T126" s="499">
        <v>0</v>
      </c>
      <c r="U126" s="499">
        <v>0</v>
      </c>
      <c r="V126" s="499">
        <v>0</v>
      </c>
      <c r="W126" s="499">
        <v>0</v>
      </c>
      <c r="X126" s="499">
        <v>0</v>
      </c>
      <c r="Y126" s="499">
        <v>0</v>
      </c>
      <c r="Z126" s="499">
        <v>0</v>
      </c>
      <c r="AA126" s="499">
        <v>0</v>
      </c>
      <c r="AB126" s="499">
        <v>0</v>
      </c>
      <c r="AC126" s="499">
        <v>0</v>
      </c>
      <c r="AD126" s="499">
        <v>0</v>
      </c>
      <c r="AE126" s="499">
        <v>0</v>
      </c>
      <c r="AF126" s="455"/>
      <c r="AG126" s="719"/>
    </row>
    <row r="127" spans="1:33" ht="21" x14ac:dyDescent="0.35">
      <c r="A127" s="466" t="s">
        <v>54</v>
      </c>
      <c r="B127" s="230"/>
      <c r="C127" s="480"/>
      <c r="D127" s="480"/>
      <c r="E127" s="230"/>
      <c r="F127" s="231"/>
      <c r="G127" s="231"/>
      <c r="H127" s="481"/>
      <c r="I127" s="481"/>
      <c r="J127" s="481"/>
      <c r="K127" s="481"/>
      <c r="L127" s="481"/>
      <c r="M127" s="481"/>
      <c r="N127" s="481"/>
      <c r="O127" s="481"/>
      <c r="P127" s="481"/>
      <c r="Q127" s="481"/>
      <c r="R127" s="481"/>
      <c r="S127" s="481"/>
      <c r="T127" s="481"/>
      <c r="U127" s="481"/>
      <c r="V127" s="481"/>
      <c r="W127" s="481"/>
      <c r="X127" s="481"/>
      <c r="Y127" s="481"/>
      <c r="Z127" s="481"/>
      <c r="AA127" s="481"/>
      <c r="AB127" s="481"/>
      <c r="AC127" s="481"/>
      <c r="AD127" s="481"/>
      <c r="AE127" s="482"/>
      <c r="AF127" s="483"/>
      <c r="AG127" s="719"/>
    </row>
    <row r="128" spans="1:33" ht="21" x14ac:dyDescent="0.35">
      <c r="A128" s="1064" t="s">
        <v>361</v>
      </c>
      <c r="B128" s="1064"/>
      <c r="C128" s="1064"/>
      <c r="D128" s="1064"/>
      <c r="E128" s="1064"/>
      <c r="F128" s="1064"/>
      <c r="G128" s="1064"/>
      <c r="H128" s="1064"/>
      <c r="I128" s="1064"/>
      <c r="J128" s="1064"/>
      <c r="K128" s="1064"/>
      <c r="L128" s="1064"/>
      <c r="M128" s="1064"/>
      <c r="N128" s="1064"/>
      <c r="O128" s="1064"/>
      <c r="P128" s="1064"/>
      <c r="Q128" s="1064"/>
      <c r="R128" s="1064"/>
      <c r="S128" s="1064"/>
      <c r="T128" s="1064"/>
      <c r="U128" s="1064"/>
      <c r="V128" s="1064"/>
      <c r="W128" s="1064"/>
      <c r="X128" s="1064"/>
      <c r="Y128" s="1064"/>
      <c r="Z128" s="1064"/>
      <c r="AA128" s="1064"/>
      <c r="AB128" s="1064"/>
      <c r="AC128" s="1064"/>
      <c r="AD128" s="1064"/>
      <c r="AE128" s="1065"/>
      <c r="AF128" s="455"/>
      <c r="AG128" s="719"/>
    </row>
    <row r="129" spans="1:33" s="452" customFormat="1" ht="21" x14ac:dyDescent="0.35">
      <c r="A129" s="484" t="s">
        <v>31</v>
      </c>
      <c r="B129" s="485">
        <f>B130</f>
        <v>0</v>
      </c>
      <c r="C129" s="485">
        <f>C130</f>
        <v>0</v>
      </c>
      <c r="D129" s="485">
        <f>D130</f>
        <v>0</v>
      </c>
      <c r="E129" s="485">
        <f>E130</f>
        <v>0</v>
      </c>
      <c r="F129" s="485">
        <f>IFERROR(E129/B129*100,0)</f>
        <v>0</v>
      </c>
      <c r="G129" s="485">
        <f>IFERROR(E129/C129*100,0)</f>
        <v>0</v>
      </c>
      <c r="H129" s="502">
        <f>H130</f>
        <v>0</v>
      </c>
      <c r="I129" s="502">
        <f t="shared" ref="I129:AE129" si="59">I130</f>
        <v>0</v>
      </c>
      <c r="J129" s="502">
        <f t="shared" si="59"/>
        <v>0</v>
      </c>
      <c r="K129" s="502">
        <f t="shared" si="59"/>
        <v>0</v>
      </c>
      <c r="L129" s="502">
        <f t="shared" si="59"/>
        <v>0</v>
      </c>
      <c r="M129" s="502">
        <f t="shared" si="59"/>
        <v>0</v>
      </c>
      <c r="N129" s="502">
        <f t="shared" si="59"/>
        <v>0</v>
      </c>
      <c r="O129" s="502">
        <f t="shared" si="59"/>
        <v>0</v>
      </c>
      <c r="P129" s="502">
        <f t="shared" si="59"/>
        <v>0</v>
      </c>
      <c r="Q129" s="502">
        <f t="shared" si="59"/>
        <v>0</v>
      </c>
      <c r="R129" s="502">
        <f t="shared" si="59"/>
        <v>0</v>
      </c>
      <c r="S129" s="502">
        <f t="shared" si="59"/>
        <v>0</v>
      </c>
      <c r="T129" s="502">
        <f t="shared" si="59"/>
        <v>0</v>
      </c>
      <c r="U129" s="502">
        <f t="shared" si="59"/>
        <v>0</v>
      </c>
      <c r="V129" s="502">
        <f t="shared" si="59"/>
        <v>0</v>
      </c>
      <c r="W129" s="502">
        <f t="shared" si="59"/>
        <v>0</v>
      </c>
      <c r="X129" s="502">
        <f t="shared" si="59"/>
        <v>0</v>
      </c>
      <c r="Y129" s="502">
        <f t="shared" si="59"/>
        <v>0</v>
      </c>
      <c r="Z129" s="502">
        <f t="shared" si="59"/>
        <v>0</v>
      </c>
      <c r="AA129" s="502">
        <f t="shared" si="59"/>
        <v>0</v>
      </c>
      <c r="AB129" s="502">
        <f t="shared" si="59"/>
        <v>0</v>
      </c>
      <c r="AC129" s="502">
        <f t="shared" si="59"/>
        <v>0</v>
      </c>
      <c r="AD129" s="502">
        <f t="shared" si="59"/>
        <v>0</v>
      </c>
      <c r="AE129" s="502">
        <f t="shared" si="59"/>
        <v>0</v>
      </c>
      <c r="AF129" s="485"/>
      <c r="AG129" s="719"/>
    </row>
    <row r="130" spans="1:33" ht="21" x14ac:dyDescent="0.35">
      <c r="A130" s="453" t="s">
        <v>33</v>
      </c>
      <c r="B130" s="464">
        <f>B133</f>
        <v>0</v>
      </c>
      <c r="C130" s="464">
        <f>C133</f>
        <v>0</v>
      </c>
      <c r="D130" s="464">
        <f>D133</f>
        <v>0</v>
      </c>
      <c r="E130" s="464">
        <f>E133</f>
        <v>0</v>
      </c>
      <c r="F130" s="464">
        <f>IFERROR(E130/B130*100,0)</f>
        <v>0</v>
      </c>
      <c r="G130" s="464">
        <f>IFERROR(E130/C130*100,0)</f>
        <v>0</v>
      </c>
      <c r="H130" s="501">
        <f t="shared" ref="H130:AE130" si="60">H133</f>
        <v>0</v>
      </c>
      <c r="I130" s="501">
        <f t="shared" si="60"/>
        <v>0</v>
      </c>
      <c r="J130" s="501">
        <f t="shared" si="60"/>
        <v>0</v>
      </c>
      <c r="K130" s="501">
        <f t="shared" si="60"/>
        <v>0</v>
      </c>
      <c r="L130" s="501">
        <f t="shared" si="60"/>
        <v>0</v>
      </c>
      <c r="M130" s="501">
        <f t="shared" si="60"/>
        <v>0</v>
      </c>
      <c r="N130" s="501">
        <f t="shared" si="60"/>
        <v>0</v>
      </c>
      <c r="O130" s="501">
        <f t="shared" si="60"/>
        <v>0</v>
      </c>
      <c r="P130" s="501">
        <f t="shared" si="60"/>
        <v>0</v>
      </c>
      <c r="Q130" s="501">
        <f t="shared" si="60"/>
        <v>0</v>
      </c>
      <c r="R130" s="501">
        <f t="shared" si="60"/>
        <v>0</v>
      </c>
      <c r="S130" s="501">
        <f t="shared" si="60"/>
        <v>0</v>
      </c>
      <c r="T130" s="501">
        <f t="shared" si="60"/>
        <v>0</v>
      </c>
      <c r="U130" s="501">
        <f t="shared" si="60"/>
        <v>0</v>
      </c>
      <c r="V130" s="501">
        <f t="shared" si="60"/>
        <v>0</v>
      </c>
      <c r="W130" s="501">
        <f t="shared" si="60"/>
        <v>0</v>
      </c>
      <c r="X130" s="501">
        <f t="shared" si="60"/>
        <v>0</v>
      </c>
      <c r="Y130" s="501">
        <f t="shared" si="60"/>
        <v>0</v>
      </c>
      <c r="Z130" s="501">
        <f t="shared" si="60"/>
        <v>0</v>
      </c>
      <c r="AA130" s="501">
        <f t="shared" si="60"/>
        <v>0</v>
      </c>
      <c r="AB130" s="501">
        <f t="shared" si="60"/>
        <v>0</v>
      </c>
      <c r="AC130" s="501">
        <f t="shared" si="60"/>
        <v>0</v>
      </c>
      <c r="AD130" s="501">
        <f t="shared" si="60"/>
        <v>0</v>
      </c>
      <c r="AE130" s="501">
        <f t="shared" si="60"/>
        <v>0</v>
      </c>
      <c r="AF130" s="464"/>
      <c r="AG130" s="719"/>
    </row>
    <row r="131" spans="1:33" ht="21" x14ac:dyDescent="0.35">
      <c r="A131" s="1063" t="s">
        <v>362</v>
      </c>
      <c r="B131" s="1064"/>
      <c r="C131" s="1064"/>
      <c r="D131" s="1064"/>
      <c r="E131" s="1064"/>
      <c r="F131" s="1064"/>
      <c r="G131" s="1064"/>
      <c r="H131" s="1064"/>
      <c r="I131" s="1064"/>
      <c r="J131" s="1064"/>
      <c r="K131" s="1064"/>
      <c r="L131" s="1064"/>
      <c r="M131" s="1064"/>
      <c r="N131" s="1064"/>
      <c r="O131" s="1064"/>
      <c r="P131" s="1064"/>
      <c r="Q131" s="1064"/>
      <c r="R131" s="1064"/>
      <c r="S131" s="1064"/>
      <c r="T131" s="1064"/>
      <c r="U131" s="1064"/>
      <c r="V131" s="1064"/>
      <c r="W131" s="1064"/>
      <c r="X131" s="1064"/>
      <c r="Y131" s="1064"/>
      <c r="Z131" s="1064"/>
      <c r="AA131" s="1064"/>
      <c r="AB131" s="1064"/>
      <c r="AC131" s="1064"/>
      <c r="AD131" s="1064"/>
      <c r="AE131" s="1065"/>
      <c r="AF131" s="455"/>
      <c r="AG131" s="719"/>
    </row>
    <row r="132" spans="1:33" s="452" customFormat="1" ht="21" x14ac:dyDescent="0.35">
      <c r="A132" s="449" t="s">
        <v>31</v>
      </c>
      <c r="B132" s="450">
        <f>B133</f>
        <v>0</v>
      </c>
      <c r="C132" s="450">
        <f>C133</f>
        <v>0</v>
      </c>
      <c r="D132" s="450">
        <f>D133</f>
        <v>0</v>
      </c>
      <c r="E132" s="450">
        <f>E133</f>
        <v>0</v>
      </c>
      <c r="F132" s="450">
        <f t="shared" ref="F132:F145" si="61">IFERROR(E132/B132*100,0)</f>
        <v>0</v>
      </c>
      <c r="G132" s="450">
        <f t="shared" ref="G132:G145" si="62">IFERROR(E132/C132*100,0)</f>
        <v>0</v>
      </c>
      <c r="H132" s="498">
        <f>H133</f>
        <v>0</v>
      </c>
      <c r="I132" s="498">
        <f t="shared" ref="I132:AE132" si="63">I133</f>
        <v>0</v>
      </c>
      <c r="J132" s="498">
        <f t="shared" si="63"/>
        <v>0</v>
      </c>
      <c r="K132" s="498">
        <f t="shared" si="63"/>
        <v>0</v>
      </c>
      <c r="L132" s="498">
        <f t="shared" si="63"/>
        <v>0</v>
      </c>
      <c r="M132" s="498">
        <f t="shared" si="63"/>
        <v>0</v>
      </c>
      <c r="N132" s="498">
        <f t="shared" si="63"/>
        <v>0</v>
      </c>
      <c r="O132" s="498">
        <f t="shared" si="63"/>
        <v>0</v>
      </c>
      <c r="P132" s="498">
        <f t="shared" si="63"/>
        <v>0</v>
      </c>
      <c r="Q132" s="498">
        <f t="shared" si="63"/>
        <v>0</v>
      </c>
      <c r="R132" s="498">
        <f t="shared" si="63"/>
        <v>0</v>
      </c>
      <c r="S132" s="498">
        <f t="shared" si="63"/>
        <v>0</v>
      </c>
      <c r="T132" s="498">
        <f t="shared" si="63"/>
        <v>0</v>
      </c>
      <c r="U132" s="498">
        <f t="shared" si="63"/>
        <v>0</v>
      </c>
      <c r="V132" s="498">
        <f t="shared" si="63"/>
        <v>0</v>
      </c>
      <c r="W132" s="498">
        <f t="shared" si="63"/>
        <v>0</v>
      </c>
      <c r="X132" s="498">
        <f t="shared" si="63"/>
        <v>0</v>
      </c>
      <c r="Y132" s="498">
        <f t="shared" si="63"/>
        <v>0</v>
      </c>
      <c r="Z132" s="498">
        <f t="shared" si="63"/>
        <v>0</v>
      </c>
      <c r="AA132" s="498">
        <f t="shared" si="63"/>
        <v>0</v>
      </c>
      <c r="AB132" s="498">
        <f t="shared" si="63"/>
        <v>0</v>
      </c>
      <c r="AC132" s="498">
        <f t="shared" si="63"/>
        <v>0</v>
      </c>
      <c r="AD132" s="498">
        <f t="shared" si="63"/>
        <v>0</v>
      </c>
      <c r="AE132" s="498">
        <f t="shared" si="63"/>
        <v>0</v>
      </c>
      <c r="AF132" s="456"/>
      <c r="AG132" s="719"/>
    </row>
    <row r="133" spans="1:33" ht="21" x14ac:dyDescent="0.35">
      <c r="A133" s="453" t="s">
        <v>33</v>
      </c>
      <c r="B133" s="454">
        <f>SUM(H133,J133,L133,N133,P133,R133,T133,V133,X133,Z133,AB133,AD133)</f>
        <v>0</v>
      </c>
      <c r="C133" s="454">
        <f>H133+J133+L133+N133+P133+R133</f>
        <v>0</v>
      </c>
      <c r="D133" s="454">
        <f>E133</f>
        <v>0</v>
      </c>
      <c r="E133" s="454">
        <f>SUM(I133,K133,M133,O133,Q133,S133,U133,W133,Y133,AA133,AC133,AE133)</f>
        <v>0</v>
      </c>
      <c r="F133" s="454">
        <f t="shared" si="61"/>
        <v>0</v>
      </c>
      <c r="G133" s="454">
        <f t="shared" si="62"/>
        <v>0</v>
      </c>
      <c r="H133" s="499">
        <v>0</v>
      </c>
      <c r="I133" s="499">
        <v>0</v>
      </c>
      <c r="J133" s="499">
        <v>0</v>
      </c>
      <c r="K133" s="499">
        <v>0</v>
      </c>
      <c r="L133" s="499">
        <v>0</v>
      </c>
      <c r="M133" s="499">
        <v>0</v>
      </c>
      <c r="N133" s="499">
        <v>0</v>
      </c>
      <c r="O133" s="499">
        <v>0</v>
      </c>
      <c r="P133" s="499">
        <v>0</v>
      </c>
      <c r="Q133" s="499">
        <v>0</v>
      </c>
      <c r="R133" s="499">
        <v>0</v>
      </c>
      <c r="S133" s="499">
        <v>0</v>
      </c>
      <c r="T133" s="499">
        <v>0</v>
      </c>
      <c r="U133" s="499">
        <v>0</v>
      </c>
      <c r="V133" s="499">
        <v>0</v>
      </c>
      <c r="W133" s="499">
        <v>0</v>
      </c>
      <c r="X133" s="499">
        <v>0</v>
      </c>
      <c r="Y133" s="499">
        <v>0</v>
      </c>
      <c r="Z133" s="499">
        <v>0</v>
      </c>
      <c r="AA133" s="499">
        <v>0</v>
      </c>
      <c r="AB133" s="499">
        <v>0</v>
      </c>
      <c r="AC133" s="499">
        <v>0</v>
      </c>
      <c r="AD133" s="499">
        <v>0</v>
      </c>
      <c r="AE133" s="499">
        <v>0</v>
      </c>
      <c r="AF133" s="455"/>
      <c r="AG133" s="719"/>
    </row>
    <row r="134" spans="1:33" ht="21" x14ac:dyDescent="0.35">
      <c r="A134" s="458" t="s">
        <v>363</v>
      </c>
      <c r="B134" s="232"/>
      <c r="C134" s="486"/>
      <c r="D134" s="486"/>
      <c r="E134" s="486"/>
      <c r="F134" s="233"/>
      <c r="G134" s="233"/>
      <c r="H134" s="503"/>
      <c r="I134" s="503"/>
      <c r="J134" s="503"/>
      <c r="K134" s="503"/>
      <c r="L134" s="503"/>
      <c r="M134" s="503"/>
      <c r="N134" s="503"/>
      <c r="O134" s="503"/>
      <c r="P134" s="503"/>
      <c r="Q134" s="503"/>
      <c r="R134" s="503"/>
      <c r="S134" s="503"/>
      <c r="T134" s="503"/>
      <c r="U134" s="503"/>
      <c r="V134" s="503"/>
      <c r="W134" s="503"/>
      <c r="X134" s="503"/>
      <c r="Y134" s="503"/>
      <c r="Z134" s="503"/>
      <c r="AA134" s="503"/>
      <c r="AB134" s="503"/>
      <c r="AC134" s="503"/>
      <c r="AD134" s="503"/>
      <c r="AE134" s="503"/>
      <c r="AF134" s="487"/>
      <c r="AG134" s="719"/>
    </row>
    <row r="135" spans="1:33" s="452" customFormat="1" ht="21" x14ac:dyDescent="0.35">
      <c r="A135" s="460" t="s">
        <v>31</v>
      </c>
      <c r="B135" s="461">
        <f>B136+B137</f>
        <v>9173.3100000000013</v>
      </c>
      <c r="C135" s="461">
        <f>C136+C137</f>
        <v>9030.2099999999991</v>
      </c>
      <c r="D135" s="461">
        <f>D136+D137</f>
        <v>6332.9859999999999</v>
      </c>
      <c r="E135" s="461">
        <f>E136+E137</f>
        <v>6332.9859999999999</v>
      </c>
      <c r="F135" s="461">
        <f t="shared" si="61"/>
        <v>69.037086940264743</v>
      </c>
      <c r="G135" s="461">
        <f t="shared" si="62"/>
        <v>70.13110437077323</v>
      </c>
      <c r="H135" s="500">
        <f>H136+H137</f>
        <v>0</v>
      </c>
      <c r="I135" s="500">
        <f t="shared" ref="I135:AE135" si="64">I136+I137</f>
        <v>0</v>
      </c>
      <c r="J135" s="500">
        <f t="shared" si="64"/>
        <v>0</v>
      </c>
      <c r="K135" s="500">
        <f t="shared" si="64"/>
        <v>0</v>
      </c>
      <c r="L135" s="500">
        <f t="shared" si="64"/>
        <v>0</v>
      </c>
      <c r="M135" s="500">
        <f t="shared" si="64"/>
        <v>0</v>
      </c>
      <c r="N135" s="500">
        <f t="shared" si="64"/>
        <v>0</v>
      </c>
      <c r="O135" s="500">
        <f t="shared" si="64"/>
        <v>0</v>
      </c>
      <c r="P135" s="500">
        <f t="shared" si="64"/>
        <v>0</v>
      </c>
      <c r="Q135" s="500">
        <f t="shared" si="64"/>
        <v>0</v>
      </c>
      <c r="R135" s="500">
        <f t="shared" si="64"/>
        <v>9030.2099999999991</v>
      </c>
      <c r="S135" s="500">
        <f t="shared" si="64"/>
        <v>6332.9859999999999</v>
      </c>
      <c r="T135" s="500">
        <f t="shared" si="64"/>
        <v>0</v>
      </c>
      <c r="U135" s="500">
        <f t="shared" si="64"/>
        <v>0</v>
      </c>
      <c r="V135" s="500">
        <f t="shared" si="64"/>
        <v>0</v>
      </c>
      <c r="W135" s="500">
        <f t="shared" si="64"/>
        <v>0</v>
      </c>
      <c r="X135" s="500">
        <f t="shared" si="64"/>
        <v>143.1</v>
      </c>
      <c r="Y135" s="500">
        <f t="shared" si="64"/>
        <v>0</v>
      </c>
      <c r="Z135" s="500">
        <f t="shared" si="64"/>
        <v>0</v>
      </c>
      <c r="AA135" s="500">
        <f t="shared" si="64"/>
        <v>0</v>
      </c>
      <c r="AB135" s="500">
        <f t="shared" si="64"/>
        <v>0</v>
      </c>
      <c r="AC135" s="500">
        <f t="shared" si="64"/>
        <v>0</v>
      </c>
      <c r="AD135" s="500">
        <f t="shared" si="64"/>
        <v>0</v>
      </c>
      <c r="AE135" s="500">
        <f t="shared" si="64"/>
        <v>0</v>
      </c>
      <c r="AF135" s="461"/>
      <c r="AG135" s="719"/>
    </row>
    <row r="136" spans="1:33" ht="21" x14ac:dyDescent="0.35">
      <c r="A136" s="463" t="s">
        <v>32</v>
      </c>
      <c r="B136" s="454">
        <f>B141</f>
        <v>4297.6000000000004</v>
      </c>
      <c r="C136" s="454">
        <f>C141</f>
        <v>4250.1000000000004</v>
      </c>
      <c r="D136" s="454">
        <f>D141</f>
        <v>4168.78</v>
      </c>
      <c r="E136" s="454">
        <f>E141</f>
        <v>4168.78</v>
      </c>
      <c r="F136" s="464">
        <f t="shared" si="61"/>
        <v>97.002513030528647</v>
      </c>
      <c r="G136" s="464">
        <f t="shared" si="62"/>
        <v>98.086633255688085</v>
      </c>
      <c r="H136" s="499">
        <f>H141</f>
        <v>0</v>
      </c>
      <c r="I136" s="499">
        <f t="shared" ref="I136:AE136" si="65">I141</f>
        <v>0</v>
      </c>
      <c r="J136" s="499">
        <f t="shared" si="65"/>
        <v>0</v>
      </c>
      <c r="K136" s="499">
        <f t="shared" si="65"/>
        <v>0</v>
      </c>
      <c r="L136" s="499">
        <f t="shared" si="65"/>
        <v>0</v>
      </c>
      <c r="M136" s="499">
        <f t="shared" si="65"/>
        <v>0</v>
      </c>
      <c r="N136" s="499">
        <f t="shared" si="65"/>
        <v>0</v>
      </c>
      <c r="O136" s="499">
        <f t="shared" si="65"/>
        <v>0</v>
      </c>
      <c r="P136" s="499">
        <f t="shared" si="65"/>
        <v>0</v>
      </c>
      <c r="Q136" s="499">
        <f t="shared" si="65"/>
        <v>0</v>
      </c>
      <c r="R136" s="499">
        <f t="shared" si="65"/>
        <v>4250.1000000000004</v>
      </c>
      <c r="S136" s="499">
        <f t="shared" si="65"/>
        <v>4168.78</v>
      </c>
      <c r="T136" s="499">
        <f t="shared" si="65"/>
        <v>0</v>
      </c>
      <c r="U136" s="499">
        <f t="shared" si="65"/>
        <v>0</v>
      </c>
      <c r="V136" s="499">
        <f t="shared" si="65"/>
        <v>0</v>
      </c>
      <c r="W136" s="499">
        <f t="shared" si="65"/>
        <v>0</v>
      </c>
      <c r="X136" s="499">
        <f t="shared" si="65"/>
        <v>47.5</v>
      </c>
      <c r="Y136" s="499">
        <f t="shared" si="65"/>
        <v>0</v>
      </c>
      <c r="Z136" s="499">
        <f t="shared" si="65"/>
        <v>0</v>
      </c>
      <c r="AA136" s="499">
        <f t="shared" si="65"/>
        <v>0</v>
      </c>
      <c r="AB136" s="499">
        <f t="shared" si="65"/>
        <v>0</v>
      </c>
      <c r="AC136" s="499">
        <f t="shared" si="65"/>
        <v>0</v>
      </c>
      <c r="AD136" s="499">
        <f t="shared" si="65"/>
        <v>0</v>
      </c>
      <c r="AE136" s="499">
        <f t="shared" si="65"/>
        <v>0</v>
      </c>
      <c r="AF136" s="455"/>
      <c r="AG136" s="719"/>
    </row>
    <row r="137" spans="1:33" ht="21" x14ac:dyDescent="0.35">
      <c r="A137" s="463" t="s">
        <v>33</v>
      </c>
      <c r="B137" s="454">
        <f>B142+B146</f>
        <v>4875.71</v>
      </c>
      <c r="C137" s="454">
        <f>C40+C65+C130</f>
        <v>4780.1099999999997</v>
      </c>
      <c r="D137" s="454">
        <f>D40+D65+D130</f>
        <v>2164.2060000000001</v>
      </c>
      <c r="E137" s="454">
        <f>E40+E65+E130</f>
        <v>2164.2060000000001</v>
      </c>
      <c r="F137" s="464">
        <f t="shared" si="61"/>
        <v>44.387504589075235</v>
      </c>
      <c r="G137" s="464">
        <f t="shared" si="62"/>
        <v>45.275234251931444</v>
      </c>
      <c r="H137" s="499">
        <f t="shared" ref="H137:AE137" si="66">H40+H65+H130</f>
        <v>0</v>
      </c>
      <c r="I137" s="499">
        <f t="shared" si="66"/>
        <v>0</v>
      </c>
      <c r="J137" s="499">
        <f t="shared" si="66"/>
        <v>0</v>
      </c>
      <c r="K137" s="499">
        <f t="shared" si="66"/>
        <v>0</v>
      </c>
      <c r="L137" s="499">
        <f t="shared" si="66"/>
        <v>0</v>
      </c>
      <c r="M137" s="499">
        <f t="shared" si="66"/>
        <v>0</v>
      </c>
      <c r="N137" s="499">
        <f t="shared" si="66"/>
        <v>0</v>
      </c>
      <c r="O137" s="499">
        <f t="shared" si="66"/>
        <v>0</v>
      </c>
      <c r="P137" s="499">
        <f t="shared" si="66"/>
        <v>0</v>
      </c>
      <c r="Q137" s="499">
        <f t="shared" si="66"/>
        <v>0</v>
      </c>
      <c r="R137" s="499">
        <f t="shared" si="66"/>
        <v>4780.1099999999997</v>
      </c>
      <c r="S137" s="499">
        <f t="shared" si="66"/>
        <v>2164.2060000000001</v>
      </c>
      <c r="T137" s="499">
        <f t="shared" si="66"/>
        <v>0</v>
      </c>
      <c r="U137" s="499">
        <f t="shared" si="66"/>
        <v>0</v>
      </c>
      <c r="V137" s="499">
        <f t="shared" si="66"/>
        <v>0</v>
      </c>
      <c r="W137" s="499">
        <f t="shared" si="66"/>
        <v>0</v>
      </c>
      <c r="X137" s="499">
        <f t="shared" si="66"/>
        <v>95.6</v>
      </c>
      <c r="Y137" s="499">
        <f t="shared" si="66"/>
        <v>0</v>
      </c>
      <c r="Z137" s="499">
        <f t="shared" si="66"/>
        <v>0</v>
      </c>
      <c r="AA137" s="499">
        <f t="shared" si="66"/>
        <v>0</v>
      </c>
      <c r="AB137" s="499">
        <f t="shared" si="66"/>
        <v>0</v>
      </c>
      <c r="AC137" s="499">
        <f t="shared" si="66"/>
        <v>0</v>
      </c>
      <c r="AD137" s="499">
        <f t="shared" si="66"/>
        <v>0</v>
      </c>
      <c r="AE137" s="499">
        <f t="shared" si="66"/>
        <v>0</v>
      </c>
      <c r="AF137" s="455"/>
      <c r="AG137" s="719"/>
    </row>
    <row r="138" spans="1:33" ht="37.5" x14ac:dyDescent="0.35">
      <c r="A138" s="488" t="s">
        <v>174</v>
      </c>
      <c r="B138" s="454">
        <f>B143</f>
        <v>226.20999999999998</v>
      </c>
      <c r="C138" s="454">
        <f t="shared" ref="C138:AE138" si="67">C143</f>
        <v>223.70999999999998</v>
      </c>
      <c r="D138" s="454">
        <f t="shared" si="67"/>
        <v>219.43</v>
      </c>
      <c r="E138" s="454">
        <f t="shared" si="67"/>
        <v>219.43</v>
      </c>
      <c r="F138" s="464">
        <f t="shared" si="61"/>
        <v>97.002785022766474</v>
      </c>
      <c r="G138" s="464">
        <f t="shared" si="62"/>
        <v>98.086808814983698</v>
      </c>
      <c r="H138" s="499">
        <f t="shared" si="67"/>
        <v>0</v>
      </c>
      <c r="I138" s="499">
        <f t="shared" si="67"/>
        <v>0</v>
      </c>
      <c r="J138" s="499">
        <f t="shared" si="67"/>
        <v>0</v>
      </c>
      <c r="K138" s="499">
        <f t="shared" si="67"/>
        <v>0</v>
      </c>
      <c r="L138" s="499">
        <f t="shared" si="67"/>
        <v>0</v>
      </c>
      <c r="M138" s="499">
        <f t="shared" si="67"/>
        <v>0</v>
      </c>
      <c r="N138" s="499">
        <f t="shared" si="67"/>
        <v>0</v>
      </c>
      <c r="O138" s="499">
        <f t="shared" si="67"/>
        <v>0</v>
      </c>
      <c r="P138" s="499">
        <f t="shared" si="67"/>
        <v>0</v>
      </c>
      <c r="Q138" s="499">
        <f t="shared" si="67"/>
        <v>0</v>
      </c>
      <c r="R138" s="499">
        <f t="shared" si="67"/>
        <v>223.70999999999998</v>
      </c>
      <c r="S138" s="499">
        <f t="shared" si="67"/>
        <v>219.43</v>
      </c>
      <c r="T138" s="499">
        <f t="shared" si="67"/>
        <v>0</v>
      </c>
      <c r="U138" s="499">
        <f t="shared" si="67"/>
        <v>0</v>
      </c>
      <c r="V138" s="499">
        <f t="shared" si="67"/>
        <v>0</v>
      </c>
      <c r="W138" s="499">
        <f t="shared" si="67"/>
        <v>0</v>
      </c>
      <c r="X138" s="499">
        <f t="shared" si="67"/>
        <v>2.5</v>
      </c>
      <c r="Y138" s="499">
        <f t="shared" si="67"/>
        <v>0</v>
      </c>
      <c r="Z138" s="499">
        <f t="shared" si="67"/>
        <v>0</v>
      </c>
      <c r="AA138" s="499">
        <f t="shared" si="67"/>
        <v>0</v>
      </c>
      <c r="AB138" s="499">
        <f t="shared" si="67"/>
        <v>0</v>
      </c>
      <c r="AC138" s="499">
        <f t="shared" si="67"/>
        <v>0</v>
      </c>
      <c r="AD138" s="499">
        <f t="shared" si="67"/>
        <v>0</v>
      </c>
      <c r="AE138" s="499">
        <f t="shared" si="67"/>
        <v>0</v>
      </c>
      <c r="AF138" s="455"/>
      <c r="AG138" s="719"/>
    </row>
    <row r="139" spans="1:33" ht="21" x14ac:dyDescent="0.35">
      <c r="A139" s="489" t="s">
        <v>364</v>
      </c>
      <c r="B139" s="490"/>
      <c r="C139" s="490"/>
      <c r="D139" s="490"/>
      <c r="E139" s="490"/>
      <c r="F139" s="234"/>
      <c r="G139" s="234"/>
      <c r="H139" s="490"/>
      <c r="I139" s="490"/>
      <c r="J139" s="490"/>
      <c r="K139" s="490"/>
      <c r="L139" s="490"/>
      <c r="M139" s="490"/>
      <c r="N139" s="490"/>
      <c r="O139" s="490"/>
      <c r="P139" s="490"/>
      <c r="Q139" s="490"/>
      <c r="R139" s="490"/>
      <c r="S139" s="490"/>
      <c r="T139" s="490"/>
      <c r="U139" s="490"/>
      <c r="V139" s="490"/>
      <c r="W139" s="490"/>
      <c r="X139" s="490"/>
      <c r="Y139" s="490"/>
      <c r="Z139" s="490"/>
      <c r="AA139" s="490"/>
      <c r="AB139" s="490"/>
      <c r="AC139" s="490"/>
      <c r="AD139" s="491"/>
      <c r="AE139" s="492"/>
      <c r="AF139" s="493"/>
      <c r="AG139" s="719"/>
    </row>
    <row r="140" spans="1:33" s="452" customFormat="1" ht="21" x14ac:dyDescent="0.35">
      <c r="A140" s="449" t="s">
        <v>31</v>
      </c>
      <c r="B140" s="461">
        <f>B141+B142</f>
        <v>9173.3100000000013</v>
      </c>
      <c r="C140" s="461">
        <f>C141+C142</f>
        <v>9030.2099999999991</v>
      </c>
      <c r="D140" s="461">
        <f>D141+D142</f>
        <v>6332.9859999999999</v>
      </c>
      <c r="E140" s="461">
        <f>E141+E142</f>
        <v>6332.9859999999999</v>
      </c>
      <c r="F140" s="461">
        <f t="shared" si="61"/>
        <v>69.037086940264743</v>
      </c>
      <c r="G140" s="461">
        <f t="shared" si="62"/>
        <v>70.13110437077323</v>
      </c>
      <c r="H140" s="500">
        <f>H141+H142</f>
        <v>0</v>
      </c>
      <c r="I140" s="500">
        <f t="shared" ref="I140:AE140" si="68">I141+I142</f>
        <v>0</v>
      </c>
      <c r="J140" s="500">
        <f t="shared" si="68"/>
        <v>0</v>
      </c>
      <c r="K140" s="500">
        <f t="shared" si="68"/>
        <v>0</v>
      </c>
      <c r="L140" s="500">
        <f t="shared" si="68"/>
        <v>0</v>
      </c>
      <c r="M140" s="500">
        <f t="shared" si="68"/>
        <v>0</v>
      </c>
      <c r="N140" s="500">
        <f t="shared" si="68"/>
        <v>0</v>
      </c>
      <c r="O140" s="500">
        <f t="shared" si="68"/>
        <v>0</v>
      </c>
      <c r="P140" s="500">
        <f t="shared" si="68"/>
        <v>0</v>
      </c>
      <c r="Q140" s="500">
        <f t="shared" si="68"/>
        <v>0</v>
      </c>
      <c r="R140" s="500">
        <f t="shared" si="68"/>
        <v>9030.2099999999991</v>
      </c>
      <c r="S140" s="500">
        <f t="shared" si="68"/>
        <v>6332.9859999999999</v>
      </c>
      <c r="T140" s="500">
        <f t="shared" si="68"/>
        <v>0</v>
      </c>
      <c r="U140" s="500">
        <f t="shared" si="68"/>
        <v>0</v>
      </c>
      <c r="V140" s="500">
        <f t="shared" si="68"/>
        <v>0</v>
      </c>
      <c r="W140" s="500">
        <f t="shared" si="68"/>
        <v>0</v>
      </c>
      <c r="X140" s="500">
        <f t="shared" si="68"/>
        <v>143.1</v>
      </c>
      <c r="Y140" s="500">
        <f t="shared" si="68"/>
        <v>0</v>
      </c>
      <c r="Z140" s="500">
        <f t="shared" si="68"/>
        <v>0</v>
      </c>
      <c r="AA140" s="500">
        <f t="shared" si="68"/>
        <v>0</v>
      </c>
      <c r="AB140" s="500">
        <f t="shared" si="68"/>
        <v>0</v>
      </c>
      <c r="AC140" s="500">
        <f t="shared" si="68"/>
        <v>0</v>
      </c>
      <c r="AD140" s="500">
        <f t="shared" si="68"/>
        <v>0</v>
      </c>
      <c r="AE140" s="500">
        <f t="shared" si="68"/>
        <v>0</v>
      </c>
      <c r="AF140" s="461"/>
      <c r="AG140" s="719"/>
    </row>
    <row r="141" spans="1:33" ht="21" x14ac:dyDescent="0.35">
      <c r="A141" s="453" t="s">
        <v>32</v>
      </c>
      <c r="B141" s="454">
        <f t="shared" ref="B141:E143" si="69">B39+B64</f>
        <v>4297.6000000000004</v>
      </c>
      <c r="C141" s="454">
        <f t="shared" si="69"/>
        <v>4250.1000000000004</v>
      </c>
      <c r="D141" s="454">
        <f t="shared" si="69"/>
        <v>4168.78</v>
      </c>
      <c r="E141" s="454">
        <f t="shared" si="69"/>
        <v>4168.78</v>
      </c>
      <c r="F141" s="464">
        <f t="shared" si="61"/>
        <v>97.002513030528647</v>
      </c>
      <c r="G141" s="464">
        <f t="shared" si="62"/>
        <v>98.086633255688085</v>
      </c>
      <c r="H141" s="499">
        <f>H39+H64</f>
        <v>0</v>
      </c>
      <c r="I141" s="499">
        <f t="shared" ref="I141:AE143" si="70">I39+I64</f>
        <v>0</v>
      </c>
      <c r="J141" s="499">
        <f t="shared" si="70"/>
        <v>0</v>
      </c>
      <c r="K141" s="499">
        <f t="shared" si="70"/>
        <v>0</v>
      </c>
      <c r="L141" s="499">
        <f t="shared" si="70"/>
        <v>0</v>
      </c>
      <c r="M141" s="499">
        <f t="shared" si="70"/>
        <v>0</v>
      </c>
      <c r="N141" s="499">
        <f t="shared" si="70"/>
        <v>0</v>
      </c>
      <c r="O141" s="499">
        <f t="shared" si="70"/>
        <v>0</v>
      </c>
      <c r="P141" s="499">
        <f t="shared" si="70"/>
        <v>0</v>
      </c>
      <c r="Q141" s="499">
        <f t="shared" si="70"/>
        <v>0</v>
      </c>
      <c r="R141" s="499">
        <f t="shared" si="70"/>
        <v>4250.1000000000004</v>
      </c>
      <c r="S141" s="499">
        <f t="shared" si="70"/>
        <v>4168.78</v>
      </c>
      <c r="T141" s="499">
        <f t="shared" si="70"/>
        <v>0</v>
      </c>
      <c r="U141" s="499">
        <f t="shared" si="70"/>
        <v>0</v>
      </c>
      <c r="V141" s="499">
        <f t="shared" si="70"/>
        <v>0</v>
      </c>
      <c r="W141" s="499">
        <f t="shared" si="70"/>
        <v>0</v>
      </c>
      <c r="X141" s="499">
        <f t="shared" si="70"/>
        <v>47.5</v>
      </c>
      <c r="Y141" s="499">
        <f t="shared" si="70"/>
        <v>0</v>
      </c>
      <c r="Z141" s="499">
        <f t="shared" si="70"/>
        <v>0</v>
      </c>
      <c r="AA141" s="499">
        <f t="shared" si="70"/>
        <v>0</v>
      </c>
      <c r="AB141" s="499">
        <f t="shared" si="70"/>
        <v>0</v>
      </c>
      <c r="AC141" s="499">
        <f t="shared" si="70"/>
        <v>0</v>
      </c>
      <c r="AD141" s="499">
        <f t="shared" si="70"/>
        <v>0</v>
      </c>
      <c r="AE141" s="499">
        <f t="shared" si="70"/>
        <v>0</v>
      </c>
      <c r="AF141" s="455"/>
      <c r="AG141" s="719"/>
    </row>
    <row r="142" spans="1:33" ht="21" x14ac:dyDescent="0.35">
      <c r="A142" s="453" t="s">
        <v>33</v>
      </c>
      <c r="B142" s="454">
        <f t="shared" si="69"/>
        <v>4875.71</v>
      </c>
      <c r="C142" s="454">
        <f>C40+C65</f>
        <v>4780.1099999999997</v>
      </c>
      <c r="D142" s="454">
        <f t="shared" si="69"/>
        <v>2164.2060000000001</v>
      </c>
      <c r="E142" s="454">
        <f t="shared" si="69"/>
        <v>2164.2060000000001</v>
      </c>
      <c r="F142" s="464">
        <f t="shared" si="61"/>
        <v>44.387504589075235</v>
      </c>
      <c r="G142" s="464">
        <f t="shared" si="62"/>
        <v>45.275234251931444</v>
      </c>
      <c r="H142" s="499">
        <f t="shared" ref="H142:W143" si="71">H40+H65</f>
        <v>0</v>
      </c>
      <c r="I142" s="499">
        <f t="shared" si="71"/>
        <v>0</v>
      </c>
      <c r="J142" s="499">
        <f t="shared" si="71"/>
        <v>0</v>
      </c>
      <c r="K142" s="499">
        <f t="shared" si="71"/>
        <v>0</v>
      </c>
      <c r="L142" s="499">
        <f t="shared" si="71"/>
        <v>0</v>
      </c>
      <c r="M142" s="499">
        <f t="shared" si="71"/>
        <v>0</v>
      </c>
      <c r="N142" s="499">
        <f t="shared" si="71"/>
        <v>0</v>
      </c>
      <c r="O142" s="499">
        <f t="shared" si="71"/>
        <v>0</v>
      </c>
      <c r="P142" s="499">
        <f t="shared" si="71"/>
        <v>0</v>
      </c>
      <c r="Q142" s="499">
        <f t="shared" si="71"/>
        <v>0</v>
      </c>
      <c r="R142" s="499">
        <f t="shared" si="71"/>
        <v>4780.1099999999997</v>
      </c>
      <c r="S142" s="499">
        <f t="shared" si="71"/>
        <v>2164.2060000000001</v>
      </c>
      <c r="T142" s="499">
        <f t="shared" si="71"/>
        <v>0</v>
      </c>
      <c r="U142" s="499">
        <f t="shared" si="71"/>
        <v>0</v>
      </c>
      <c r="V142" s="499">
        <f t="shared" si="71"/>
        <v>0</v>
      </c>
      <c r="W142" s="499">
        <f t="shared" si="71"/>
        <v>0</v>
      </c>
      <c r="X142" s="499">
        <f t="shared" si="70"/>
        <v>95.6</v>
      </c>
      <c r="Y142" s="499">
        <f t="shared" si="70"/>
        <v>0</v>
      </c>
      <c r="Z142" s="499">
        <f t="shared" si="70"/>
        <v>0</v>
      </c>
      <c r="AA142" s="499">
        <f t="shared" si="70"/>
        <v>0</v>
      </c>
      <c r="AB142" s="499">
        <f t="shared" si="70"/>
        <v>0</v>
      </c>
      <c r="AC142" s="499">
        <f t="shared" si="70"/>
        <v>0</v>
      </c>
      <c r="AD142" s="499">
        <f t="shared" si="70"/>
        <v>0</v>
      </c>
      <c r="AE142" s="499">
        <f t="shared" si="70"/>
        <v>0</v>
      </c>
      <c r="AF142" s="455"/>
      <c r="AG142" s="719"/>
    </row>
    <row r="143" spans="1:33" ht="37.5" x14ac:dyDescent="0.35">
      <c r="A143" s="472" t="s">
        <v>174</v>
      </c>
      <c r="B143" s="454">
        <f t="shared" si="69"/>
        <v>226.20999999999998</v>
      </c>
      <c r="C143" s="454">
        <f t="shared" si="69"/>
        <v>223.70999999999998</v>
      </c>
      <c r="D143" s="454">
        <f t="shared" si="69"/>
        <v>219.43</v>
      </c>
      <c r="E143" s="454">
        <f t="shared" si="69"/>
        <v>219.43</v>
      </c>
      <c r="F143" s="464">
        <f t="shared" si="61"/>
        <v>97.002785022766474</v>
      </c>
      <c r="G143" s="464">
        <f t="shared" si="62"/>
        <v>98.086808814983698</v>
      </c>
      <c r="H143" s="499">
        <f t="shared" si="71"/>
        <v>0</v>
      </c>
      <c r="I143" s="499">
        <f t="shared" si="71"/>
        <v>0</v>
      </c>
      <c r="J143" s="499">
        <f t="shared" si="71"/>
        <v>0</v>
      </c>
      <c r="K143" s="499">
        <f t="shared" si="71"/>
        <v>0</v>
      </c>
      <c r="L143" s="499">
        <f t="shared" si="71"/>
        <v>0</v>
      </c>
      <c r="M143" s="499">
        <f t="shared" si="71"/>
        <v>0</v>
      </c>
      <c r="N143" s="499">
        <f t="shared" si="71"/>
        <v>0</v>
      </c>
      <c r="O143" s="499">
        <f t="shared" si="71"/>
        <v>0</v>
      </c>
      <c r="P143" s="499">
        <f t="shared" si="71"/>
        <v>0</v>
      </c>
      <c r="Q143" s="499">
        <f t="shared" si="71"/>
        <v>0</v>
      </c>
      <c r="R143" s="499">
        <f t="shared" si="71"/>
        <v>223.70999999999998</v>
      </c>
      <c r="S143" s="499">
        <f t="shared" si="71"/>
        <v>219.43</v>
      </c>
      <c r="T143" s="499">
        <f t="shared" si="71"/>
        <v>0</v>
      </c>
      <c r="U143" s="499">
        <f t="shared" si="71"/>
        <v>0</v>
      </c>
      <c r="V143" s="499">
        <f t="shared" si="71"/>
        <v>0</v>
      </c>
      <c r="W143" s="499">
        <f t="shared" si="71"/>
        <v>0</v>
      </c>
      <c r="X143" s="499">
        <f t="shared" si="70"/>
        <v>2.5</v>
      </c>
      <c r="Y143" s="499">
        <f t="shared" si="70"/>
        <v>0</v>
      </c>
      <c r="Z143" s="499">
        <f t="shared" si="70"/>
        <v>0</v>
      </c>
      <c r="AA143" s="499">
        <f t="shared" si="70"/>
        <v>0</v>
      </c>
      <c r="AB143" s="499">
        <f t="shared" si="70"/>
        <v>0</v>
      </c>
      <c r="AC143" s="499">
        <f t="shared" si="70"/>
        <v>0</v>
      </c>
      <c r="AD143" s="499">
        <f t="shared" si="70"/>
        <v>0</v>
      </c>
      <c r="AE143" s="499">
        <f t="shared" si="70"/>
        <v>0</v>
      </c>
      <c r="AF143" s="455"/>
      <c r="AG143" s="719"/>
    </row>
    <row r="144" spans="1:33" ht="21" x14ac:dyDescent="0.35">
      <c r="A144" s="489" t="s">
        <v>365</v>
      </c>
      <c r="B144" s="490"/>
      <c r="C144" s="490"/>
      <c r="D144" s="490"/>
      <c r="E144" s="490"/>
      <c r="F144" s="234"/>
      <c r="G144" s="234"/>
      <c r="H144" s="490"/>
      <c r="I144" s="490"/>
      <c r="J144" s="490"/>
      <c r="K144" s="490"/>
      <c r="L144" s="490"/>
      <c r="M144" s="490"/>
      <c r="N144" s="490"/>
      <c r="O144" s="490"/>
      <c r="P144" s="490"/>
      <c r="Q144" s="490"/>
      <c r="R144" s="490"/>
      <c r="S144" s="490"/>
      <c r="T144" s="490"/>
      <c r="U144" s="490"/>
      <c r="V144" s="490"/>
      <c r="W144" s="490"/>
      <c r="X144" s="490"/>
      <c r="Y144" s="490"/>
      <c r="Z144" s="490"/>
      <c r="AA144" s="490"/>
      <c r="AB144" s="490"/>
      <c r="AC144" s="490"/>
      <c r="AD144" s="491"/>
      <c r="AE144" s="492"/>
      <c r="AF144" s="493"/>
      <c r="AG144" s="719"/>
    </row>
    <row r="145" spans="1:33" s="452" customFormat="1" ht="21" x14ac:dyDescent="0.35">
      <c r="A145" s="449" t="s">
        <v>31</v>
      </c>
      <c r="B145" s="461">
        <f>B146</f>
        <v>0</v>
      </c>
      <c r="C145" s="461">
        <f>C146</f>
        <v>0</v>
      </c>
      <c r="D145" s="461">
        <f>D146</f>
        <v>0</v>
      </c>
      <c r="E145" s="461">
        <f>E146</f>
        <v>0</v>
      </c>
      <c r="F145" s="461">
        <f t="shared" si="61"/>
        <v>0</v>
      </c>
      <c r="G145" s="461">
        <f t="shared" si="62"/>
        <v>0</v>
      </c>
      <c r="H145" s="500">
        <f>H146</f>
        <v>0</v>
      </c>
      <c r="I145" s="500">
        <f t="shared" ref="I145:AE145" si="72">I146</f>
        <v>0</v>
      </c>
      <c r="J145" s="500">
        <f t="shared" si="72"/>
        <v>0</v>
      </c>
      <c r="K145" s="500">
        <f t="shared" si="72"/>
        <v>0</v>
      </c>
      <c r="L145" s="500">
        <f t="shared" si="72"/>
        <v>0</v>
      </c>
      <c r="M145" s="500">
        <f t="shared" si="72"/>
        <v>0</v>
      </c>
      <c r="N145" s="500">
        <f t="shared" si="72"/>
        <v>0</v>
      </c>
      <c r="O145" s="500">
        <f t="shared" si="72"/>
        <v>0</v>
      </c>
      <c r="P145" s="500">
        <f t="shared" si="72"/>
        <v>0</v>
      </c>
      <c r="Q145" s="500">
        <f t="shared" si="72"/>
        <v>0</v>
      </c>
      <c r="R145" s="500">
        <f t="shared" si="72"/>
        <v>0</v>
      </c>
      <c r="S145" s="500">
        <f t="shared" si="72"/>
        <v>0</v>
      </c>
      <c r="T145" s="500">
        <f t="shared" si="72"/>
        <v>0</v>
      </c>
      <c r="U145" s="500">
        <f t="shared" si="72"/>
        <v>0</v>
      </c>
      <c r="V145" s="500">
        <f t="shared" si="72"/>
        <v>0</v>
      </c>
      <c r="W145" s="500">
        <f t="shared" si="72"/>
        <v>0</v>
      </c>
      <c r="X145" s="500">
        <f t="shared" si="72"/>
        <v>0</v>
      </c>
      <c r="Y145" s="500">
        <f t="shared" si="72"/>
        <v>0</v>
      </c>
      <c r="Z145" s="500">
        <f t="shared" si="72"/>
        <v>0</v>
      </c>
      <c r="AA145" s="500">
        <f t="shared" si="72"/>
        <v>0</v>
      </c>
      <c r="AB145" s="500">
        <f t="shared" si="72"/>
        <v>0</v>
      </c>
      <c r="AC145" s="500">
        <f t="shared" si="72"/>
        <v>0</v>
      </c>
      <c r="AD145" s="500">
        <f t="shared" si="72"/>
        <v>0</v>
      </c>
      <c r="AE145" s="500">
        <f t="shared" si="72"/>
        <v>0</v>
      </c>
      <c r="AF145" s="461"/>
      <c r="AG145" s="719"/>
    </row>
    <row r="146" spans="1:33" ht="21" x14ac:dyDescent="0.35">
      <c r="A146" s="453" t="s">
        <v>33</v>
      </c>
      <c r="B146" s="454">
        <f>B130</f>
        <v>0</v>
      </c>
      <c r="C146" s="454">
        <f>C130</f>
        <v>0</v>
      </c>
      <c r="D146" s="454">
        <f>D130</f>
        <v>0</v>
      </c>
      <c r="E146" s="454">
        <f>E130</f>
        <v>0</v>
      </c>
      <c r="F146" s="464">
        <f>F253</f>
        <v>0</v>
      </c>
      <c r="G146" s="464">
        <f>G253</f>
        <v>0</v>
      </c>
      <c r="H146" s="499">
        <f t="shared" ref="H146:AE146" si="73">H130</f>
        <v>0</v>
      </c>
      <c r="I146" s="499">
        <f t="shared" si="73"/>
        <v>0</v>
      </c>
      <c r="J146" s="499">
        <f t="shared" si="73"/>
        <v>0</v>
      </c>
      <c r="K146" s="499">
        <f t="shared" si="73"/>
        <v>0</v>
      </c>
      <c r="L146" s="499">
        <f t="shared" si="73"/>
        <v>0</v>
      </c>
      <c r="M146" s="499">
        <f t="shared" si="73"/>
        <v>0</v>
      </c>
      <c r="N146" s="499">
        <f t="shared" si="73"/>
        <v>0</v>
      </c>
      <c r="O146" s="499">
        <f t="shared" si="73"/>
        <v>0</v>
      </c>
      <c r="P146" s="499">
        <f t="shared" si="73"/>
        <v>0</v>
      </c>
      <c r="Q146" s="499">
        <f t="shared" si="73"/>
        <v>0</v>
      </c>
      <c r="R146" s="499">
        <f t="shared" si="73"/>
        <v>0</v>
      </c>
      <c r="S146" s="499">
        <f t="shared" si="73"/>
        <v>0</v>
      </c>
      <c r="T146" s="499">
        <f t="shared" si="73"/>
        <v>0</v>
      </c>
      <c r="U146" s="499">
        <f t="shared" si="73"/>
        <v>0</v>
      </c>
      <c r="V146" s="499">
        <f t="shared" si="73"/>
        <v>0</v>
      </c>
      <c r="W146" s="499">
        <f t="shared" si="73"/>
        <v>0</v>
      </c>
      <c r="X146" s="499">
        <f t="shared" si="73"/>
        <v>0</v>
      </c>
      <c r="Y146" s="499">
        <f t="shared" si="73"/>
        <v>0</v>
      </c>
      <c r="Z146" s="499">
        <f t="shared" si="73"/>
        <v>0</v>
      </c>
      <c r="AA146" s="499">
        <f t="shared" si="73"/>
        <v>0</v>
      </c>
      <c r="AB146" s="499">
        <f t="shared" si="73"/>
        <v>0</v>
      </c>
      <c r="AC146" s="499">
        <f t="shared" si="73"/>
        <v>0</v>
      </c>
      <c r="AD146" s="499">
        <f t="shared" si="73"/>
        <v>0</v>
      </c>
      <c r="AE146" s="499">
        <f t="shared" si="73"/>
        <v>0</v>
      </c>
      <c r="AF146" s="455"/>
      <c r="AG146" s="719"/>
    </row>
    <row r="147" spans="1:33" ht="36.75" customHeight="1" x14ac:dyDescent="0.35">
      <c r="A147" s="494" t="s">
        <v>66</v>
      </c>
      <c r="B147" s="599">
        <f>B148+B149</f>
        <v>64974.935999999994</v>
      </c>
      <c r="C147" s="599">
        <f>C148+C149</f>
        <v>38565.581999999995</v>
      </c>
      <c r="D147" s="599">
        <f>D148+D149</f>
        <v>32151.071000000004</v>
      </c>
      <c r="E147" s="599">
        <f>E148+E149</f>
        <v>32151.071000000004</v>
      </c>
      <c r="F147" s="599">
        <f t="shared" ref="F147:F157" si="74">IFERROR(E147/B147*100,0)</f>
        <v>49.482266515814658</v>
      </c>
      <c r="G147" s="599">
        <f t="shared" ref="G147:G157" si="75">IFERROR(E147/C147*100,0)</f>
        <v>83.367265143308373</v>
      </c>
      <c r="H147" s="600">
        <f>H148+H149</f>
        <v>7237.6039999999994</v>
      </c>
      <c r="I147" s="600">
        <f t="shared" ref="I147:AE147" si="76">I148+I149</f>
        <v>4175.2790000000005</v>
      </c>
      <c r="J147" s="600">
        <f t="shared" si="76"/>
        <v>4703.8770000000004</v>
      </c>
      <c r="K147" s="600">
        <f t="shared" si="76"/>
        <v>5381.9040000000005</v>
      </c>
      <c r="L147" s="600">
        <f t="shared" si="76"/>
        <v>3760.3250000000003</v>
      </c>
      <c r="M147" s="600">
        <f t="shared" si="76"/>
        <v>3679.2779999999998</v>
      </c>
      <c r="N147" s="600">
        <f t="shared" si="76"/>
        <v>5461.0149999999994</v>
      </c>
      <c r="O147" s="600">
        <f t="shared" si="76"/>
        <v>3373.585</v>
      </c>
      <c r="P147" s="600">
        <f t="shared" si="76"/>
        <v>4632.6670000000004</v>
      </c>
      <c r="Q147" s="600">
        <f t="shared" si="76"/>
        <v>4083.6669999999999</v>
      </c>
      <c r="R147" s="600">
        <f t="shared" si="76"/>
        <v>12770.093999999999</v>
      </c>
      <c r="S147" s="600">
        <f t="shared" si="76"/>
        <v>11457.358</v>
      </c>
      <c r="T147" s="600">
        <f t="shared" si="76"/>
        <v>5460.4</v>
      </c>
      <c r="U147" s="600">
        <f t="shared" si="76"/>
        <v>0</v>
      </c>
      <c r="V147" s="600">
        <f t="shared" si="76"/>
        <v>4302.0499999999993</v>
      </c>
      <c r="W147" s="600">
        <f t="shared" si="76"/>
        <v>0</v>
      </c>
      <c r="X147" s="600">
        <f t="shared" si="76"/>
        <v>3884.86</v>
      </c>
      <c r="Y147" s="600">
        <f t="shared" si="76"/>
        <v>0</v>
      </c>
      <c r="Z147" s="600">
        <f t="shared" si="76"/>
        <v>5458.6509999999998</v>
      </c>
      <c r="AA147" s="600">
        <f t="shared" si="76"/>
        <v>0</v>
      </c>
      <c r="AB147" s="600">
        <f t="shared" si="76"/>
        <v>4262.7449999999999</v>
      </c>
      <c r="AC147" s="600">
        <f t="shared" si="76"/>
        <v>0</v>
      </c>
      <c r="AD147" s="600">
        <f t="shared" si="76"/>
        <v>3040.6480000000001</v>
      </c>
      <c r="AE147" s="600">
        <f t="shared" si="76"/>
        <v>0</v>
      </c>
      <c r="AF147" s="454"/>
      <c r="AG147" s="719"/>
    </row>
    <row r="148" spans="1:33" ht="21" x14ac:dyDescent="0.35">
      <c r="A148" s="453" t="s">
        <v>32</v>
      </c>
      <c r="B148" s="464">
        <f>B152+B156</f>
        <v>4668.933</v>
      </c>
      <c r="C148" s="464">
        <f>C152+C156</f>
        <v>4621.433</v>
      </c>
      <c r="D148" s="464">
        <f t="shared" ref="D148:AE148" si="77">D152+D156</f>
        <v>4540.1139999999996</v>
      </c>
      <c r="E148" s="464">
        <f t="shared" si="77"/>
        <v>4540.1139999999996</v>
      </c>
      <c r="F148" s="599">
        <f t="shared" si="74"/>
        <v>97.240932778431372</v>
      </c>
      <c r="G148" s="599">
        <f t="shared" si="75"/>
        <v>98.240394267319246</v>
      </c>
      <c r="H148" s="464">
        <f t="shared" si="77"/>
        <v>0</v>
      </c>
      <c r="I148" s="464">
        <f t="shared" si="77"/>
        <v>0</v>
      </c>
      <c r="J148" s="464">
        <f t="shared" si="77"/>
        <v>0</v>
      </c>
      <c r="K148" s="464">
        <f t="shared" si="77"/>
        <v>0</v>
      </c>
      <c r="L148" s="464">
        <f t="shared" si="77"/>
        <v>0</v>
      </c>
      <c r="M148" s="464">
        <f t="shared" si="77"/>
        <v>0</v>
      </c>
      <c r="N148" s="464">
        <f t="shared" si="77"/>
        <v>0</v>
      </c>
      <c r="O148" s="464">
        <f t="shared" si="77"/>
        <v>0</v>
      </c>
      <c r="P148" s="464">
        <f t="shared" si="77"/>
        <v>371.33300000000003</v>
      </c>
      <c r="Q148" s="464">
        <f t="shared" si="77"/>
        <v>371.334</v>
      </c>
      <c r="R148" s="464">
        <f t="shared" si="77"/>
        <v>4250.1000000000004</v>
      </c>
      <c r="S148" s="464">
        <f t="shared" si="77"/>
        <v>4168.78</v>
      </c>
      <c r="T148" s="464">
        <f t="shared" si="77"/>
        <v>0</v>
      </c>
      <c r="U148" s="464">
        <f t="shared" si="77"/>
        <v>0</v>
      </c>
      <c r="V148" s="464">
        <f t="shared" si="77"/>
        <v>0</v>
      </c>
      <c r="W148" s="464">
        <f t="shared" si="77"/>
        <v>0</v>
      </c>
      <c r="X148" s="464">
        <f t="shared" si="77"/>
        <v>47.5</v>
      </c>
      <c r="Y148" s="464">
        <f t="shared" si="77"/>
        <v>0</v>
      </c>
      <c r="Z148" s="464">
        <f t="shared" si="77"/>
        <v>0</v>
      </c>
      <c r="AA148" s="464">
        <f t="shared" si="77"/>
        <v>0</v>
      </c>
      <c r="AB148" s="464">
        <f t="shared" si="77"/>
        <v>0</v>
      </c>
      <c r="AC148" s="464">
        <f t="shared" si="77"/>
        <v>0</v>
      </c>
      <c r="AD148" s="464">
        <f t="shared" si="77"/>
        <v>0</v>
      </c>
      <c r="AE148" s="464">
        <f t="shared" si="77"/>
        <v>0</v>
      </c>
      <c r="AF148" s="454"/>
      <c r="AG148" s="719"/>
    </row>
    <row r="149" spans="1:33" ht="21" x14ac:dyDescent="0.35">
      <c r="A149" s="453" t="s">
        <v>33</v>
      </c>
      <c r="B149" s="464">
        <f>B153+B157</f>
        <v>60306.002999999997</v>
      </c>
      <c r="C149" s="464">
        <f>C153+C157</f>
        <v>33944.148999999998</v>
      </c>
      <c r="D149" s="464">
        <f>D153+D157</f>
        <v>27610.957000000002</v>
      </c>
      <c r="E149" s="464">
        <f>E153+E157</f>
        <v>27610.957000000002</v>
      </c>
      <c r="F149" s="454">
        <f t="shared" si="74"/>
        <v>45.784757116136518</v>
      </c>
      <c r="G149" s="454">
        <f t="shared" si="75"/>
        <v>81.342316167655298</v>
      </c>
      <c r="H149" s="501">
        <f t="shared" ref="H149:AE149" si="78">H34+H137</f>
        <v>7237.6039999999994</v>
      </c>
      <c r="I149" s="501">
        <f t="shared" si="78"/>
        <v>4175.2790000000005</v>
      </c>
      <c r="J149" s="501">
        <f t="shared" si="78"/>
        <v>4703.8770000000004</v>
      </c>
      <c r="K149" s="501">
        <f t="shared" si="78"/>
        <v>5381.9040000000005</v>
      </c>
      <c r="L149" s="501">
        <f t="shared" si="78"/>
        <v>3760.3250000000003</v>
      </c>
      <c r="M149" s="501">
        <f t="shared" si="78"/>
        <v>3679.2779999999998</v>
      </c>
      <c r="N149" s="501">
        <f t="shared" si="78"/>
        <v>5461.0149999999994</v>
      </c>
      <c r="O149" s="501">
        <f t="shared" si="78"/>
        <v>3373.585</v>
      </c>
      <c r="P149" s="501">
        <f t="shared" si="78"/>
        <v>4261.3340000000007</v>
      </c>
      <c r="Q149" s="501">
        <f t="shared" si="78"/>
        <v>3712.3330000000001</v>
      </c>
      <c r="R149" s="501">
        <f t="shared" si="78"/>
        <v>8519.9939999999988</v>
      </c>
      <c r="S149" s="501">
        <f t="shared" si="78"/>
        <v>7288.5779999999995</v>
      </c>
      <c r="T149" s="501">
        <f t="shared" si="78"/>
        <v>5460.4</v>
      </c>
      <c r="U149" s="501">
        <f t="shared" si="78"/>
        <v>0</v>
      </c>
      <c r="V149" s="501">
        <f t="shared" si="78"/>
        <v>4302.0499999999993</v>
      </c>
      <c r="W149" s="501">
        <f t="shared" si="78"/>
        <v>0</v>
      </c>
      <c r="X149" s="501">
        <f t="shared" si="78"/>
        <v>3837.36</v>
      </c>
      <c r="Y149" s="501">
        <f t="shared" si="78"/>
        <v>0</v>
      </c>
      <c r="Z149" s="501">
        <f t="shared" si="78"/>
        <v>5458.6509999999998</v>
      </c>
      <c r="AA149" s="501">
        <f t="shared" si="78"/>
        <v>0</v>
      </c>
      <c r="AB149" s="501">
        <f t="shared" si="78"/>
        <v>4262.7449999999999</v>
      </c>
      <c r="AC149" s="501">
        <f t="shared" si="78"/>
        <v>0</v>
      </c>
      <c r="AD149" s="501">
        <f t="shared" si="78"/>
        <v>3040.6480000000001</v>
      </c>
      <c r="AE149" s="501">
        <f t="shared" si="78"/>
        <v>0</v>
      </c>
      <c r="AF149" s="454"/>
      <c r="AG149" s="719"/>
    </row>
    <row r="150" spans="1:33" ht="37.5" x14ac:dyDescent="0.35">
      <c r="A150" s="472" t="s">
        <v>174</v>
      </c>
      <c r="B150" s="464">
        <f>B154</f>
        <v>226.20999999999998</v>
      </c>
      <c r="C150" s="464">
        <f t="shared" ref="C150:AE150" si="79">C154</f>
        <v>223.70999999999998</v>
      </c>
      <c r="D150" s="464">
        <f t="shared" si="79"/>
        <v>219.43</v>
      </c>
      <c r="E150" s="464">
        <f t="shared" si="79"/>
        <v>219.43</v>
      </c>
      <c r="F150" s="454">
        <f t="shared" si="74"/>
        <v>97.002785022766474</v>
      </c>
      <c r="G150" s="454">
        <f t="shared" si="75"/>
        <v>98.086808814983698</v>
      </c>
      <c r="H150" s="501">
        <f t="shared" si="79"/>
        <v>0</v>
      </c>
      <c r="I150" s="501">
        <f t="shared" si="79"/>
        <v>0</v>
      </c>
      <c r="J150" s="501">
        <f t="shared" si="79"/>
        <v>0</v>
      </c>
      <c r="K150" s="501">
        <f t="shared" si="79"/>
        <v>0</v>
      </c>
      <c r="L150" s="501">
        <f t="shared" si="79"/>
        <v>0</v>
      </c>
      <c r="M150" s="501">
        <f t="shared" si="79"/>
        <v>0</v>
      </c>
      <c r="N150" s="501">
        <f t="shared" si="79"/>
        <v>0</v>
      </c>
      <c r="O150" s="501">
        <f t="shared" si="79"/>
        <v>0</v>
      </c>
      <c r="P150" s="501">
        <f t="shared" si="79"/>
        <v>0</v>
      </c>
      <c r="Q150" s="501">
        <f t="shared" si="79"/>
        <v>0</v>
      </c>
      <c r="R150" s="501">
        <f t="shared" si="79"/>
        <v>223.70999999999998</v>
      </c>
      <c r="S150" s="501">
        <f t="shared" si="79"/>
        <v>219.43</v>
      </c>
      <c r="T150" s="501">
        <f t="shared" si="79"/>
        <v>0</v>
      </c>
      <c r="U150" s="501">
        <f t="shared" si="79"/>
        <v>0</v>
      </c>
      <c r="V150" s="501">
        <f t="shared" si="79"/>
        <v>0</v>
      </c>
      <c r="W150" s="501">
        <f t="shared" si="79"/>
        <v>0</v>
      </c>
      <c r="X150" s="501">
        <f t="shared" si="79"/>
        <v>2.5</v>
      </c>
      <c r="Y150" s="501">
        <f t="shared" si="79"/>
        <v>0</v>
      </c>
      <c r="Z150" s="501">
        <f t="shared" si="79"/>
        <v>0</v>
      </c>
      <c r="AA150" s="501">
        <f t="shared" si="79"/>
        <v>0</v>
      </c>
      <c r="AB150" s="501">
        <f t="shared" si="79"/>
        <v>0</v>
      </c>
      <c r="AC150" s="501">
        <f t="shared" si="79"/>
        <v>0</v>
      </c>
      <c r="AD150" s="501">
        <f t="shared" si="79"/>
        <v>0</v>
      </c>
      <c r="AE150" s="501">
        <f t="shared" si="79"/>
        <v>0</v>
      </c>
      <c r="AF150" s="454"/>
      <c r="AG150" s="719"/>
    </row>
    <row r="151" spans="1:33" ht="37.5" x14ac:dyDescent="0.35">
      <c r="A151" s="495" t="s">
        <v>366</v>
      </c>
      <c r="B151" s="454">
        <f>B152+B153</f>
        <v>9173.3100000000013</v>
      </c>
      <c r="C151" s="454">
        <f>C152+C153</f>
        <v>9030.2099999999991</v>
      </c>
      <c r="D151" s="454">
        <f>D152+D153</f>
        <v>6332.9859999999999</v>
      </c>
      <c r="E151" s="454">
        <f>E152+E153</f>
        <v>6332.9859999999999</v>
      </c>
      <c r="F151" s="454">
        <f t="shared" si="74"/>
        <v>69.037086940264743</v>
      </c>
      <c r="G151" s="454">
        <f t="shared" si="75"/>
        <v>70.13110437077323</v>
      </c>
      <c r="H151" s="499">
        <f>H152+H153</f>
        <v>0</v>
      </c>
      <c r="I151" s="499">
        <f t="shared" ref="I151:AE151" si="80">I152+I153</f>
        <v>0</v>
      </c>
      <c r="J151" s="499">
        <f t="shared" si="80"/>
        <v>0</v>
      </c>
      <c r="K151" s="499">
        <f t="shared" si="80"/>
        <v>0</v>
      </c>
      <c r="L151" s="499">
        <f t="shared" si="80"/>
        <v>0</v>
      </c>
      <c r="M151" s="499">
        <f t="shared" si="80"/>
        <v>0</v>
      </c>
      <c r="N151" s="499">
        <f t="shared" si="80"/>
        <v>0</v>
      </c>
      <c r="O151" s="499">
        <f t="shared" si="80"/>
        <v>0</v>
      </c>
      <c r="P151" s="499">
        <f t="shared" si="80"/>
        <v>0</v>
      </c>
      <c r="Q151" s="499">
        <f t="shared" si="80"/>
        <v>0</v>
      </c>
      <c r="R151" s="499">
        <f t="shared" si="80"/>
        <v>9030.2099999999991</v>
      </c>
      <c r="S151" s="499">
        <f t="shared" si="80"/>
        <v>6332.9859999999999</v>
      </c>
      <c r="T151" s="499">
        <f t="shared" si="80"/>
        <v>0</v>
      </c>
      <c r="U151" s="499">
        <f t="shared" si="80"/>
        <v>0</v>
      </c>
      <c r="V151" s="499">
        <f t="shared" si="80"/>
        <v>0</v>
      </c>
      <c r="W151" s="499">
        <f t="shared" si="80"/>
        <v>0</v>
      </c>
      <c r="X151" s="499">
        <f t="shared" si="80"/>
        <v>143.1</v>
      </c>
      <c r="Y151" s="499">
        <f t="shared" si="80"/>
        <v>0</v>
      </c>
      <c r="Z151" s="499">
        <f t="shared" si="80"/>
        <v>0</v>
      </c>
      <c r="AA151" s="499">
        <f t="shared" si="80"/>
        <v>0</v>
      </c>
      <c r="AB151" s="499">
        <f t="shared" si="80"/>
        <v>0</v>
      </c>
      <c r="AC151" s="499">
        <f t="shared" si="80"/>
        <v>0</v>
      </c>
      <c r="AD151" s="499">
        <f t="shared" si="80"/>
        <v>0</v>
      </c>
      <c r="AE151" s="499">
        <f t="shared" si="80"/>
        <v>0</v>
      </c>
      <c r="AF151" s="454"/>
      <c r="AG151" s="719"/>
    </row>
    <row r="152" spans="1:33" ht="21" x14ac:dyDescent="0.35">
      <c r="A152" s="453" t="s">
        <v>32</v>
      </c>
      <c r="B152" s="464">
        <f>B141</f>
        <v>4297.6000000000004</v>
      </c>
      <c r="C152" s="464">
        <f t="shared" ref="B152:E154" si="81">C141</f>
        <v>4250.1000000000004</v>
      </c>
      <c r="D152" s="464">
        <f t="shared" si="81"/>
        <v>4168.78</v>
      </c>
      <c r="E152" s="464">
        <f t="shared" si="81"/>
        <v>4168.78</v>
      </c>
      <c r="F152" s="454">
        <f t="shared" si="74"/>
        <v>97.002513030528647</v>
      </c>
      <c r="G152" s="454">
        <f t="shared" si="75"/>
        <v>98.086633255688085</v>
      </c>
      <c r="H152" s="501">
        <f t="shared" ref="H152:AE154" si="82">H141</f>
        <v>0</v>
      </c>
      <c r="I152" s="501">
        <f t="shared" si="82"/>
        <v>0</v>
      </c>
      <c r="J152" s="501">
        <f t="shared" si="82"/>
        <v>0</v>
      </c>
      <c r="K152" s="501">
        <f t="shared" si="82"/>
        <v>0</v>
      </c>
      <c r="L152" s="501">
        <f t="shared" si="82"/>
        <v>0</v>
      </c>
      <c r="M152" s="501">
        <f t="shared" si="82"/>
        <v>0</v>
      </c>
      <c r="N152" s="501">
        <f t="shared" si="82"/>
        <v>0</v>
      </c>
      <c r="O152" s="501">
        <f t="shared" si="82"/>
        <v>0</v>
      </c>
      <c r="P152" s="501">
        <f t="shared" si="82"/>
        <v>0</v>
      </c>
      <c r="Q152" s="501">
        <f t="shared" si="82"/>
        <v>0</v>
      </c>
      <c r="R152" s="501">
        <f t="shared" si="82"/>
        <v>4250.1000000000004</v>
      </c>
      <c r="S152" s="501">
        <f t="shared" si="82"/>
        <v>4168.78</v>
      </c>
      <c r="T152" s="501">
        <f t="shared" si="82"/>
        <v>0</v>
      </c>
      <c r="U152" s="501">
        <f t="shared" si="82"/>
        <v>0</v>
      </c>
      <c r="V152" s="501">
        <f t="shared" si="82"/>
        <v>0</v>
      </c>
      <c r="W152" s="501">
        <f t="shared" si="82"/>
        <v>0</v>
      </c>
      <c r="X152" s="501">
        <f t="shared" si="82"/>
        <v>47.5</v>
      </c>
      <c r="Y152" s="501">
        <f t="shared" si="82"/>
        <v>0</v>
      </c>
      <c r="Z152" s="501">
        <f t="shared" si="82"/>
        <v>0</v>
      </c>
      <c r="AA152" s="501">
        <f t="shared" si="82"/>
        <v>0</v>
      </c>
      <c r="AB152" s="501">
        <f t="shared" si="82"/>
        <v>0</v>
      </c>
      <c r="AC152" s="501">
        <f t="shared" si="82"/>
        <v>0</v>
      </c>
      <c r="AD152" s="501">
        <f t="shared" si="82"/>
        <v>0</v>
      </c>
      <c r="AE152" s="501">
        <f t="shared" si="82"/>
        <v>0</v>
      </c>
      <c r="AF152" s="454"/>
      <c r="AG152" s="719"/>
    </row>
    <row r="153" spans="1:33" ht="21" x14ac:dyDescent="0.35">
      <c r="A153" s="453" t="s">
        <v>33</v>
      </c>
      <c r="B153" s="464">
        <f t="shared" si="81"/>
        <v>4875.71</v>
      </c>
      <c r="C153" s="464">
        <f t="shared" si="81"/>
        <v>4780.1099999999997</v>
      </c>
      <c r="D153" s="464">
        <f t="shared" si="81"/>
        <v>2164.2060000000001</v>
      </c>
      <c r="E153" s="464">
        <f t="shared" si="81"/>
        <v>2164.2060000000001</v>
      </c>
      <c r="F153" s="454">
        <f t="shared" si="74"/>
        <v>44.387504589075235</v>
      </c>
      <c r="G153" s="454">
        <f t="shared" si="75"/>
        <v>45.275234251931444</v>
      </c>
      <c r="H153" s="501">
        <f t="shared" si="82"/>
        <v>0</v>
      </c>
      <c r="I153" s="501">
        <f t="shared" si="82"/>
        <v>0</v>
      </c>
      <c r="J153" s="501">
        <f t="shared" si="82"/>
        <v>0</v>
      </c>
      <c r="K153" s="501">
        <f t="shared" si="82"/>
        <v>0</v>
      </c>
      <c r="L153" s="501">
        <f t="shared" si="82"/>
        <v>0</v>
      </c>
      <c r="M153" s="501">
        <f t="shared" si="82"/>
        <v>0</v>
      </c>
      <c r="N153" s="501">
        <f t="shared" si="82"/>
        <v>0</v>
      </c>
      <c r="O153" s="501">
        <f t="shared" si="82"/>
        <v>0</v>
      </c>
      <c r="P153" s="501">
        <f t="shared" si="82"/>
        <v>0</v>
      </c>
      <c r="Q153" s="501">
        <f t="shared" si="82"/>
        <v>0</v>
      </c>
      <c r="R153" s="501">
        <f t="shared" si="82"/>
        <v>4780.1099999999997</v>
      </c>
      <c r="S153" s="501">
        <f t="shared" si="82"/>
        <v>2164.2060000000001</v>
      </c>
      <c r="T153" s="501">
        <f t="shared" si="82"/>
        <v>0</v>
      </c>
      <c r="U153" s="501">
        <f t="shared" si="82"/>
        <v>0</v>
      </c>
      <c r="V153" s="501">
        <f t="shared" si="82"/>
        <v>0</v>
      </c>
      <c r="W153" s="501">
        <f t="shared" si="82"/>
        <v>0</v>
      </c>
      <c r="X153" s="501">
        <f t="shared" si="82"/>
        <v>95.6</v>
      </c>
      <c r="Y153" s="501">
        <f t="shared" si="82"/>
        <v>0</v>
      </c>
      <c r="Z153" s="501">
        <f t="shared" si="82"/>
        <v>0</v>
      </c>
      <c r="AA153" s="501">
        <f t="shared" si="82"/>
        <v>0</v>
      </c>
      <c r="AB153" s="501">
        <f t="shared" si="82"/>
        <v>0</v>
      </c>
      <c r="AC153" s="501">
        <f t="shared" si="82"/>
        <v>0</v>
      </c>
      <c r="AD153" s="501">
        <f t="shared" si="82"/>
        <v>0</v>
      </c>
      <c r="AE153" s="501">
        <f t="shared" si="82"/>
        <v>0</v>
      </c>
      <c r="AF153" s="454"/>
      <c r="AG153" s="719"/>
    </row>
    <row r="154" spans="1:33" ht="37.5" x14ac:dyDescent="0.35">
      <c r="A154" s="472" t="s">
        <v>174</v>
      </c>
      <c r="B154" s="464">
        <f t="shared" si="81"/>
        <v>226.20999999999998</v>
      </c>
      <c r="C154" s="464">
        <f t="shared" si="81"/>
        <v>223.70999999999998</v>
      </c>
      <c r="D154" s="464">
        <f t="shared" si="81"/>
        <v>219.43</v>
      </c>
      <c r="E154" s="464">
        <f t="shared" si="81"/>
        <v>219.43</v>
      </c>
      <c r="F154" s="454">
        <f t="shared" si="74"/>
        <v>97.002785022766474</v>
      </c>
      <c r="G154" s="454">
        <f t="shared" si="75"/>
        <v>98.086808814983698</v>
      </c>
      <c r="H154" s="501">
        <f t="shared" si="82"/>
        <v>0</v>
      </c>
      <c r="I154" s="501">
        <f t="shared" si="82"/>
        <v>0</v>
      </c>
      <c r="J154" s="501">
        <f t="shared" si="82"/>
        <v>0</v>
      </c>
      <c r="K154" s="501">
        <f t="shared" si="82"/>
        <v>0</v>
      </c>
      <c r="L154" s="501">
        <f t="shared" si="82"/>
        <v>0</v>
      </c>
      <c r="M154" s="501">
        <f t="shared" si="82"/>
        <v>0</v>
      </c>
      <c r="N154" s="501">
        <f t="shared" si="82"/>
        <v>0</v>
      </c>
      <c r="O154" s="501">
        <f t="shared" si="82"/>
        <v>0</v>
      </c>
      <c r="P154" s="501">
        <f t="shared" si="82"/>
        <v>0</v>
      </c>
      <c r="Q154" s="501">
        <f t="shared" si="82"/>
        <v>0</v>
      </c>
      <c r="R154" s="501">
        <f t="shared" si="82"/>
        <v>223.70999999999998</v>
      </c>
      <c r="S154" s="501">
        <f t="shared" si="82"/>
        <v>219.43</v>
      </c>
      <c r="T154" s="501">
        <f t="shared" si="82"/>
        <v>0</v>
      </c>
      <c r="U154" s="501">
        <f t="shared" si="82"/>
        <v>0</v>
      </c>
      <c r="V154" s="501">
        <f t="shared" si="82"/>
        <v>0</v>
      </c>
      <c r="W154" s="501">
        <f t="shared" si="82"/>
        <v>0</v>
      </c>
      <c r="X154" s="501">
        <f t="shared" si="82"/>
        <v>2.5</v>
      </c>
      <c r="Y154" s="501">
        <f t="shared" si="82"/>
        <v>0</v>
      </c>
      <c r="Z154" s="501">
        <f t="shared" si="82"/>
        <v>0</v>
      </c>
      <c r="AA154" s="501">
        <f t="shared" si="82"/>
        <v>0</v>
      </c>
      <c r="AB154" s="501">
        <f t="shared" si="82"/>
        <v>0</v>
      </c>
      <c r="AC154" s="501">
        <f t="shared" si="82"/>
        <v>0</v>
      </c>
      <c r="AD154" s="501">
        <f t="shared" si="82"/>
        <v>0</v>
      </c>
      <c r="AE154" s="501">
        <f t="shared" si="82"/>
        <v>0</v>
      </c>
      <c r="AF154" s="454"/>
      <c r="AG154" s="719"/>
    </row>
    <row r="155" spans="1:33" ht="37.5" x14ac:dyDescent="0.35">
      <c r="A155" s="495" t="s">
        <v>100</v>
      </c>
      <c r="B155" s="454">
        <f>B157+B156</f>
        <v>55801.625999999997</v>
      </c>
      <c r="C155" s="454">
        <f t="shared" ref="C155:AE155" si="83">C157+C156</f>
        <v>29535.371999999996</v>
      </c>
      <c r="D155" s="454">
        <f t="shared" si="83"/>
        <v>25818.084999999999</v>
      </c>
      <c r="E155" s="454">
        <f t="shared" si="83"/>
        <v>25818.084999999999</v>
      </c>
      <c r="F155" s="454">
        <f t="shared" si="74"/>
        <v>46.26762130551537</v>
      </c>
      <c r="G155" s="454">
        <f t="shared" si="75"/>
        <v>87.414118230845389</v>
      </c>
      <c r="H155" s="454">
        <f t="shared" si="83"/>
        <v>7237.6039999999994</v>
      </c>
      <c r="I155" s="454">
        <f t="shared" si="83"/>
        <v>4175.2790000000005</v>
      </c>
      <c r="J155" s="454">
        <f t="shared" si="83"/>
        <v>4703.8770000000004</v>
      </c>
      <c r="K155" s="454">
        <f t="shared" si="83"/>
        <v>5381.9040000000005</v>
      </c>
      <c r="L155" s="454">
        <f t="shared" si="83"/>
        <v>3760.3250000000003</v>
      </c>
      <c r="M155" s="454">
        <f t="shared" si="83"/>
        <v>3679.2779999999998</v>
      </c>
      <c r="N155" s="454">
        <f t="shared" si="83"/>
        <v>5461.0149999999994</v>
      </c>
      <c r="O155" s="454">
        <f t="shared" si="83"/>
        <v>3373.585</v>
      </c>
      <c r="P155" s="454">
        <f t="shared" si="83"/>
        <v>4632.6670000000004</v>
      </c>
      <c r="Q155" s="454">
        <f t="shared" si="83"/>
        <v>4083.6669999999999</v>
      </c>
      <c r="R155" s="454">
        <f t="shared" si="83"/>
        <v>3739.884</v>
      </c>
      <c r="S155" s="454">
        <f t="shared" si="83"/>
        <v>5124.3719999999994</v>
      </c>
      <c r="T155" s="454">
        <f t="shared" si="83"/>
        <v>5460.4</v>
      </c>
      <c r="U155" s="454">
        <f t="shared" si="83"/>
        <v>0</v>
      </c>
      <c r="V155" s="454">
        <f t="shared" si="83"/>
        <v>4302.0499999999993</v>
      </c>
      <c r="W155" s="454">
        <f t="shared" si="83"/>
        <v>0</v>
      </c>
      <c r="X155" s="454">
        <f t="shared" si="83"/>
        <v>3741.76</v>
      </c>
      <c r="Y155" s="454">
        <f t="shared" si="83"/>
        <v>0</v>
      </c>
      <c r="Z155" s="454">
        <f t="shared" si="83"/>
        <v>5458.6509999999998</v>
      </c>
      <c r="AA155" s="454">
        <f t="shared" si="83"/>
        <v>0</v>
      </c>
      <c r="AB155" s="454">
        <f t="shared" si="83"/>
        <v>4262.7449999999999</v>
      </c>
      <c r="AC155" s="454">
        <f t="shared" si="83"/>
        <v>0</v>
      </c>
      <c r="AD155" s="454">
        <f t="shared" si="83"/>
        <v>3040.6480000000001</v>
      </c>
      <c r="AE155" s="454">
        <f t="shared" si="83"/>
        <v>0</v>
      </c>
      <c r="AF155" s="454"/>
      <c r="AG155" s="719"/>
    </row>
    <row r="156" spans="1:33" ht="21" x14ac:dyDescent="0.35">
      <c r="A156" s="453" t="s">
        <v>32</v>
      </c>
      <c r="B156" s="454">
        <f>B33</f>
        <v>371.33300000000003</v>
      </c>
      <c r="C156" s="454">
        <f t="shared" ref="C156:AE156" si="84">C33</f>
        <v>371.33300000000003</v>
      </c>
      <c r="D156" s="454">
        <f t="shared" si="84"/>
        <v>371.334</v>
      </c>
      <c r="E156" s="454">
        <f t="shared" si="84"/>
        <v>371.334</v>
      </c>
      <c r="F156" s="454">
        <f t="shared" si="74"/>
        <v>100.0002693000622</v>
      </c>
      <c r="G156" s="454">
        <f t="shared" si="75"/>
        <v>100.0002693000622</v>
      </c>
      <c r="H156" s="454">
        <f t="shared" si="84"/>
        <v>0</v>
      </c>
      <c r="I156" s="454">
        <f t="shared" si="84"/>
        <v>0</v>
      </c>
      <c r="J156" s="454">
        <f t="shared" si="84"/>
        <v>0</v>
      </c>
      <c r="K156" s="454">
        <f t="shared" si="84"/>
        <v>0</v>
      </c>
      <c r="L156" s="454">
        <f t="shared" si="84"/>
        <v>0</v>
      </c>
      <c r="M156" s="454">
        <f t="shared" si="84"/>
        <v>0</v>
      </c>
      <c r="N156" s="454">
        <f t="shared" si="84"/>
        <v>0</v>
      </c>
      <c r="O156" s="454">
        <f t="shared" si="84"/>
        <v>0</v>
      </c>
      <c r="P156" s="454">
        <f t="shared" si="84"/>
        <v>371.33300000000003</v>
      </c>
      <c r="Q156" s="454">
        <f t="shared" si="84"/>
        <v>371.334</v>
      </c>
      <c r="R156" s="454">
        <f t="shared" si="84"/>
        <v>0</v>
      </c>
      <c r="S156" s="454">
        <f t="shared" si="84"/>
        <v>0</v>
      </c>
      <c r="T156" s="454">
        <f t="shared" si="84"/>
        <v>0</v>
      </c>
      <c r="U156" s="454">
        <f t="shared" si="84"/>
        <v>0</v>
      </c>
      <c r="V156" s="454">
        <f t="shared" si="84"/>
        <v>0</v>
      </c>
      <c r="W156" s="454">
        <f t="shared" si="84"/>
        <v>0</v>
      </c>
      <c r="X156" s="454">
        <f t="shared" si="84"/>
        <v>0</v>
      </c>
      <c r="Y156" s="454">
        <f t="shared" si="84"/>
        <v>0</v>
      </c>
      <c r="Z156" s="454">
        <f t="shared" si="84"/>
        <v>0</v>
      </c>
      <c r="AA156" s="454">
        <f t="shared" si="84"/>
        <v>0</v>
      </c>
      <c r="AB156" s="454">
        <f t="shared" si="84"/>
        <v>0</v>
      </c>
      <c r="AC156" s="454">
        <f t="shared" si="84"/>
        <v>0</v>
      </c>
      <c r="AD156" s="454">
        <f t="shared" si="84"/>
        <v>0</v>
      </c>
      <c r="AE156" s="454">
        <f t="shared" si="84"/>
        <v>0</v>
      </c>
      <c r="AF156" s="454"/>
      <c r="AG156" s="719"/>
    </row>
    <row r="157" spans="1:33" ht="21" x14ac:dyDescent="0.35">
      <c r="A157" s="453" t="s">
        <v>33</v>
      </c>
      <c r="B157" s="464">
        <f>B12+B130</f>
        <v>55430.292999999998</v>
      </c>
      <c r="C157" s="464">
        <f>C12+C130</f>
        <v>29164.038999999997</v>
      </c>
      <c r="D157" s="464">
        <f>D12+D130</f>
        <v>25446.751</v>
      </c>
      <c r="E157" s="464">
        <f>E12+E130</f>
        <v>25446.751</v>
      </c>
      <c r="F157" s="454">
        <f t="shared" si="74"/>
        <v>45.907660996848783</v>
      </c>
      <c r="G157" s="454">
        <f t="shared" si="75"/>
        <v>87.253864253850438</v>
      </c>
      <c r="H157" s="501">
        <f t="shared" ref="H157:AE157" si="85">H12+H130</f>
        <v>7237.6039999999994</v>
      </c>
      <c r="I157" s="501">
        <f t="shared" si="85"/>
        <v>4175.2790000000005</v>
      </c>
      <c r="J157" s="501">
        <f t="shared" si="85"/>
        <v>4703.8770000000004</v>
      </c>
      <c r="K157" s="501">
        <f t="shared" si="85"/>
        <v>5381.9040000000005</v>
      </c>
      <c r="L157" s="501">
        <f t="shared" si="85"/>
        <v>3760.3250000000003</v>
      </c>
      <c r="M157" s="501">
        <f t="shared" si="85"/>
        <v>3679.2779999999998</v>
      </c>
      <c r="N157" s="501">
        <f t="shared" si="85"/>
        <v>5461.0149999999994</v>
      </c>
      <c r="O157" s="501">
        <f t="shared" si="85"/>
        <v>3373.585</v>
      </c>
      <c r="P157" s="501">
        <f t="shared" si="85"/>
        <v>4261.3340000000007</v>
      </c>
      <c r="Q157" s="501">
        <f t="shared" si="85"/>
        <v>3712.3330000000001</v>
      </c>
      <c r="R157" s="501">
        <f t="shared" si="85"/>
        <v>3739.884</v>
      </c>
      <c r="S157" s="501">
        <f t="shared" si="85"/>
        <v>5124.3719999999994</v>
      </c>
      <c r="T157" s="501">
        <f t="shared" si="85"/>
        <v>5460.4</v>
      </c>
      <c r="U157" s="501">
        <f t="shared" si="85"/>
        <v>0</v>
      </c>
      <c r="V157" s="501">
        <f t="shared" si="85"/>
        <v>4302.0499999999993</v>
      </c>
      <c r="W157" s="501">
        <f t="shared" si="85"/>
        <v>0</v>
      </c>
      <c r="X157" s="501">
        <f t="shared" si="85"/>
        <v>3741.76</v>
      </c>
      <c r="Y157" s="501">
        <f t="shared" si="85"/>
        <v>0</v>
      </c>
      <c r="Z157" s="501">
        <f t="shared" si="85"/>
        <v>5458.6509999999998</v>
      </c>
      <c r="AA157" s="501">
        <f t="shared" si="85"/>
        <v>0</v>
      </c>
      <c r="AB157" s="501">
        <f t="shared" si="85"/>
        <v>4262.7449999999999</v>
      </c>
      <c r="AC157" s="501">
        <f t="shared" si="85"/>
        <v>0</v>
      </c>
      <c r="AD157" s="501">
        <f t="shared" si="85"/>
        <v>3040.6480000000001</v>
      </c>
      <c r="AE157" s="501">
        <f t="shared" si="85"/>
        <v>0</v>
      </c>
      <c r="AF157" s="454"/>
      <c r="AG157" s="719"/>
    </row>
  </sheetData>
  <customSheetViews>
    <customSheetView guid="{7C130984-112A-4861-AA43-E2940708E3DC}" scale="70" state="hidden">
      <pane xSplit="4" ySplit="10" topLeftCell="V125" activePane="bottomRight" state="frozen"/>
      <selection pane="bottomRight" activeCell="AH136" sqref="AH136"/>
      <pageMargins left="0.7" right="0.7" top="0.75" bottom="0.75" header="0.3" footer="0.3"/>
    </customSheetView>
    <customSheetView guid="{4F41B9CC-959D-442C-80B0-1F0DB2C76D27}" scale="70">
      <pane xSplit="4" ySplit="9" topLeftCell="AC146" activePane="bottomRight" state="frozen"/>
      <selection pane="bottomRight" activeCell="AF123" sqref="AF123"/>
      <pageMargins left="0.7" right="0.7" top="0.75" bottom="0.75" header="0.3" footer="0.3"/>
    </customSheetView>
    <customSheetView guid="{391AB76E-B386-49C1-800F-016A48AA1A46}" scale="70">
      <pane xSplit="4" ySplit="10" topLeftCell="E11" activePane="bottomRight" state="frozen"/>
      <selection pane="bottomRight" activeCell="C15" sqref="C15"/>
      <pageMargins left="0.7" right="0.7" top="0.75" bottom="0.75" header="0.3" footer="0.3"/>
    </customSheetView>
    <customSheetView guid="{D01FA037-9AEC-4167-ADB8-2F327C01ECE6}" scale="70">
      <pane xSplit="4" ySplit="10" topLeftCell="E11" activePane="bottomRight" state="frozen"/>
      <selection pane="bottomRight" activeCell="C15" sqref="C15"/>
      <pageMargins left="0.7" right="0.7" top="0.75" bottom="0.75" header="0.3" footer="0.3"/>
    </customSheetView>
    <customSheetView guid="{6A602CB8-B24C-4ED4-B378-B27354BE0A1A}" scale="70">
      <pane xSplit="4" ySplit="10" topLeftCell="E11" activePane="bottomRight" state="frozen"/>
      <selection pane="bottomRight" activeCell="C15" sqref="C15"/>
      <pageMargins left="0.7" right="0.7" top="0.75" bottom="0.75" header="0.3" footer="0.3"/>
    </customSheetView>
    <customSheetView guid="{DAA8A688-7558-4B5B-8DBD-E2629BD9E9A8}" scale="70">
      <pane xSplit="4" ySplit="10" topLeftCell="E11" activePane="bottomRight" state="frozen"/>
      <selection pane="bottomRight" activeCell="C15" sqref="C15"/>
      <pageMargins left="0.7" right="0.7" top="0.75" bottom="0.75" header="0.3" footer="0.3"/>
    </customSheetView>
    <customSheetView guid="{0C2B9C2A-7B94-41EF-A2E6-F8AC9A67DE25}" scale="70">
      <pane xSplit="4" ySplit="10" topLeftCell="E11" activePane="bottomRight" state="frozen"/>
      <selection pane="bottomRight" activeCell="C15" sqref="C15"/>
      <pageMargins left="0.7" right="0.7" top="0.75" bottom="0.75" header="0.3" footer="0.3"/>
    </customSheetView>
    <customSheetView guid="{87218168-6C8E-4D5B-A5E5-DCCC26803AA3}" scale="70">
      <pane xSplit="4" ySplit="10" topLeftCell="E98" activePane="bottomRight" state="frozen"/>
      <selection pane="bottomRight" activeCell="C70" sqref="C70"/>
      <pageMargins left="0.7" right="0.7" top="0.75" bottom="0.75" header="0.3" footer="0.3"/>
    </customSheetView>
    <customSheetView guid="{533DC55B-6AD4-4674-9488-685EF2039F3E}" scale="70">
      <pane xSplit="4" ySplit="10" topLeftCell="E98" activePane="bottomRight" state="frozen"/>
      <selection pane="bottomRight" activeCell="C70" sqref="C70"/>
      <pageMargins left="0.7" right="0.7" top="0.75" bottom="0.75" header="0.3" footer="0.3"/>
    </customSheetView>
    <customSheetView guid="{69DABE6F-6182-4403-A4A2-969F10F1C13A}" scale="70">
      <pane xSplit="4" ySplit="10" topLeftCell="E98" activePane="bottomRight" state="frozen"/>
      <selection pane="bottomRight" activeCell="C70" sqref="C70"/>
      <pageMargins left="0.7" right="0.7" top="0.75" bottom="0.75" header="0.3" footer="0.3"/>
    </customSheetView>
    <customSheetView guid="{84867370-1F3E-4368-AF79-FBCE46FFFE92}" scale="70">
      <pane xSplit="4" ySplit="10" topLeftCell="E98" activePane="bottomRight" state="frozen"/>
      <selection pane="bottomRight" activeCell="C70" sqref="C70"/>
      <pageMargins left="0.7" right="0.7" top="0.75" bottom="0.75" header="0.3" footer="0.3"/>
    </customSheetView>
    <customSheetView guid="{47B983AB-FE5F-4725-860C-A2F29420596D}" scale="70">
      <pane xSplit="1" ySplit="10" topLeftCell="J11" activePane="bottomRight" state="frozen"/>
      <selection pane="bottomRight" activeCell="R120" sqref="R120:R121"/>
      <pageMargins left="0.7" right="0.7" top="0.75" bottom="0.75" header="0.3" footer="0.3"/>
    </customSheetView>
    <customSheetView guid="{959E901C-5DDE-42EE-AE94-AB8976B5E00B}" scale="70">
      <pane xSplit="1" ySplit="10" topLeftCell="J11" activePane="bottomRight" state="frozen"/>
      <selection pane="bottomRight" activeCell="R120" sqref="R120:R121"/>
      <pageMargins left="0.7" right="0.7" top="0.75" bottom="0.75" header="0.3" footer="0.3"/>
    </customSheetView>
    <customSheetView guid="{F679EF4A-C5FD-4B86-B87B-D85968E0F2CA}" scale="70">
      <pane xSplit="1" ySplit="10" topLeftCell="J11" activePane="bottomRight" state="frozen"/>
      <selection pane="bottomRight" activeCell="R120" sqref="R120:R121"/>
      <pageMargins left="0.7" right="0.7" top="0.75" bottom="0.75" header="0.3" footer="0.3"/>
    </customSheetView>
    <customSheetView guid="{009B3074-D8EC-4952-BF50-43CD64449612}" scale="70">
      <pane xSplit="1" ySplit="10" topLeftCell="J11" activePane="bottomRight" state="frozen"/>
      <selection pane="bottomRight" activeCell="R120" sqref="R120:R121"/>
      <pageMargins left="0.7" right="0.7" top="0.75" bottom="0.75" header="0.3" footer="0.3"/>
    </customSheetView>
    <customSheetView guid="{770624BF-07F3-44B6-94C3-4CC447CDD45C}" scale="70">
      <pane xSplit="1" ySplit="10" topLeftCell="B26" activePane="bottomRight" state="frozen"/>
      <selection pane="bottomRight" activeCell="A37" sqref="A37"/>
      <pageMargins left="0.7" right="0.7" top="0.75" bottom="0.75" header="0.3" footer="0.3"/>
    </customSheetView>
    <customSheetView guid="{B82BA08A-1A30-4F4D-A478-74A6BD09EA97}" scale="70">
      <pane xSplit="1" ySplit="10" topLeftCell="B146" activePane="bottomRight" state="frozen"/>
      <selection pane="bottomRight" activeCell="A3" sqref="A3:Q3"/>
      <pageMargins left="0.7" right="0.7" top="0.75" bottom="0.75" header="0.3" footer="0.3"/>
    </customSheetView>
    <customSheetView guid="{874882D1-E741-4CCA-BF0D-E72FA60B771D}" scale="70">
      <pane xSplit="1" ySplit="10" topLeftCell="B146" activePane="bottomRight" state="frozen"/>
      <selection pane="bottomRight" activeCell="A3" sqref="A3:Q3"/>
      <pageMargins left="0.7" right="0.7" top="0.75" bottom="0.75" header="0.3" footer="0.3"/>
    </customSheetView>
    <customSheetView guid="{C236B307-BD63-48C4-A75F-B3F3717BF55C}" scale="70">
      <pane xSplit="1" ySplit="10" topLeftCell="B146" activePane="bottomRight" state="frozen"/>
      <selection pane="bottomRight" activeCell="A3" sqref="A3:Q3"/>
      <pageMargins left="0.7" right="0.7" top="0.75" bottom="0.75" header="0.3" footer="0.3"/>
    </customSheetView>
    <customSheetView guid="{BCD82A82-B724-4763-8580-D765356E09BA}" scale="70">
      <pane xSplit="1" ySplit="10" topLeftCell="B11" activePane="bottomRight" state="frozen"/>
      <selection pane="bottomRight" activeCell="A3" sqref="A3:Q3"/>
      <pageMargins left="0.7" right="0.7" top="0.75" bottom="0.75" header="0.3" footer="0.3"/>
    </customSheetView>
    <customSheetView guid="{B1BF08D1-D416-4B47-ADD0-4F59132DC9E8}" scale="70">
      <pane xSplit="1" ySplit="10" topLeftCell="J11" activePane="bottomRight" state="frozen"/>
      <selection pane="bottomRight" activeCell="R120" sqref="R120:R121"/>
      <pageMargins left="0.7" right="0.7" top="0.75" bottom="0.75" header="0.3" footer="0.3"/>
    </customSheetView>
    <customSheetView guid="{85F4575B-DBC5-482A-9916-255D8F0BC94E}" scale="70">
      <pane xSplit="1" ySplit="10" topLeftCell="J11" activePane="bottomRight" state="frozen"/>
      <selection pane="bottomRight" activeCell="R120" sqref="R120:R121"/>
      <pageMargins left="0.7" right="0.7" top="0.75" bottom="0.75" header="0.3" footer="0.3"/>
    </customSheetView>
    <customSheetView guid="{74870EE6-26B9-40F7-9DC9-260EF16D8959}" scale="70">
      <pane xSplit="4" ySplit="10" topLeftCell="E98" activePane="bottomRight" state="frozen"/>
      <selection pane="bottomRight" activeCell="C70" sqref="C70"/>
      <pageMargins left="0.7" right="0.7" top="0.75" bottom="0.75" header="0.3" footer="0.3"/>
    </customSheetView>
    <customSheetView guid="{E508E171-4ED9-4B07-84DF-DA28C60E1969}" scale="70">
      <pane xSplit="4" ySplit="10" topLeftCell="E11" activePane="bottomRight" state="frozen"/>
      <selection pane="bottomRight" activeCell="C15" sqref="C15"/>
      <pageMargins left="0.7" right="0.7" top="0.75" bottom="0.75" header="0.3" footer="0.3"/>
    </customSheetView>
    <customSheetView guid="{4D0DFB57-2CBA-42F2-9A97-C453A6851FBA}" scale="70">
      <pane xSplit="4" ySplit="10" topLeftCell="E11" activePane="bottomRight" state="frozen"/>
      <selection pane="bottomRight" activeCell="C15" sqref="C15"/>
      <pageMargins left="0.7" right="0.7" top="0.75" bottom="0.75" header="0.3" footer="0.3"/>
    </customSheetView>
    <customSheetView guid="{CE1CCA00-200D-4EAA-9FBE-F8EE7C5F82FE}" scale="70">
      <pane xSplit="4" ySplit="10" topLeftCell="E11" activePane="bottomRight" state="frozen"/>
      <selection pane="bottomRight" activeCell="C15" sqref="C15"/>
      <pageMargins left="0.7" right="0.7" top="0.75" bottom="0.75" header="0.3" footer="0.3"/>
    </customSheetView>
    <customSheetView guid="{442F2C94-DD1B-4A01-8694-513D4D6F3BD9}" scale="70">
      <pane xSplit="4" ySplit="10" topLeftCell="E11" activePane="bottomRight" state="frozen"/>
      <selection pane="bottomRight" activeCell="C15" sqref="C15"/>
      <pageMargins left="0.7" right="0.7" top="0.75" bottom="0.75" header="0.3" footer="0.3"/>
    </customSheetView>
    <customSheetView guid="{AC2D5927-4079-4C74-AF69-1BFAC505648F}" scale="70">
      <pane xSplit="4" ySplit="10" topLeftCell="E11" activePane="bottomRight" state="frozen"/>
      <selection pane="bottomRight" activeCell="C15" sqref="C15"/>
      <pageMargins left="0.7" right="0.7" top="0.75" bottom="0.75" header="0.3" footer="0.3"/>
    </customSheetView>
    <customSheetView guid="{602C8EDB-B9EF-4C85-B0D5-0558C3A0ABAB}" scale="70">
      <pane xSplit="4" ySplit="10" topLeftCell="AC140" activePane="bottomRight" state="frozen"/>
      <selection pane="bottomRight" activeCell="AF123" sqref="AF123"/>
      <pageMargins left="0.7" right="0.7" top="0.75" bottom="0.75" header="0.3" footer="0.3"/>
    </customSheetView>
    <customSheetView guid="{09C3E205-981E-4A4E-BE89-8B7044192060}" scale="70">
      <pane xSplit="4" ySplit="10" topLeftCell="AD119" activePane="bottomRight" state="frozen"/>
      <selection pane="bottomRight" activeCell="AF123" sqref="AF123"/>
      <pageMargins left="0.7" right="0.7" top="0.75" bottom="0.75" header="0.3" footer="0.3"/>
    </customSheetView>
  </customSheetViews>
  <mergeCells count="42">
    <mergeCell ref="V4:W5"/>
    <mergeCell ref="X4:Y5"/>
    <mergeCell ref="AD4:AE5"/>
    <mergeCell ref="R4:S5"/>
    <mergeCell ref="T4:U5"/>
    <mergeCell ref="A128:AE128"/>
    <mergeCell ref="A131:AE131"/>
    <mergeCell ref="A62:AE62"/>
    <mergeCell ref="A67:AE67"/>
    <mergeCell ref="A72:AE72"/>
    <mergeCell ref="A77:AE77"/>
    <mergeCell ref="A82:AE82"/>
    <mergeCell ref="A87:AE87"/>
    <mergeCell ref="AF4:AF6"/>
    <mergeCell ref="A57:AE57"/>
    <mergeCell ref="A10:AE10"/>
    <mergeCell ref="A13:AE13"/>
    <mergeCell ref="A16:AE16"/>
    <mergeCell ref="A19:AE19"/>
    <mergeCell ref="A23:AE23"/>
    <mergeCell ref="A27:AE27"/>
    <mergeCell ref="A35:AE35"/>
    <mergeCell ref="A37:AE37"/>
    <mergeCell ref="A42:AE42"/>
    <mergeCell ref="A47:AE47"/>
    <mergeCell ref="A52:AE52"/>
    <mergeCell ref="A8:AE8"/>
    <mergeCell ref="Z4:AA5"/>
    <mergeCell ref="AB4:AC5"/>
    <mergeCell ref="A2:Q2"/>
    <mergeCell ref="A3:Q3"/>
    <mergeCell ref="A4:A6"/>
    <mergeCell ref="B4:B5"/>
    <mergeCell ref="C4:C5"/>
    <mergeCell ref="D4:D5"/>
    <mergeCell ref="E4:E5"/>
    <mergeCell ref="F4:G5"/>
    <mergeCell ref="H4:I5"/>
    <mergeCell ref="J4:K5"/>
    <mergeCell ref="P4:Q5"/>
    <mergeCell ref="L4:M5"/>
    <mergeCell ref="N4:O5"/>
  </mergeCells>
  <hyperlinks>
    <hyperlink ref="A3:Q3" location="Оглавление!A1" display=" &quot;Социально - экономическое развитие и инвестиции муниципального образования город Когалым&quot; "/>
  </hyperlinks>
  <pageMargins left="0.7" right="0.7" top="0.75" bottom="0.75" header="0.3" footer="0.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Оглавление!$B$22:$B$33</xm:f>
          </x14:formula1>
          <xm:sqref>C6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9"/>
  <sheetViews>
    <sheetView zoomScale="80" zoomScaleNormal="80" workbookViewId="0">
      <pane ySplit="5" topLeftCell="A6" activePane="bottomLeft" state="frozen"/>
      <selection pane="bottomLeft" activeCell="A22" sqref="A22:AE22"/>
    </sheetView>
  </sheetViews>
  <sheetFormatPr defaultColWidth="9.140625" defaultRowHeight="15" x14ac:dyDescent="0.25"/>
  <cols>
    <col min="1" max="1" width="43.140625" style="226" customWidth="1"/>
    <col min="2" max="7" width="12.42578125" style="226" customWidth="1"/>
    <col min="8" max="20" width="11.5703125" style="226" customWidth="1"/>
    <col min="21" max="31" width="11.85546875" style="226" customWidth="1"/>
    <col min="32" max="32" width="53.85546875" style="226" customWidth="1"/>
    <col min="33" max="16384" width="9.140625" style="226"/>
  </cols>
  <sheetData>
    <row r="1" spans="1:32" ht="25.5" x14ac:dyDescent="0.25">
      <c r="A1" s="1076" t="s">
        <v>0</v>
      </c>
      <c r="B1" s="1077"/>
      <c r="C1" s="1077"/>
      <c r="D1" s="1077"/>
      <c r="E1" s="1077"/>
      <c r="F1" s="1077"/>
      <c r="G1" s="1077"/>
      <c r="H1" s="1077"/>
      <c r="I1" s="1077"/>
      <c r="J1" s="1077"/>
      <c r="K1" s="1077"/>
      <c r="L1" s="1077"/>
      <c r="M1" s="1077"/>
      <c r="N1" s="1077"/>
      <c r="O1" s="1077"/>
      <c r="P1" s="1077"/>
      <c r="Q1" s="1077"/>
      <c r="R1" s="1077"/>
      <c r="S1" s="1077"/>
      <c r="T1" s="1077"/>
      <c r="U1" s="1077"/>
      <c r="V1" s="1077"/>
      <c r="W1" s="1077"/>
      <c r="X1" s="1077"/>
      <c r="Y1" s="1077"/>
      <c r="Z1" s="1077"/>
      <c r="AA1" s="1077"/>
      <c r="AB1" s="1077"/>
      <c r="AC1" s="1077"/>
      <c r="AD1" s="1077"/>
      <c r="AE1" s="235"/>
      <c r="AF1" s="235"/>
    </row>
    <row r="2" spans="1:32" ht="18.75" x14ac:dyDescent="0.25">
      <c r="A2" s="1078" t="s">
        <v>367</v>
      </c>
      <c r="B2" s="1079"/>
      <c r="C2" s="1079"/>
      <c r="D2" s="1079"/>
      <c r="E2" s="1079"/>
      <c r="F2" s="1079"/>
      <c r="G2" s="1079"/>
      <c r="H2" s="1079"/>
      <c r="I2" s="1079"/>
      <c r="J2" s="1079"/>
      <c r="K2" s="1079"/>
      <c r="L2" s="1079"/>
      <c r="M2" s="1079"/>
      <c r="N2" s="1079"/>
      <c r="O2" s="1079"/>
      <c r="P2" s="1079"/>
      <c r="Q2" s="1079"/>
      <c r="R2" s="1079"/>
      <c r="S2" s="1079"/>
      <c r="T2" s="1079"/>
      <c r="U2" s="1079"/>
      <c r="V2" s="1079"/>
      <c r="W2" s="1079"/>
      <c r="X2" s="1079"/>
      <c r="Y2" s="1079"/>
      <c r="Z2" s="1079"/>
      <c r="AA2" s="1079"/>
      <c r="AB2" s="1079"/>
      <c r="AC2" s="1079"/>
      <c r="AD2" s="1079"/>
      <c r="AE2" s="235"/>
      <c r="AF2" s="235" t="s">
        <v>368</v>
      </c>
    </row>
    <row r="3" spans="1:32" ht="22.5" x14ac:dyDescent="0.25">
      <c r="A3" s="236"/>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5"/>
      <c r="AF3" s="235"/>
    </row>
    <row r="4" spans="1:32" ht="37.5" x14ac:dyDescent="0.25">
      <c r="A4" s="1080" t="s">
        <v>369</v>
      </c>
      <c r="B4" s="1080" t="s">
        <v>370</v>
      </c>
      <c r="C4" s="1082" t="s">
        <v>581</v>
      </c>
      <c r="D4" s="1082" t="s">
        <v>582</v>
      </c>
      <c r="E4" s="1082" t="s">
        <v>583</v>
      </c>
      <c r="F4" s="1084" t="s">
        <v>371</v>
      </c>
      <c r="G4" s="1084"/>
      <c r="H4" s="1084" t="s">
        <v>7</v>
      </c>
      <c r="I4" s="1084"/>
      <c r="J4" s="1084" t="s">
        <v>8</v>
      </c>
      <c r="K4" s="1084"/>
      <c r="L4" s="1084" t="s">
        <v>9</v>
      </c>
      <c r="M4" s="1084"/>
      <c r="N4" s="1084" t="s">
        <v>10</v>
      </c>
      <c r="O4" s="1084"/>
      <c r="P4" s="1084" t="s">
        <v>11</v>
      </c>
      <c r="Q4" s="1084"/>
      <c r="R4" s="1084" t="s">
        <v>12</v>
      </c>
      <c r="S4" s="1084"/>
      <c r="T4" s="1084" t="s">
        <v>13</v>
      </c>
      <c r="U4" s="1084"/>
      <c r="V4" s="1084" t="s">
        <v>14</v>
      </c>
      <c r="W4" s="1084"/>
      <c r="X4" s="1084" t="s">
        <v>15</v>
      </c>
      <c r="Y4" s="1084"/>
      <c r="Z4" s="1084" t="s">
        <v>16</v>
      </c>
      <c r="AA4" s="1084"/>
      <c r="AB4" s="1084" t="s">
        <v>17</v>
      </c>
      <c r="AC4" s="1084"/>
      <c r="AD4" s="1084" t="s">
        <v>18</v>
      </c>
      <c r="AE4" s="1084"/>
      <c r="AF4" s="238" t="s">
        <v>19</v>
      </c>
    </row>
    <row r="5" spans="1:32" ht="56.25" x14ac:dyDescent="0.25">
      <c r="A5" s="1081"/>
      <c r="B5" s="1081"/>
      <c r="C5" s="1083"/>
      <c r="D5" s="1083"/>
      <c r="E5" s="1083"/>
      <c r="F5" s="239" t="s">
        <v>20</v>
      </c>
      <c r="G5" s="239" t="s">
        <v>21</v>
      </c>
      <c r="H5" s="239" t="s">
        <v>165</v>
      </c>
      <c r="I5" s="239" t="s">
        <v>23</v>
      </c>
      <c r="J5" s="239" t="s">
        <v>165</v>
      </c>
      <c r="K5" s="239" t="s">
        <v>23</v>
      </c>
      <c r="L5" s="239" t="s">
        <v>165</v>
      </c>
      <c r="M5" s="239" t="s">
        <v>23</v>
      </c>
      <c r="N5" s="239" t="s">
        <v>165</v>
      </c>
      <c r="O5" s="239" t="s">
        <v>23</v>
      </c>
      <c r="P5" s="239" t="s">
        <v>165</v>
      </c>
      <c r="Q5" s="239" t="s">
        <v>23</v>
      </c>
      <c r="R5" s="239" t="s">
        <v>165</v>
      </c>
      <c r="S5" s="239" t="s">
        <v>23</v>
      </c>
      <c r="T5" s="239" t="s">
        <v>165</v>
      </c>
      <c r="U5" s="239" t="s">
        <v>23</v>
      </c>
      <c r="V5" s="239" t="s">
        <v>165</v>
      </c>
      <c r="W5" s="239" t="s">
        <v>23</v>
      </c>
      <c r="X5" s="239" t="s">
        <v>165</v>
      </c>
      <c r="Y5" s="239" t="s">
        <v>23</v>
      </c>
      <c r="Z5" s="239" t="s">
        <v>165</v>
      </c>
      <c r="AA5" s="239" t="s">
        <v>23</v>
      </c>
      <c r="AB5" s="239" t="s">
        <v>165</v>
      </c>
      <c r="AC5" s="239" t="s">
        <v>23</v>
      </c>
      <c r="AD5" s="239" t="s">
        <v>165</v>
      </c>
      <c r="AE5" s="239" t="s">
        <v>23</v>
      </c>
      <c r="AF5" s="238"/>
    </row>
    <row r="6" spans="1:32" ht="18.75" x14ac:dyDescent="0.25">
      <c r="A6" s="1088" t="s">
        <v>372</v>
      </c>
      <c r="B6" s="1089"/>
      <c r="C6" s="1089"/>
      <c r="D6" s="1089"/>
      <c r="E6" s="1089"/>
      <c r="F6" s="1089"/>
      <c r="G6" s="1089"/>
      <c r="H6" s="1089"/>
      <c r="I6" s="1089"/>
      <c r="J6" s="1089"/>
      <c r="K6" s="1089"/>
      <c r="L6" s="1089"/>
      <c r="M6" s="1089"/>
      <c r="N6" s="1089"/>
      <c r="O6" s="1089"/>
      <c r="P6" s="1089"/>
      <c r="Q6" s="1089"/>
      <c r="R6" s="1089"/>
      <c r="S6" s="1089"/>
      <c r="T6" s="1089"/>
      <c r="U6" s="1089"/>
      <c r="V6" s="1089"/>
      <c r="W6" s="1089"/>
      <c r="X6" s="1089"/>
      <c r="Y6" s="1089"/>
      <c r="Z6" s="1089"/>
      <c r="AA6" s="1089"/>
      <c r="AB6" s="1089"/>
      <c r="AC6" s="1089"/>
      <c r="AD6" s="1089"/>
      <c r="AE6" s="1089"/>
      <c r="AF6" s="1090"/>
    </row>
    <row r="7" spans="1:32" ht="18.75" x14ac:dyDescent="0.25">
      <c r="A7" s="1085" t="s">
        <v>167</v>
      </c>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1087"/>
    </row>
    <row r="8" spans="1:32" ht="16.5" x14ac:dyDescent="0.25">
      <c r="A8" s="1091" t="s">
        <v>373</v>
      </c>
      <c r="B8" s="1092"/>
      <c r="C8" s="1092"/>
      <c r="D8" s="1092"/>
      <c r="E8" s="1092"/>
      <c r="F8" s="1092"/>
      <c r="G8" s="1092"/>
      <c r="H8" s="1092"/>
      <c r="I8" s="1092"/>
      <c r="J8" s="1092"/>
      <c r="K8" s="1092"/>
      <c r="L8" s="1092"/>
      <c r="M8" s="1092"/>
      <c r="N8" s="1092"/>
      <c r="O8" s="1092"/>
      <c r="P8" s="1092"/>
      <c r="Q8" s="1092"/>
      <c r="R8" s="1092"/>
      <c r="S8" s="1092"/>
      <c r="T8" s="1092"/>
      <c r="U8" s="1092"/>
      <c r="V8" s="1092"/>
      <c r="W8" s="1092"/>
      <c r="X8" s="1092"/>
      <c r="Y8" s="1092"/>
      <c r="Z8" s="1092"/>
      <c r="AA8" s="1092"/>
      <c r="AB8" s="1092"/>
      <c r="AC8" s="1092"/>
      <c r="AD8" s="1092"/>
      <c r="AE8" s="1092"/>
      <c r="AF8" s="1093"/>
    </row>
    <row r="9" spans="1:32" ht="16.5" x14ac:dyDescent="0.25">
      <c r="A9" s="240" t="s">
        <v>31</v>
      </c>
      <c r="B9" s="241">
        <f>B10+B11+B12+B14</f>
        <v>0</v>
      </c>
      <c r="C9" s="241">
        <f>C10+C11+C12+C14</f>
        <v>0</v>
      </c>
      <c r="D9" s="241">
        <f>D10+D11+D12+D14</f>
        <v>0</v>
      </c>
      <c r="E9" s="241">
        <f>E10+E11+E12+E14</f>
        <v>0</v>
      </c>
      <c r="F9" s="241">
        <f>IFERROR(E9/B9*100,0)</f>
        <v>0</v>
      </c>
      <c r="G9" s="241">
        <f>IFERROR(E9/C9*100,0)</f>
        <v>0</v>
      </c>
      <c r="H9" s="241"/>
      <c r="I9" s="241"/>
      <c r="J9" s="241"/>
      <c r="K9" s="241"/>
      <c r="L9" s="241"/>
      <c r="M9" s="241"/>
      <c r="N9" s="241"/>
      <c r="O9" s="241"/>
      <c r="P9" s="241"/>
      <c r="Q9" s="241"/>
      <c r="R9" s="241"/>
      <c r="S9" s="241"/>
      <c r="T9" s="241"/>
      <c r="U9" s="241"/>
      <c r="V9" s="241"/>
      <c r="W9" s="241"/>
      <c r="X9" s="241"/>
      <c r="Y9" s="241"/>
      <c r="Z9" s="241"/>
      <c r="AA9" s="241"/>
      <c r="AB9" s="241"/>
      <c r="AC9" s="241"/>
      <c r="AD9" s="241"/>
      <c r="AE9" s="241"/>
      <c r="AF9" s="1094"/>
    </row>
    <row r="10" spans="1:32" ht="16.5" x14ac:dyDescent="0.25">
      <c r="A10" s="242" t="s">
        <v>169</v>
      </c>
      <c r="B10" s="243"/>
      <c r="C10" s="244"/>
      <c r="D10" s="244"/>
      <c r="E10" s="244"/>
      <c r="F10" s="243"/>
      <c r="G10" s="243"/>
      <c r="H10" s="244"/>
      <c r="I10" s="244"/>
      <c r="J10" s="244"/>
      <c r="K10" s="244"/>
      <c r="L10" s="244"/>
      <c r="M10" s="244"/>
      <c r="N10" s="244"/>
      <c r="O10" s="244"/>
      <c r="P10" s="244"/>
      <c r="Q10" s="244"/>
      <c r="R10" s="244"/>
      <c r="S10" s="244"/>
      <c r="T10" s="244"/>
      <c r="U10" s="244"/>
      <c r="V10" s="244"/>
      <c r="W10" s="244"/>
      <c r="X10" s="244"/>
      <c r="Y10" s="244"/>
      <c r="Z10" s="244"/>
      <c r="AA10" s="244"/>
      <c r="AB10" s="244"/>
      <c r="AC10" s="244"/>
      <c r="AD10" s="244"/>
      <c r="AE10" s="244"/>
      <c r="AF10" s="1095"/>
    </row>
    <row r="11" spans="1:32" ht="16.5" x14ac:dyDescent="0.25">
      <c r="A11" s="242" t="s">
        <v>32</v>
      </c>
      <c r="B11" s="243"/>
      <c r="C11" s="244"/>
      <c r="D11" s="244"/>
      <c r="E11" s="244"/>
      <c r="F11" s="243"/>
      <c r="G11" s="243"/>
      <c r="H11" s="244"/>
      <c r="I11" s="244"/>
      <c r="J11" s="244"/>
      <c r="K11" s="244"/>
      <c r="L11" s="244"/>
      <c r="M11" s="244"/>
      <c r="N11" s="244"/>
      <c r="O11" s="244"/>
      <c r="P11" s="244"/>
      <c r="Q11" s="244"/>
      <c r="R11" s="244"/>
      <c r="S11" s="244"/>
      <c r="T11" s="244"/>
      <c r="U11" s="244"/>
      <c r="V11" s="244"/>
      <c r="W11" s="244"/>
      <c r="X11" s="244"/>
      <c r="Y11" s="244"/>
      <c r="Z11" s="244"/>
      <c r="AA11" s="244"/>
      <c r="AB11" s="244"/>
      <c r="AC11" s="244"/>
      <c r="AD11" s="244"/>
      <c r="AE11" s="244"/>
      <c r="AF11" s="1095"/>
    </row>
    <row r="12" spans="1:32" ht="16.5" x14ac:dyDescent="0.25">
      <c r="A12" s="242" t="s">
        <v>33</v>
      </c>
      <c r="B12" s="243"/>
      <c r="C12" s="244"/>
      <c r="D12" s="244"/>
      <c r="E12" s="244"/>
      <c r="F12" s="243"/>
      <c r="G12" s="243"/>
      <c r="H12" s="244"/>
      <c r="I12" s="244"/>
      <c r="J12" s="244"/>
      <c r="K12" s="244"/>
      <c r="L12" s="244"/>
      <c r="M12" s="244"/>
      <c r="N12" s="244"/>
      <c r="O12" s="244"/>
      <c r="P12" s="244"/>
      <c r="Q12" s="244"/>
      <c r="R12" s="244"/>
      <c r="S12" s="244"/>
      <c r="T12" s="244"/>
      <c r="U12" s="244"/>
      <c r="V12" s="244"/>
      <c r="W12" s="244"/>
      <c r="X12" s="244"/>
      <c r="Y12" s="244"/>
      <c r="Z12" s="244"/>
      <c r="AA12" s="244"/>
      <c r="AB12" s="244"/>
      <c r="AC12" s="244"/>
      <c r="AD12" s="244"/>
      <c r="AE12" s="244"/>
      <c r="AF12" s="1095"/>
    </row>
    <row r="13" spans="1:32" ht="33" x14ac:dyDescent="0.25">
      <c r="A13" s="245" t="s">
        <v>174</v>
      </c>
      <c r="B13" s="246"/>
      <c r="C13" s="247"/>
      <c r="D13" s="247"/>
      <c r="E13" s="247"/>
      <c r="F13" s="246"/>
      <c r="G13" s="246"/>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1095"/>
    </row>
    <row r="14" spans="1:32" ht="16.5" x14ac:dyDescent="0.25">
      <c r="A14" s="248" t="s">
        <v>374</v>
      </c>
      <c r="B14" s="243"/>
      <c r="C14" s="244"/>
      <c r="D14" s="244"/>
      <c r="E14" s="244"/>
      <c r="F14" s="243"/>
      <c r="G14" s="243"/>
      <c r="H14" s="244"/>
      <c r="I14" s="244"/>
      <c r="J14" s="244"/>
      <c r="K14" s="244"/>
      <c r="L14" s="244"/>
      <c r="M14" s="244"/>
      <c r="N14" s="244"/>
      <c r="O14" s="244"/>
      <c r="P14" s="244"/>
      <c r="Q14" s="244"/>
      <c r="R14" s="244"/>
      <c r="S14" s="244"/>
      <c r="T14" s="244"/>
      <c r="U14" s="244"/>
      <c r="V14" s="244"/>
      <c r="W14" s="244"/>
      <c r="X14" s="244"/>
      <c r="Y14" s="244"/>
      <c r="Z14" s="244"/>
      <c r="AA14" s="244"/>
      <c r="AB14" s="244"/>
      <c r="AC14" s="244"/>
      <c r="AD14" s="244"/>
      <c r="AE14" s="244"/>
      <c r="AF14" s="1096"/>
    </row>
    <row r="15" spans="1:32" ht="16.5" x14ac:dyDescent="0.25">
      <c r="A15" s="1091" t="s">
        <v>375</v>
      </c>
      <c r="B15" s="1092"/>
      <c r="C15" s="1092"/>
      <c r="D15" s="1092"/>
      <c r="E15" s="1092"/>
      <c r="F15" s="1092"/>
      <c r="G15" s="1092"/>
      <c r="H15" s="1092"/>
      <c r="I15" s="1092"/>
      <c r="J15" s="1092"/>
      <c r="K15" s="1092"/>
      <c r="L15" s="1092"/>
      <c r="M15" s="1092"/>
      <c r="N15" s="1092"/>
      <c r="O15" s="1092"/>
      <c r="P15" s="1092"/>
      <c r="Q15" s="1092"/>
      <c r="R15" s="1092"/>
      <c r="S15" s="1092"/>
      <c r="T15" s="1092"/>
      <c r="U15" s="1092"/>
      <c r="V15" s="1092"/>
      <c r="W15" s="1092"/>
      <c r="X15" s="1092"/>
      <c r="Y15" s="1092"/>
      <c r="Z15" s="1092"/>
      <c r="AA15" s="1092"/>
      <c r="AB15" s="1092"/>
      <c r="AC15" s="1092"/>
      <c r="AD15" s="1092"/>
      <c r="AE15" s="1092"/>
      <c r="AF15" s="1093"/>
    </row>
    <row r="16" spans="1:32" ht="16.5" x14ac:dyDescent="0.25">
      <c r="A16" s="240" t="s">
        <v>31</v>
      </c>
      <c r="B16" s="241">
        <f>B17+B18+B19+B21</f>
        <v>0</v>
      </c>
      <c r="C16" s="241">
        <f>C17+C18+C19+C21</f>
        <v>0</v>
      </c>
      <c r="D16" s="241">
        <f>D17+D18+D19+D21</f>
        <v>0</v>
      </c>
      <c r="E16" s="241">
        <f>E17+E18+E19+E21</f>
        <v>0</v>
      </c>
      <c r="F16" s="241">
        <f>IFERROR(E16/B16*100,0)</f>
        <v>0</v>
      </c>
      <c r="G16" s="241">
        <f>IFERROR(E16/C16*100,0)</f>
        <v>0</v>
      </c>
      <c r="H16" s="241"/>
      <c r="I16" s="241"/>
      <c r="J16" s="241"/>
      <c r="K16" s="241"/>
      <c r="L16" s="241"/>
      <c r="M16" s="241"/>
      <c r="N16" s="241"/>
      <c r="O16" s="241"/>
      <c r="P16" s="241"/>
      <c r="Q16" s="241"/>
      <c r="R16" s="241"/>
      <c r="S16" s="241"/>
      <c r="T16" s="241"/>
      <c r="U16" s="241"/>
      <c r="V16" s="241"/>
      <c r="W16" s="241"/>
      <c r="X16" s="241"/>
      <c r="Y16" s="241"/>
      <c r="Z16" s="241"/>
      <c r="AA16" s="241"/>
      <c r="AB16" s="241"/>
      <c r="AC16" s="241"/>
      <c r="AD16" s="241"/>
      <c r="AE16" s="241"/>
      <c r="AF16" s="1097"/>
    </row>
    <row r="17" spans="1:32" ht="16.5" x14ac:dyDescent="0.25">
      <c r="A17" s="242" t="s">
        <v>169</v>
      </c>
      <c r="B17" s="243"/>
      <c r="C17" s="243"/>
      <c r="D17" s="243"/>
      <c r="E17" s="243"/>
      <c r="F17" s="243"/>
      <c r="G17" s="243"/>
      <c r="H17" s="243"/>
      <c r="I17" s="243"/>
      <c r="J17" s="243"/>
      <c r="K17" s="243"/>
      <c r="L17" s="243"/>
      <c r="M17" s="243"/>
      <c r="N17" s="243"/>
      <c r="O17" s="243"/>
      <c r="P17" s="243"/>
      <c r="Q17" s="243"/>
      <c r="R17" s="243"/>
      <c r="S17" s="243"/>
      <c r="T17" s="243"/>
      <c r="U17" s="243"/>
      <c r="V17" s="243"/>
      <c r="W17" s="243"/>
      <c r="X17" s="243"/>
      <c r="Y17" s="243"/>
      <c r="Z17" s="243"/>
      <c r="AA17" s="243"/>
      <c r="AB17" s="243"/>
      <c r="AC17" s="243"/>
      <c r="AD17" s="243"/>
      <c r="AE17" s="243"/>
      <c r="AF17" s="1097"/>
    </row>
    <row r="18" spans="1:32" ht="16.5" x14ac:dyDescent="0.25">
      <c r="A18" s="242" t="s">
        <v>32</v>
      </c>
      <c r="B18" s="243"/>
      <c r="C18" s="243"/>
      <c r="D18" s="243"/>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1097"/>
    </row>
    <row r="19" spans="1:32" ht="16.5" x14ac:dyDescent="0.25">
      <c r="A19" s="250" t="s">
        <v>33</v>
      </c>
      <c r="B19" s="243"/>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243"/>
      <c r="AF19" s="1097"/>
    </row>
    <row r="20" spans="1:32" ht="33" x14ac:dyDescent="0.25">
      <c r="A20" s="245" t="s">
        <v>174</v>
      </c>
      <c r="B20" s="246"/>
      <c r="C20" s="243"/>
      <c r="D20" s="246"/>
      <c r="E20" s="246"/>
      <c r="F20" s="246"/>
      <c r="G20" s="246"/>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1097"/>
    </row>
    <row r="21" spans="1:32" ht="16.5" x14ac:dyDescent="0.25">
      <c r="A21" s="248" t="s">
        <v>374</v>
      </c>
      <c r="B21" s="243"/>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1097"/>
    </row>
    <row r="22" spans="1:32" ht="18.75" x14ac:dyDescent="0.25">
      <c r="A22" s="1085" t="s">
        <v>54</v>
      </c>
      <c r="B22" s="1086"/>
      <c r="C22" s="1086"/>
      <c r="D22" s="1086"/>
      <c r="E22" s="1086"/>
      <c r="F22" s="1086"/>
      <c r="G22" s="1086"/>
      <c r="H22" s="1086"/>
      <c r="I22" s="1086"/>
      <c r="J22" s="1086"/>
      <c r="K22" s="1086"/>
      <c r="L22" s="1086"/>
      <c r="M22" s="1086"/>
      <c r="N22" s="1086"/>
      <c r="O22" s="1086"/>
      <c r="P22" s="1086"/>
      <c r="Q22" s="1086"/>
      <c r="R22" s="1086"/>
      <c r="S22" s="1086"/>
      <c r="T22" s="1086"/>
      <c r="U22" s="1086"/>
      <c r="V22" s="1086"/>
      <c r="W22" s="1086"/>
      <c r="X22" s="1086"/>
      <c r="Y22" s="1086"/>
      <c r="Z22" s="1086"/>
      <c r="AA22" s="1086"/>
      <c r="AB22" s="1086"/>
      <c r="AC22" s="1086"/>
      <c r="AD22" s="1086"/>
      <c r="AE22" s="1086"/>
      <c r="AF22" s="251"/>
    </row>
    <row r="23" spans="1:32" ht="16.5" x14ac:dyDescent="0.25">
      <c r="A23" s="1091" t="s">
        <v>376</v>
      </c>
      <c r="B23" s="1092"/>
      <c r="C23" s="1092"/>
      <c r="D23" s="1092"/>
      <c r="E23" s="1092"/>
      <c r="F23" s="1092"/>
      <c r="G23" s="1092"/>
      <c r="H23" s="1092"/>
      <c r="I23" s="1092"/>
      <c r="J23" s="1092"/>
      <c r="K23" s="1092"/>
      <c r="L23" s="1092"/>
      <c r="M23" s="1092"/>
      <c r="N23" s="1092"/>
      <c r="O23" s="1092"/>
      <c r="P23" s="1092"/>
      <c r="Q23" s="1092"/>
      <c r="R23" s="1092"/>
      <c r="S23" s="1092"/>
      <c r="T23" s="1092"/>
      <c r="U23" s="1092"/>
      <c r="V23" s="1092"/>
      <c r="W23" s="1092"/>
      <c r="X23" s="1092"/>
      <c r="Y23" s="1092"/>
      <c r="Z23" s="1092"/>
      <c r="AA23" s="1092"/>
      <c r="AB23" s="1092"/>
      <c r="AC23" s="1092"/>
      <c r="AD23" s="1092"/>
      <c r="AE23" s="1092"/>
      <c r="AF23" s="1093"/>
    </row>
    <row r="24" spans="1:32" ht="16.5" x14ac:dyDescent="0.25">
      <c r="A24" s="252" t="s">
        <v>31</v>
      </c>
      <c r="B24" s="253">
        <f t="shared" ref="B24:AE24" si="0">B25+B26+B27+B29</f>
        <v>10.800000000000002</v>
      </c>
      <c r="C24" s="253">
        <f t="shared" si="0"/>
        <v>3.6</v>
      </c>
      <c r="D24" s="253">
        <f t="shared" si="0"/>
        <v>0</v>
      </c>
      <c r="E24" s="253">
        <f t="shared" si="0"/>
        <v>0</v>
      </c>
      <c r="F24" s="241">
        <f>IFERROR(E24/B24*100,0)</f>
        <v>0</v>
      </c>
      <c r="G24" s="241">
        <f>IFERROR(E24/C24*100,0)</f>
        <v>0</v>
      </c>
      <c r="H24" s="253">
        <f t="shared" si="0"/>
        <v>0</v>
      </c>
      <c r="I24" s="253">
        <f t="shared" si="0"/>
        <v>0</v>
      </c>
      <c r="J24" s="253">
        <f t="shared" si="0"/>
        <v>0.9</v>
      </c>
      <c r="K24" s="253">
        <f t="shared" si="0"/>
        <v>0</v>
      </c>
      <c r="L24" s="253">
        <f t="shared" si="0"/>
        <v>0.9</v>
      </c>
      <c r="M24" s="253">
        <f t="shared" si="0"/>
        <v>0</v>
      </c>
      <c r="N24" s="253">
        <f t="shared" si="0"/>
        <v>0.9</v>
      </c>
      <c r="O24" s="253">
        <f t="shared" si="0"/>
        <v>0</v>
      </c>
      <c r="P24" s="253">
        <f t="shared" si="0"/>
        <v>0.9</v>
      </c>
      <c r="Q24" s="253">
        <f t="shared" si="0"/>
        <v>0</v>
      </c>
      <c r="R24" s="253">
        <f t="shared" si="0"/>
        <v>0.9</v>
      </c>
      <c r="S24" s="253">
        <f t="shared" si="0"/>
        <v>0</v>
      </c>
      <c r="T24" s="253">
        <f t="shared" si="0"/>
        <v>0.9</v>
      </c>
      <c r="U24" s="253">
        <f t="shared" si="0"/>
        <v>0</v>
      </c>
      <c r="V24" s="253">
        <f t="shared" si="0"/>
        <v>0.9</v>
      </c>
      <c r="W24" s="253">
        <f t="shared" si="0"/>
        <v>0</v>
      </c>
      <c r="X24" s="253">
        <f t="shared" si="0"/>
        <v>0.9</v>
      </c>
      <c r="Y24" s="253">
        <f t="shared" si="0"/>
        <v>0</v>
      </c>
      <c r="Z24" s="253">
        <f t="shared" si="0"/>
        <v>0.9</v>
      </c>
      <c r="AA24" s="253">
        <f t="shared" si="0"/>
        <v>0</v>
      </c>
      <c r="AB24" s="253">
        <f t="shared" si="0"/>
        <v>0.9</v>
      </c>
      <c r="AC24" s="253">
        <f t="shared" si="0"/>
        <v>0</v>
      </c>
      <c r="AD24" s="253">
        <f t="shared" si="0"/>
        <v>1.8</v>
      </c>
      <c r="AE24" s="253">
        <f t="shared" si="0"/>
        <v>0</v>
      </c>
      <c r="AF24" s="1098" t="s">
        <v>584</v>
      </c>
    </row>
    <row r="25" spans="1:32" ht="16.5" x14ac:dyDescent="0.25">
      <c r="A25" s="250" t="s">
        <v>169</v>
      </c>
      <c r="B25" s="243"/>
      <c r="C25" s="243"/>
      <c r="D25" s="243"/>
      <c r="E25" s="243"/>
      <c r="F25" s="243"/>
      <c r="G25" s="243"/>
      <c r="H25" s="243"/>
      <c r="I25" s="243"/>
      <c r="J25" s="243"/>
      <c r="K25" s="243"/>
      <c r="L25" s="243"/>
      <c r="M25" s="243"/>
      <c r="N25" s="243"/>
      <c r="O25" s="243"/>
      <c r="P25" s="243"/>
      <c r="Q25" s="243"/>
      <c r="R25" s="243"/>
      <c r="S25" s="243"/>
      <c r="T25" s="243"/>
      <c r="U25" s="243"/>
      <c r="V25" s="243"/>
      <c r="W25" s="243"/>
      <c r="X25" s="243"/>
      <c r="Y25" s="243"/>
      <c r="Z25" s="243"/>
      <c r="AA25" s="243"/>
      <c r="AB25" s="243"/>
      <c r="AC25" s="243"/>
      <c r="AD25" s="243"/>
      <c r="AE25" s="243"/>
      <c r="AF25" s="1099"/>
    </row>
    <row r="26" spans="1:32" ht="16.5" x14ac:dyDescent="0.25">
      <c r="A26" s="250" t="s">
        <v>32</v>
      </c>
      <c r="B26" s="243"/>
      <c r="C26" s="243"/>
      <c r="D26" s="243"/>
      <c r="E26" s="243"/>
      <c r="F26" s="243"/>
      <c r="G26" s="243"/>
      <c r="H26" s="243"/>
      <c r="I26" s="243"/>
      <c r="J26" s="243"/>
      <c r="K26" s="243"/>
      <c r="L26" s="243"/>
      <c r="M26" s="243"/>
      <c r="N26" s="243"/>
      <c r="O26" s="243"/>
      <c r="P26" s="243"/>
      <c r="Q26" s="243"/>
      <c r="R26" s="243"/>
      <c r="S26" s="243"/>
      <c r="T26" s="243"/>
      <c r="U26" s="243"/>
      <c r="V26" s="243"/>
      <c r="W26" s="243"/>
      <c r="X26" s="243"/>
      <c r="Y26" s="243"/>
      <c r="Z26" s="243"/>
      <c r="AA26" s="243"/>
      <c r="AB26" s="243"/>
      <c r="AC26" s="243"/>
      <c r="AD26" s="243"/>
      <c r="AE26" s="243"/>
      <c r="AF26" s="1099"/>
    </row>
    <row r="27" spans="1:32" ht="16.5" x14ac:dyDescent="0.25">
      <c r="A27" s="250" t="s">
        <v>33</v>
      </c>
      <c r="B27" s="243">
        <f>H27+J27+L27+N27+P27+R27+T27+V27+X27+Z27+AB27+AD27</f>
        <v>10.800000000000002</v>
      </c>
      <c r="C27" s="243">
        <f>H27+J27+L27+N27+P27</f>
        <v>3.6</v>
      </c>
      <c r="D27" s="243">
        <f>E27</f>
        <v>0</v>
      </c>
      <c r="E27" s="243">
        <f>I27+K27+M27+O27+Q27+S27+U27+W27+Y27+AA27+AC27+AE27</f>
        <v>0</v>
      </c>
      <c r="F27" s="243">
        <v>0</v>
      </c>
      <c r="G27" s="243">
        <v>0</v>
      </c>
      <c r="H27" s="243">
        <v>0</v>
      </c>
      <c r="I27" s="243">
        <v>0</v>
      </c>
      <c r="J27" s="243">
        <v>0.9</v>
      </c>
      <c r="K27" s="243">
        <v>0</v>
      </c>
      <c r="L27" s="243">
        <v>0.9</v>
      </c>
      <c r="M27" s="243">
        <v>0</v>
      </c>
      <c r="N27" s="243">
        <v>0.9</v>
      </c>
      <c r="O27" s="243">
        <v>0</v>
      </c>
      <c r="P27" s="243">
        <v>0.9</v>
      </c>
      <c r="Q27" s="243">
        <v>0</v>
      </c>
      <c r="R27" s="243">
        <v>0.9</v>
      </c>
      <c r="S27" s="243">
        <v>0</v>
      </c>
      <c r="T27" s="243">
        <v>0.9</v>
      </c>
      <c r="U27" s="243">
        <v>0</v>
      </c>
      <c r="V27" s="243">
        <v>0.9</v>
      </c>
      <c r="W27" s="243">
        <v>0</v>
      </c>
      <c r="X27" s="243">
        <v>0.9</v>
      </c>
      <c r="Y27" s="243">
        <v>0</v>
      </c>
      <c r="Z27" s="243">
        <v>0.9</v>
      </c>
      <c r="AA27" s="243">
        <v>0</v>
      </c>
      <c r="AB27" s="243">
        <v>0.9</v>
      </c>
      <c r="AC27" s="243">
        <v>0</v>
      </c>
      <c r="AD27" s="243">
        <v>1.8</v>
      </c>
      <c r="AE27" s="243">
        <v>0</v>
      </c>
      <c r="AF27" s="1099"/>
    </row>
    <row r="28" spans="1:32" ht="33" x14ac:dyDescent="0.25">
      <c r="A28" s="245" t="s">
        <v>174</v>
      </c>
      <c r="B28" s="246"/>
      <c r="C28" s="243"/>
      <c r="D28" s="243"/>
      <c r="E28" s="243"/>
      <c r="F28" s="243"/>
      <c r="G28" s="243"/>
      <c r="H28" s="246"/>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1099"/>
    </row>
    <row r="29" spans="1:32" ht="16.5" x14ac:dyDescent="0.25">
      <c r="A29" s="248" t="s">
        <v>374</v>
      </c>
      <c r="B29" s="243"/>
      <c r="C29" s="243"/>
      <c r="D29" s="243"/>
      <c r="E29" s="243"/>
      <c r="F29" s="243"/>
      <c r="G29" s="243"/>
      <c r="H29" s="243"/>
      <c r="I29" s="243"/>
      <c r="J29" s="243"/>
      <c r="K29" s="243"/>
      <c r="L29" s="243"/>
      <c r="M29" s="243"/>
      <c r="N29" s="243"/>
      <c r="O29" s="243"/>
      <c r="P29" s="243"/>
      <c r="Q29" s="243"/>
      <c r="R29" s="243"/>
      <c r="S29" s="243"/>
      <c r="T29" s="243"/>
      <c r="U29" s="243"/>
      <c r="V29" s="243"/>
      <c r="W29" s="243"/>
      <c r="X29" s="243"/>
      <c r="Y29" s="243"/>
      <c r="Z29" s="243"/>
      <c r="AA29" s="243"/>
      <c r="AB29" s="243"/>
      <c r="AC29" s="243"/>
      <c r="AD29" s="243"/>
      <c r="AE29" s="243"/>
      <c r="AF29" s="1100"/>
    </row>
    <row r="30" spans="1:32" ht="16.5" x14ac:dyDescent="0.25">
      <c r="A30" s="1091" t="s">
        <v>377</v>
      </c>
      <c r="B30" s="1092"/>
      <c r="C30" s="1092"/>
      <c r="D30" s="1092"/>
      <c r="E30" s="1092"/>
      <c r="F30" s="1092"/>
      <c r="G30" s="1092"/>
      <c r="H30" s="1092"/>
      <c r="I30" s="1092"/>
      <c r="J30" s="1092"/>
      <c r="K30" s="1092"/>
      <c r="L30" s="1092"/>
      <c r="M30" s="1092"/>
      <c r="N30" s="1092"/>
      <c r="O30" s="1092"/>
      <c r="P30" s="1092"/>
      <c r="Q30" s="1092"/>
      <c r="R30" s="1092"/>
      <c r="S30" s="1092"/>
      <c r="T30" s="1092"/>
      <c r="U30" s="1092"/>
      <c r="V30" s="1092"/>
      <c r="W30" s="1092"/>
      <c r="X30" s="1092"/>
      <c r="Y30" s="1092"/>
      <c r="Z30" s="1092"/>
      <c r="AA30" s="1092"/>
      <c r="AB30" s="1092"/>
      <c r="AC30" s="1092"/>
      <c r="AD30" s="1092"/>
      <c r="AE30" s="1092"/>
      <c r="AF30" s="1093"/>
    </row>
    <row r="31" spans="1:32" ht="16.5" x14ac:dyDescent="0.25">
      <c r="A31" s="255" t="s">
        <v>31</v>
      </c>
      <c r="B31" s="253">
        <f>B32+B33+B34+B36</f>
        <v>0</v>
      </c>
      <c r="C31" s="253">
        <f>C32+C33+C34+C36</f>
        <v>0</v>
      </c>
      <c r="D31" s="253">
        <f>D32+D33+D34+D36</f>
        <v>0</v>
      </c>
      <c r="E31" s="253">
        <f>E32+E33+E34+E36</f>
        <v>0</v>
      </c>
      <c r="F31" s="241">
        <f>IFERROR(E31/B31*100,0)</f>
        <v>0</v>
      </c>
      <c r="G31" s="241">
        <f>IFERROR(E31/C31*100,0)</f>
        <v>0</v>
      </c>
      <c r="H31" s="253">
        <f>H32+H33+H34+H36</f>
        <v>0</v>
      </c>
      <c r="I31" s="253">
        <f t="shared" ref="I31:AE31" si="1">I32+I33+I34+I36</f>
        <v>0</v>
      </c>
      <c r="J31" s="253">
        <f t="shared" si="1"/>
        <v>0</v>
      </c>
      <c r="K31" s="253">
        <f t="shared" si="1"/>
        <v>0</v>
      </c>
      <c r="L31" s="253">
        <f t="shared" si="1"/>
        <v>0</v>
      </c>
      <c r="M31" s="253">
        <f t="shared" si="1"/>
        <v>0</v>
      </c>
      <c r="N31" s="253">
        <f t="shared" si="1"/>
        <v>0</v>
      </c>
      <c r="O31" s="253">
        <f t="shared" si="1"/>
        <v>0</v>
      </c>
      <c r="P31" s="253">
        <f t="shared" si="1"/>
        <v>0</v>
      </c>
      <c r="Q31" s="253">
        <f t="shared" si="1"/>
        <v>0</v>
      </c>
      <c r="R31" s="253">
        <f t="shared" si="1"/>
        <v>0</v>
      </c>
      <c r="S31" s="253">
        <f t="shared" si="1"/>
        <v>0</v>
      </c>
      <c r="T31" s="253">
        <f t="shared" si="1"/>
        <v>0</v>
      </c>
      <c r="U31" s="253">
        <f t="shared" si="1"/>
        <v>0</v>
      </c>
      <c r="V31" s="253">
        <f t="shared" si="1"/>
        <v>0</v>
      </c>
      <c r="W31" s="253">
        <f t="shared" si="1"/>
        <v>0</v>
      </c>
      <c r="X31" s="253">
        <f t="shared" si="1"/>
        <v>0</v>
      </c>
      <c r="Y31" s="253">
        <f t="shared" si="1"/>
        <v>0</v>
      </c>
      <c r="Z31" s="253">
        <f t="shared" si="1"/>
        <v>0</v>
      </c>
      <c r="AA31" s="253">
        <f t="shared" si="1"/>
        <v>0</v>
      </c>
      <c r="AB31" s="253">
        <f t="shared" si="1"/>
        <v>0</v>
      </c>
      <c r="AC31" s="253">
        <f t="shared" si="1"/>
        <v>0</v>
      </c>
      <c r="AD31" s="253">
        <f t="shared" si="1"/>
        <v>0</v>
      </c>
      <c r="AE31" s="253">
        <f t="shared" si="1"/>
        <v>0</v>
      </c>
      <c r="AF31" s="254"/>
    </row>
    <row r="32" spans="1:32" ht="16.5" x14ac:dyDescent="0.25">
      <c r="A32" s="250" t="s">
        <v>169</v>
      </c>
      <c r="B32" s="243"/>
      <c r="C32" s="243"/>
      <c r="D32" s="243"/>
      <c r="E32" s="243"/>
      <c r="F32" s="243"/>
      <c r="G32" s="243"/>
      <c r="H32" s="243"/>
      <c r="I32" s="243"/>
      <c r="J32" s="243"/>
      <c r="K32" s="243"/>
      <c r="L32" s="243"/>
      <c r="M32" s="243"/>
      <c r="N32" s="243"/>
      <c r="O32" s="243"/>
      <c r="P32" s="243"/>
      <c r="Q32" s="243"/>
      <c r="R32" s="243"/>
      <c r="S32" s="243"/>
      <c r="T32" s="243"/>
      <c r="U32" s="243"/>
      <c r="V32" s="243"/>
      <c r="W32" s="243"/>
      <c r="X32" s="243"/>
      <c r="Y32" s="243"/>
      <c r="Z32" s="243"/>
      <c r="AA32" s="243"/>
      <c r="AB32" s="243"/>
      <c r="AC32" s="243"/>
      <c r="AD32" s="243"/>
      <c r="AE32" s="243"/>
      <c r="AF32" s="254"/>
    </row>
    <row r="33" spans="1:32" ht="16.5" x14ac:dyDescent="0.25">
      <c r="A33" s="250" t="s">
        <v>32</v>
      </c>
      <c r="B33" s="243"/>
      <c r="C33" s="243"/>
      <c r="D33" s="243"/>
      <c r="E33" s="243"/>
      <c r="F33" s="243"/>
      <c r="G33" s="243"/>
      <c r="H33" s="243"/>
      <c r="I33" s="243"/>
      <c r="J33" s="243"/>
      <c r="K33" s="243"/>
      <c r="L33" s="243"/>
      <c r="M33" s="243"/>
      <c r="N33" s="243"/>
      <c r="O33" s="243"/>
      <c r="P33" s="243"/>
      <c r="Q33" s="243"/>
      <c r="R33" s="243"/>
      <c r="S33" s="243"/>
      <c r="T33" s="243"/>
      <c r="U33" s="243"/>
      <c r="V33" s="243"/>
      <c r="W33" s="243"/>
      <c r="X33" s="243"/>
      <c r="Y33" s="243"/>
      <c r="Z33" s="243"/>
      <c r="AA33" s="243"/>
      <c r="AB33" s="243"/>
      <c r="AC33" s="243"/>
      <c r="AD33" s="243"/>
      <c r="AE33" s="243"/>
      <c r="AF33" s="254"/>
    </row>
    <row r="34" spans="1:32" ht="16.5" x14ac:dyDescent="0.25">
      <c r="A34" s="250" t="s">
        <v>33</v>
      </c>
      <c r="B34" s="243"/>
      <c r="C34" s="243"/>
      <c r="D34" s="243"/>
      <c r="E34" s="243"/>
      <c r="F34" s="243"/>
      <c r="G34" s="243"/>
      <c r="H34" s="243"/>
      <c r="I34" s="243"/>
      <c r="J34" s="243"/>
      <c r="K34" s="243"/>
      <c r="L34" s="243"/>
      <c r="M34" s="243"/>
      <c r="N34" s="243"/>
      <c r="O34" s="243"/>
      <c r="P34" s="243"/>
      <c r="Q34" s="243"/>
      <c r="R34" s="243"/>
      <c r="S34" s="243"/>
      <c r="T34" s="243"/>
      <c r="U34" s="243"/>
      <c r="V34" s="243"/>
      <c r="W34" s="243"/>
      <c r="X34" s="243"/>
      <c r="Y34" s="243"/>
      <c r="Z34" s="243"/>
      <c r="AA34" s="243"/>
      <c r="AB34" s="243"/>
      <c r="AC34" s="243"/>
      <c r="AD34" s="243"/>
      <c r="AE34" s="243"/>
      <c r="AF34" s="254"/>
    </row>
    <row r="35" spans="1:32" ht="33" x14ac:dyDescent="0.25">
      <c r="A35" s="245" t="s">
        <v>174</v>
      </c>
      <c r="B35" s="246"/>
      <c r="C35" s="243"/>
      <c r="D35" s="246"/>
      <c r="E35" s="246"/>
      <c r="F35" s="243"/>
      <c r="G35" s="243"/>
      <c r="H35" s="246"/>
      <c r="I35" s="246"/>
      <c r="J35" s="246"/>
      <c r="K35" s="246"/>
      <c r="L35" s="246"/>
      <c r="M35" s="246"/>
      <c r="N35" s="246"/>
      <c r="O35" s="246"/>
      <c r="P35" s="246"/>
      <c r="Q35" s="246"/>
      <c r="R35" s="246"/>
      <c r="S35" s="246"/>
      <c r="T35" s="246"/>
      <c r="U35" s="246"/>
      <c r="V35" s="246"/>
      <c r="W35" s="246"/>
      <c r="X35" s="246"/>
      <c r="Y35" s="246"/>
      <c r="Z35" s="246"/>
      <c r="AA35" s="246"/>
      <c r="AB35" s="246"/>
      <c r="AC35" s="246"/>
      <c r="AD35" s="246"/>
      <c r="AE35" s="246"/>
      <c r="AF35" s="254"/>
    </row>
    <row r="36" spans="1:32" ht="16.5" x14ac:dyDescent="0.25">
      <c r="A36" s="248" t="s">
        <v>374</v>
      </c>
      <c r="B36" s="243"/>
      <c r="C36" s="243"/>
      <c r="D36" s="243"/>
      <c r="E36" s="243"/>
      <c r="F36" s="243"/>
      <c r="G36" s="243"/>
      <c r="H36" s="243"/>
      <c r="I36" s="243"/>
      <c r="J36" s="243"/>
      <c r="K36" s="243"/>
      <c r="L36" s="243"/>
      <c r="M36" s="243"/>
      <c r="N36" s="243"/>
      <c r="O36" s="243"/>
      <c r="P36" s="243"/>
      <c r="Q36" s="243"/>
      <c r="R36" s="243"/>
      <c r="S36" s="243"/>
      <c r="T36" s="243"/>
      <c r="U36" s="243"/>
      <c r="V36" s="243"/>
      <c r="W36" s="243"/>
      <c r="X36" s="243"/>
      <c r="Y36" s="243"/>
      <c r="Z36" s="243"/>
      <c r="AA36" s="243"/>
      <c r="AB36" s="243"/>
      <c r="AC36" s="243"/>
      <c r="AD36" s="243"/>
      <c r="AE36" s="243"/>
      <c r="AF36" s="254"/>
    </row>
    <row r="37" spans="1:32" ht="16.5" x14ac:dyDescent="0.25">
      <c r="A37" s="256" t="s">
        <v>53</v>
      </c>
      <c r="B37" s="243"/>
      <c r="C37" s="243"/>
      <c r="D37" s="243"/>
      <c r="E37" s="243"/>
      <c r="F37" s="243"/>
      <c r="G37" s="243"/>
      <c r="H37" s="243"/>
      <c r="I37" s="243"/>
      <c r="J37" s="243"/>
      <c r="K37" s="243"/>
      <c r="L37" s="243"/>
      <c r="M37" s="243"/>
      <c r="N37" s="243"/>
      <c r="O37" s="243"/>
      <c r="P37" s="243"/>
      <c r="Q37" s="243"/>
      <c r="R37" s="243"/>
      <c r="S37" s="243"/>
      <c r="T37" s="243"/>
      <c r="U37" s="243"/>
      <c r="V37" s="243"/>
      <c r="W37" s="243"/>
      <c r="X37" s="243"/>
      <c r="Y37" s="243"/>
      <c r="Z37" s="243"/>
      <c r="AA37" s="243"/>
      <c r="AB37" s="243"/>
      <c r="AC37" s="243"/>
      <c r="AD37" s="243"/>
      <c r="AE37" s="243"/>
      <c r="AF37" s="254"/>
    </row>
    <row r="38" spans="1:32" ht="16.5" x14ac:dyDescent="0.25">
      <c r="A38" s="257" t="s">
        <v>31</v>
      </c>
      <c r="B38" s="253">
        <f>B39+B40+B41+B43</f>
        <v>10.800000000000002</v>
      </c>
      <c r="C38" s="253">
        <f>C39+C40+C41+C43</f>
        <v>3.6</v>
      </c>
      <c r="D38" s="253">
        <f>D39+D40+D41+D43</f>
        <v>0</v>
      </c>
      <c r="E38" s="253">
        <f>E39+E40+E41+E43</f>
        <v>0</v>
      </c>
      <c r="F38" s="241">
        <f>IFERROR(E38/B38*100,0)</f>
        <v>0</v>
      </c>
      <c r="G38" s="241">
        <f>IFERROR(E38/C38*100,0)</f>
        <v>0</v>
      </c>
      <c r="H38" s="253">
        <f t="shared" ref="H38:AE38" si="2">H39+H40+H41+H43</f>
        <v>0</v>
      </c>
      <c r="I38" s="253">
        <f t="shared" si="2"/>
        <v>0</v>
      </c>
      <c r="J38" s="253">
        <f t="shared" si="2"/>
        <v>0.9</v>
      </c>
      <c r="K38" s="253">
        <f t="shared" si="2"/>
        <v>0</v>
      </c>
      <c r="L38" s="253">
        <f t="shared" si="2"/>
        <v>0.9</v>
      </c>
      <c r="M38" s="253">
        <f t="shared" si="2"/>
        <v>0</v>
      </c>
      <c r="N38" s="253">
        <f t="shared" si="2"/>
        <v>0.9</v>
      </c>
      <c r="O38" s="253">
        <f t="shared" si="2"/>
        <v>0</v>
      </c>
      <c r="P38" s="253">
        <f t="shared" si="2"/>
        <v>0.9</v>
      </c>
      <c r="Q38" s="253">
        <f t="shared" si="2"/>
        <v>0</v>
      </c>
      <c r="R38" s="253">
        <f t="shared" si="2"/>
        <v>0.9</v>
      </c>
      <c r="S38" s="253">
        <f t="shared" si="2"/>
        <v>0</v>
      </c>
      <c r="T38" s="253">
        <f t="shared" si="2"/>
        <v>0.9</v>
      </c>
      <c r="U38" s="253">
        <f t="shared" si="2"/>
        <v>0</v>
      </c>
      <c r="V38" s="253">
        <f t="shared" si="2"/>
        <v>0.9</v>
      </c>
      <c r="W38" s="253">
        <f t="shared" si="2"/>
        <v>0</v>
      </c>
      <c r="X38" s="253">
        <f t="shared" si="2"/>
        <v>0.9</v>
      </c>
      <c r="Y38" s="253">
        <f t="shared" si="2"/>
        <v>0</v>
      </c>
      <c r="Z38" s="253">
        <f t="shared" si="2"/>
        <v>0.9</v>
      </c>
      <c r="AA38" s="253">
        <f t="shared" si="2"/>
        <v>0</v>
      </c>
      <c r="AB38" s="253">
        <f t="shared" si="2"/>
        <v>0.9</v>
      </c>
      <c r="AC38" s="253">
        <f t="shared" si="2"/>
        <v>0</v>
      </c>
      <c r="AD38" s="253">
        <f t="shared" si="2"/>
        <v>1.8</v>
      </c>
      <c r="AE38" s="253">
        <f t="shared" si="2"/>
        <v>0</v>
      </c>
      <c r="AF38" s="1101"/>
    </row>
    <row r="39" spans="1:32" ht="16.5" x14ac:dyDescent="0.25">
      <c r="A39" s="259" t="s">
        <v>169</v>
      </c>
      <c r="B39" s="243"/>
      <c r="C39" s="243"/>
      <c r="D39" s="243"/>
      <c r="E39" s="243"/>
      <c r="F39" s="243"/>
      <c r="G39" s="243"/>
      <c r="H39" s="243"/>
      <c r="I39" s="243"/>
      <c r="J39" s="243"/>
      <c r="K39" s="243"/>
      <c r="L39" s="243"/>
      <c r="M39" s="243"/>
      <c r="N39" s="243"/>
      <c r="O39" s="243"/>
      <c r="P39" s="243"/>
      <c r="Q39" s="243"/>
      <c r="R39" s="243"/>
      <c r="S39" s="243"/>
      <c r="T39" s="243"/>
      <c r="U39" s="243"/>
      <c r="V39" s="243"/>
      <c r="W39" s="243"/>
      <c r="X39" s="243"/>
      <c r="Y39" s="243"/>
      <c r="Z39" s="243"/>
      <c r="AA39" s="243"/>
      <c r="AB39" s="243"/>
      <c r="AC39" s="243"/>
      <c r="AD39" s="243"/>
      <c r="AE39" s="243"/>
      <c r="AF39" s="1101"/>
    </row>
    <row r="40" spans="1:32" ht="16.5" x14ac:dyDescent="0.25">
      <c r="A40" s="259" t="s">
        <v>32</v>
      </c>
      <c r="B40" s="243"/>
      <c r="C40" s="243"/>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3"/>
      <c r="AD40" s="243"/>
      <c r="AE40" s="243"/>
      <c r="AF40" s="1101"/>
    </row>
    <row r="41" spans="1:32" ht="16.5" x14ac:dyDescent="0.25">
      <c r="A41" s="259" t="s">
        <v>33</v>
      </c>
      <c r="B41" s="243">
        <f>H41+J41+L41+N41+P41+R41+T41+V41+X41+Z41+AB41+AD41</f>
        <v>10.800000000000002</v>
      </c>
      <c r="C41" s="243">
        <f>C27+C12+C34</f>
        <v>3.6</v>
      </c>
      <c r="D41" s="243">
        <f>D27+D12+D34</f>
        <v>0</v>
      </c>
      <c r="E41" s="243">
        <f>E27+E12+E34</f>
        <v>0</v>
      </c>
      <c r="F41" s="243">
        <f>IFERROR(E41/B41*100,0)</f>
        <v>0</v>
      </c>
      <c r="G41" s="243">
        <f>IFERROR(E41/C41*100,0)</f>
        <v>0</v>
      </c>
      <c r="H41" s="243">
        <f t="shared" ref="H41:AE41" si="3">H27+H12+H34</f>
        <v>0</v>
      </c>
      <c r="I41" s="243">
        <f t="shared" si="3"/>
        <v>0</v>
      </c>
      <c r="J41" s="243">
        <f t="shared" si="3"/>
        <v>0.9</v>
      </c>
      <c r="K41" s="243">
        <f t="shared" si="3"/>
        <v>0</v>
      </c>
      <c r="L41" s="243">
        <f t="shared" si="3"/>
        <v>0.9</v>
      </c>
      <c r="M41" s="243">
        <f t="shared" si="3"/>
        <v>0</v>
      </c>
      <c r="N41" s="243">
        <f t="shared" si="3"/>
        <v>0.9</v>
      </c>
      <c r="O41" s="243">
        <f t="shared" si="3"/>
        <v>0</v>
      </c>
      <c r="P41" s="243">
        <f t="shared" si="3"/>
        <v>0.9</v>
      </c>
      <c r="Q41" s="243">
        <f t="shared" si="3"/>
        <v>0</v>
      </c>
      <c r="R41" s="243">
        <f t="shared" si="3"/>
        <v>0.9</v>
      </c>
      <c r="S41" s="243">
        <f t="shared" si="3"/>
        <v>0</v>
      </c>
      <c r="T41" s="243">
        <f t="shared" si="3"/>
        <v>0.9</v>
      </c>
      <c r="U41" s="243">
        <f t="shared" si="3"/>
        <v>0</v>
      </c>
      <c r="V41" s="243">
        <f t="shared" si="3"/>
        <v>0.9</v>
      </c>
      <c r="W41" s="243">
        <f t="shared" si="3"/>
        <v>0</v>
      </c>
      <c r="X41" s="243">
        <f t="shared" si="3"/>
        <v>0.9</v>
      </c>
      <c r="Y41" s="243">
        <f t="shared" si="3"/>
        <v>0</v>
      </c>
      <c r="Z41" s="243">
        <f t="shared" si="3"/>
        <v>0.9</v>
      </c>
      <c r="AA41" s="243">
        <f t="shared" si="3"/>
        <v>0</v>
      </c>
      <c r="AB41" s="243">
        <f t="shared" si="3"/>
        <v>0.9</v>
      </c>
      <c r="AC41" s="243">
        <f t="shared" si="3"/>
        <v>0</v>
      </c>
      <c r="AD41" s="243">
        <f t="shared" si="3"/>
        <v>1.8</v>
      </c>
      <c r="AE41" s="243">
        <f t="shared" si="3"/>
        <v>0</v>
      </c>
      <c r="AF41" s="1101"/>
    </row>
    <row r="42" spans="1:32" ht="33" x14ac:dyDescent="0.25">
      <c r="A42" s="260" t="s">
        <v>174</v>
      </c>
      <c r="B42" s="243"/>
      <c r="C42" s="243"/>
      <c r="D42" s="243"/>
      <c r="E42" s="243"/>
      <c r="F42" s="243"/>
      <c r="G42" s="243"/>
      <c r="H42" s="243"/>
      <c r="I42" s="243"/>
      <c r="J42" s="243"/>
      <c r="K42" s="243"/>
      <c r="L42" s="243"/>
      <c r="M42" s="243"/>
      <c r="N42" s="243"/>
      <c r="O42" s="243"/>
      <c r="P42" s="243"/>
      <c r="Q42" s="243"/>
      <c r="R42" s="243"/>
      <c r="S42" s="243"/>
      <c r="T42" s="243"/>
      <c r="U42" s="243"/>
      <c r="V42" s="243"/>
      <c r="W42" s="243"/>
      <c r="X42" s="243"/>
      <c r="Y42" s="243"/>
      <c r="Z42" s="243"/>
      <c r="AA42" s="243"/>
      <c r="AB42" s="243"/>
      <c r="AC42" s="243"/>
      <c r="AD42" s="243"/>
      <c r="AE42" s="243"/>
      <c r="AF42" s="1101"/>
    </row>
    <row r="43" spans="1:32" ht="16.5" x14ac:dyDescent="0.25">
      <c r="A43" s="261" t="s">
        <v>374</v>
      </c>
      <c r="B43" s="243"/>
      <c r="C43" s="243"/>
      <c r="D43" s="243"/>
      <c r="E43" s="243"/>
      <c r="F43" s="243"/>
      <c r="G43" s="243"/>
      <c r="H43" s="243"/>
      <c r="I43" s="243"/>
      <c r="J43" s="243"/>
      <c r="K43" s="243"/>
      <c r="L43" s="243"/>
      <c r="M43" s="243"/>
      <c r="N43" s="243"/>
      <c r="O43" s="243"/>
      <c r="P43" s="243"/>
      <c r="Q43" s="243"/>
      <c r="R43" s="243"/>
      <c r="S43" s="243"/>
      <c r="T43" s="243"/>
      <c r="U43" s="243"/>
      <c r="V43" s="243"/>
      <c r="W43" s="243"/>
      <c r="X43" s="243"/>
      <c r="Y43" s="243"/>
      <c r="Z43" s="243"/>
      <c r="AA43" s="243"/>
      <c r="AB43" s="243"/>
      <c r="AC43" s="243"/>
      <c r="AD43" s="243"/>
      <c r="AE43" s="243"/>
      <c r="AF43" s="1101"/>
    </row>
    <row r="44" spans="1:32" ht="18.75" x14ac:dyDescent="0.25">
      <c r="A44" s="1102" t="s">
        <v>378</v>
      </c>
      <c r="B44" s="1103"/>
      <c r="C44" s="1103"/>
      <c r="D44" s="1103"/>
      <c r="E44" s="1103"/>
      <c r="F44" s="1103"/>
      <c r="G44" s="1103"/>
      <c r="H44" s="1103"/>
      <c r="I44" s="1103"/>
      <c r="J44" s="1103"/>
      <c r="K44" s="1103"/>
      <c r="L44" s="1103"/>
      <c r="M44" s="1103"/>
      <c r="N44" s="1103"/>
      <c r="O44" s="1103"/>
      <c r="P44" s="1103"/>
      <c r="Q44" s="1103"/>
      <c r="R44" s="1103"/>
      <c r="S44" s="1103"/>
      <c r="T44" s="1103"/>
      <c r="U44" s="1103"/>
      <c r="V44" s="1103"/>
      <c r="W44" s="1103"/>
      <c r="X44" s="1103"/>
      <c r="Y44" s="1103"/>
      <c r="Z44" s="1103"/>
      <c r="AA44" s="1103"/>
      <c r="AB44" s="1103"/>
      <c r="AC44" s="1103"/>
      <c r="AD44" s="1103"/>
      <c r="AE44" s="1103"/>
      <c r="AF44" s="1104"/>
    </row>
    <row r="45" spans="1:32" ht="18.75" x14ac:dyDescent="0.25">
      <c r="A45" s="1105" t="s">
        <v>54</v>
      </c>
      <c r="B45" s="1106"/>
      <c r="C45" s="1106"/>
      <c r="D45" s="1106"/>
      <c r="E45" s="1106"/>
      <c r="F45" s="1106"/>
      <c r="G45" s="1106"/>
      <c r="H45" s="1106"/>
      <c r="I45" s="1106"/>
      <c r="J45" s="1106"/>
      <c r="K45" s="1106"/>
      <c r="L45" s="1106"/>
      <c r="M45" s="1106"/>
      <c r="N45" s="1106"/>
      <c r="O45" s="1106"/>
      <c r="P45" s="1106"/>
      <c r="Q45" s="1106"/>
      <c r="R45" s="1106"/>
      <c r="S45" s="1106"/>
      <c r="T45" s="1106"/>
      <c r="U45" s="1106"/>
      <c r="V45" s="1106"/>
      <c r="W45" s="1106"/>
      <c r="X45" s="1106"/>
      <c r="Y45" s="1106"/>
      <c r="Z45" s="1106"/>
      <c r="AA45" s="1106"/>
      <c r="AB45" s="1106"/>
      <c r="AC45" s="1106"/>
      <c r="AD45" s="1106"/>
      <c r="AE45" s="1106"/>
      <c r="AF45" s="262"/>
    </row>
    <row r="46" spans="1:32" ht="16.5" x14ac:dyDescent="0.25">
      <c r="A46" s="1091" t="s">
        <v>379</v>
      </c>
      <c r="B46" s="1092"/>
      <c r="C46" s="1092"/>
      <c r="D46" s="1092"/>
      <c r="E46" s="1092"/>
      <c r="F46" s="1092"/>
      <c r="G46" s="1092"/>
      <c r="H46" s="1092"/>
      <c r="I46" s="1092"/>
      <c r="J46" s="1092"/>
      <c r="K46" s="1092"/>
      <c r="L46" s="1092"/>
      <c r="M46" s="1092"/>
      <c r="N46" s="1092"/>
      <c r="O46" s="1092"/>
      <c r="P46" s="1092"/>
      <c r="Q46" s="1092"/>
      <c r="R46" s="1092"/>
      <c r="S46" s="1092"/>
      <c r="T46" s="1092"/>
      <c r="U46" s="1092"/>
      <c r="V46" s="1092"/>
      <c r="W46" s="1092"/>
      <c r="X46" s="1092"/>
      <c r="Y46" s="1092"/>
      <c r="Z46" s="1092"/>
      <c r="AA46" s="1092"/>
      <c r="AB46" s="1092"/>
      <c r="AC46" s="1092"/>
      <c r="AD46" s="1092"/>
      <c r="AE46" s="1092"/>
      <c r="AF46" s="1093"/>
    </row>
    <row r="47" spans="1:32" ht="16.5" x14ac:dyDescent="0.25">
      <c r="A47" s="263" t="s">
        <v>31</v>
      </c>
      <c r="B47" s="253">
        <f>B48+B49+B50+B52</f>
        <v>159.89999999999998</v>
      </c>
      <c r="C47" s="253">
        <f>C48+C49+C50+C52</f>
        <v>50.39</v>
      </c>
      <c r="D47" s="253">
        <f>D48+D49+D50+D52</f>
        <v>49.13</v>
      </c>
      <c r="E47" s="253">
        <f>E48+E49+E50+E52</f>
        <v>49.13</v>
      </c>
      <c r="F47" s="241">
        <f>IFERROR(E47/B47*100,0)</f>
        <v>30.725453408380243</v>
      </c>
      <c r="G47" s="241">
        <f>IFERROR(E47/C47*100,0)</f>
        <v>97.499503869815442</v>
      </c>
      <c r="H47" s="253">
        <f t="shared" ref="H47:AE47" si="4">H48+H49+H50+H52</f>
        <v>0</v>
      </c>
      <c r="I47" s="253">
        <f t="shared" si="4"/>
        <v>0</v>
      </c>
      <c r="J47" s="253">
        <f t="shared" si="4"/>
        <v>12.6</v>
      </c>
      <c r="K47" s="253">
        <f t="shared" si="4"/>
        <v>12.6</v>
      </c>
      <c r="L47" s="253">
        <f t="shared" si="4"/>
        <v>12.59</v>
      </c>
      <c r="M47" s="253">
        <f t="shared" si="4"/>
        <v>11.33</v>
      </c>
      <c r="N47" s="253">
        <f t="shared" si="4"/>
        <v>12.6</v>
      </c>
      <c r="O47" s="253">
        <f t="shared" si="4"/>
        <v>12.6</v>
      </c>
      <c r="P47" s="253">
        <f t="shared" si="4"/>
        <v>12.6</v>
      </c>
      <c r="Q47" s="253">
        <f t="shared" si="4"/>
        <v>12.6</v>
      </c>
      <c r="R47" s="253">
        <f t="shared" si="4"/>
        <v>12.59</v>
      </c>
      <c r="S47" s="253">
        <f t="shared" si="4"/>
        <v>0</v>
      </c>
      <c r="T47" s="253">
        <f t="shared" si="4"/>
        <v>12.6</v>
      </c>
      <c r="U47" s="253">
        <f t="shared" si="4"/>
        <v>0</v>
      </c>
      <c r="V47" s="253">
        <f t="shared" si="4"/>
        <v>12.6</v>
      </c>
      <c r="W47" s="253">
        <f t="shared" si="4"/>
        <v>0</v>
      </c>
      <c r="X47" s="253">
        <f t="shared" si="4"/>
        <v>12.59</v>
      </c>
      <c r="Y47" s="253">
        <f t="shared" si="4"/>
        <v>0</v>
      </c>
      <c r="Z47" s="253">
        <f t="shared" si="4"/>
        <v>12.6</v>
      </c>
      <c r="AA47" s="253">
        <f t="shared" si="4"/>
        <v>0</v>
      </c>
      <c r="AB47" s="253">
        <f t="shared" si="4"/>
        <v>12.6</v>
      </c>
      <c r="AC47" s="253">
        <f t="shared" si="4"/>
        <v>0</v>
      </c>
      <c r="AD47" s="253">
        <f t="shared" si="4"/>
        <v>33.93</v>
      </c>
      <c r="AE47" s="253">
        <f t="shared" si="4"/>
        <v>0</v>
      </c>
      <c r="AF47" s="1107" t="s">
        <v>498</v>
      </c>
    </row>
    <row r="48" spans="1:32" ht="16.5" x14ac:dyDescent="0.25">
      <c r="A48" s="250" t="s">
        <v>169</v>
      </c>
      <c r="B48" s="243"/>
      <c r="C48" s="243"/>
      <c r="D48" s="243"/>
      <c r="E48" s="243"/>
      <c r="F48" s="243"/>
      <c r="G48" s="243"/>
      <c r="H48" s="244"/>
      <c r="I48" s="244"/>
      <c r="J48" s="244"/>
      <c r="K48" s="244"/>
      <c r="L48" s="244"/>
      <c r="M48" s="244"/>
      <c r="N48" s="244"/>
      <c r="O48" s="244"/>
      <c r="P48" s="244"/>
      <c r="Q48" s="244"/>
      <c r="R48" s="244"/>
      <c r="S48" s="244"/>
      <c r="T48" s="244"/>
      <c r="U48" s="244"/>
      <c r="V48" s="244"/>
      <c r="W48" s="244"/>
      <c r="X48" s="244"/>
      <c r="Y48" s="244"/>
      <c r="Z48" s="244"/>
      <c r="AA48" s="244"/>
      <c r="AB48" s="244"/>
      <c r="AC48" s="244"/>
      <c r="AD48" s="244"/>
      <c r="AE48" s="244"/>
      <c r="AF48" s="1108"/>
    </row>
    <row r="49" spans="1:32" ht="16.5" x14ac:dyDescent="0.25">
      <c r="A49" s="250" t="s">
        <v>32</v>
      </c>
      <c r="B49" s="243">
        <f>H49+J49+L49+N49+P49+R49+T49+V49+X49+Z49+AB49+AD49</f>
        <v>159.89999999999998</v>
      </c>
      <c r="C49" s="243">
        <f>H49+J49+L49+N49+P49</f>
        <v>50.39</v>
      </c>
      <c r="D49" s="243">
        <f>E49</f>
        <v>49.13</v>
      </c>
      <c r="E49" s="243">
        <f>I49+K49+M49+O49+Q49+S49+U49+W49+Y49+AA49+AC49+AE49</f>
        <v>49.13</v>
      </c>
      <c r="F49" s="243">
        <f t="shared" ref="F49:F63" si="5">IFERROR(E49/B49*100,0)</f>
        <v>30.725453408380243</v>
      </c>
      <c r="G49" s="243">
        <f t="shared" ref="G49:G63" si="6">IFERROR(E49/C49*100,0)</f>
        <v>97.499503869815442</v>
      </c>
      <c r="H49" s="244">
        <v>0</v>
      </c>
      <c r="I49" s="244">
        <v>0</v>
      </c>
      <c r="J49" s="264">
        <v>12.6</v>
      </c>
      <c r="K49" s="264">
        <v>12.6</v>
      </c>
      <c r="L49" s="264">
        <v>12.59</v>
      </c>
      <c r="M49" s="678">
        <v>11.33</v>
      </c>
      <c r="N49" s="264">
        <v>12.6</v>
      </c>
      <c r="O49" s="264">
        <v>12.6</v>
      </c>
      <c r="P49" s="264">
        <v>12.6</v>
      </c>
      <c r="Q49" s="264">
        <v>12.6</v>
      </c>
      <c r="R49" s="264">
        <v>12.59</v>
      </c>
      <c r="S49" s="264">
        <v>0</v>
      </c>
      <c r="T49" s="264">
        <v>12.6</v>
      </c>
      <c r="U49" s="264">
        <v>0</v>
      </c>
      <c r="V49" s="264">
        <v>12.6</v>
      </c>
      <c r="W49" s="264">
        <v>0</v>
      </c>
      <c r="X49" s="264">
        <v>12.59</v>
      </c>
      <c r="Y49" s="265">
        <v>0</v>
      </c>
      <c r="Z49" s="264">
        <v>12.6</v>
      </c>
      <c r="AA49" s="264">
        <v>0</v>
      </c>
      <c r="AB49" s="264">
        <v>12.6</v>
      </c>
      <c r="AC49" s="264">
        <v>0</v>
      </c>
      <c r="AD49" s="264">
        <v>33.93</v>
      </c>
      <c r="AE49" s="264">
        <v>0</v>
      </c>
      <c r="AF49" s="1108"/>
    </row>
    <row r="50" spans="1:32" ht="16.5" x14ac:dyDescent="0.25">
      <c r="A50" s="250" t="s">
        <v>33</v>
      </c>
      <c r="B50" s="243"/>
      <c r="C50" s="243"/>
      <c r="D50" s="243"/>
      <c r="E50" s="243"/>
      <c r="F50" s="243"/>
      <c r="G50" s="243"/>
      <c r="H50" s="244"/>
      <c r="I50" s="244"/>
      <c r="J50" s="244"/>
      <c r="K50" s="244"/>
      <c r="L50" s="244"/>
      <c r="M50" s="244"/>
      <c r="N50" s="244"/>
      <c r="O50" s="244"/>
      <c r="P50" s="244"/>
      <c r="Q50" s="244"/>
      <c r="R50" s="244"/>
      <c r="S50" s="244"/>
      <c r="T50" s="244"/>
      <c r="U50" s="244"/>
      <c r="V50" s="244"/>
      <c r="W50" s="244"/>
      <c r="X50" s="244"/>
      <c r="Y50" s="244"/>
      <c r="Z50" s="244"/>
      <c r="AA50" s="244"/>
      <c r="AB50" s="244"/>
      <c r="AC50" s="244"/>
      <c r="AD50" s="244"/>
      <c r="AE50" s="244"/>
      <c r="AF50" s="1108"/>
    </row>
    <row r="51" spans="1:32" ht="33" x14ac:dyDescent="0.25">
      <c r="A51" s="245" t="s">
        <v>174</v>
      </c>
      <c r="B51" s="246"/>
      <c r="C51" s="266"/>
      <c r="D51" s="246"/>
      <c r="E51" s="246"/>
      <c r="F51" s="243"/>
      <c r="G51" s="243"/>
      <c r="H51" s="247"/>
      <c r="I51" s="247"/>
      <c r="J51" s="247"/>
      <c r="K51" s="247"/>
      <c r="L51" s="247"/>
      <c r="M51" s="247"/>
      <c r="N51" s="247"/>
      <c r="O51" s="247"/>
      <c r="P51" s="247"/>
      <c r="Q51" s="247"/>
      <c r="R51" s="247"/>
      <c r="S51" s="247"/>
      <c r="T51" s="247"/>
      <c r="U51" s="247"/>
      <c r="V51" s="247"/>
      <c r="W51" s="247"/>
      <c r="X51" s="247"/>
      <c r="Y51" s="247"/>
      <c r="Z51" s="247"/>
      <c r="AA51" s="247"/>
      <c r="AB51" s="247"/>
      <c r="AC51" s="247"/>
      <c r="AD51" s="247"/>
      <c r="AE51" s="247"/>
      <c r="AF51" s="1108"/>
    </row>
    <row r="52" spans="1:32" ht="16.5" x14ac:dyDescent="0.25">
      <c r="A52" s="248" t="s">
        <v>374</v>
      </c>
      <c r="B52" s="243"/>
      <c r="C52" s="243"/>
      <c r="D52" s="243"/>
      <c r="E52" s="243"/>
      <c r="F52" s="243"/>
      <c r="G52" s="243"/>
      <c r="H52" s="244"/>
      <c r="I52" s="244"/>
      <c r="J52" s="244"/>
      <c r="K52" s="244"/>
      <c r="L52" s="244"/>
      <c r="M52" s="244"/>
      <c r="N52" s="244"/>
      <c r="O52" s="244"/>
      <c r="P52" s="244"/>
      <c r="Q52" s="244"/>
      <c r="R52" s="244"/>
      <c r="S52" s="244"/>
      <c r="T52" s="244"/>
      <c r="U52" s="244"/>
      <c r="V52" s="244"/>
      <c r="W52" s="244"/>
      <c r="X52" s="244"/>
      <c r="Y52" s="244"/>
      <c r="Z52" s="244"/>
      <c r="AA52" s="244"/>
      <c r="AB52" s="244"/>
      <c r="AC52" s="244"/>
      <c r="AD52" s="244"/>
      <c r="AE52" s="244"/>
      <c r="AF52" s="1109"/>
    </row>
    <row r="53" spans="1:32" ht="16.5" x14ac:dyDescent="0.25">
      <c r="A53" s="256" t="s">
        <v>35</v>
      </c>
      <c r="B53" s="243"/>
      <c r="C53" s="243"/>
      <c r="D53" s="243"/>
      <c r="E53" s="243"/>
      <c r="F53" s="243"/>
      <c r="G53" s="243"/>
      <c r="H53" s="244"/>
      <c r="I53" s="244"/>
      <c r="J53" s="244"/>
      <c r="K53" s="244"/>
      <c r="L53" s="244"/>
      <c r="M53" s="244"/>
      <c r="N53" s="244"/>
      <c r="O53" s="244"/>
      <c r="P53" s="244"/>
      <c r="Q53" s="244"/>
      <c r="R53" s="244"/>
      <c r="S53" s="244"/>
      <c r="T53" s="244"/>
      <c r="U53" s="244"/>
      <c r="V53" s="244"/>
      <c r="W53" s="244"/>
      <c r="X53" s="244"/>
      <c r="Y53" s="244"/>
      <c r="Z53" s="244"/>
      <c r="AA53" s="244"/>
      <c r="AB53" s="244"/>
      <c r="AC53" s="244"/>
      <c r="AD53" s="244"/>
      <c r="AE53" s="244"/>
      <c r="AF53" s="267"/>
    </row>
    <row r="54" spans="1:32" ht="16.5" x14ac:dyDescent="0.25">
      <c r="A54" s="257" t="s">
        <v>31</v>
      </c>
      <c r="B54" s="253">
        <f>B55+B56+B57+B59</f>
        <v>159.89999999999998</v>
      </c>
      <c r="C54" s="253">
        <f>C55+C56+C57+C59</f>
        <v>50.39</v>
      </c>
      <c r="D54" s="253">
        <f>D55+D56+D57+D59</f>
        <v>49.13</v>
      </c>
      <c r="E54" s="253">
        <f>E55+E56+E57+E59</f>
        <v>49.13</v>
      </c>
      <c r="F54" s="241">
        <f t="shared" si="5"/>
        <v>30.725453408380243</v>
      </c>
      <c r="G54" s="241">
        <f t="shared" si="6"/>
        <v>97.499503869815442</v>
      </c>
      <c r="H54" s="253">
        <f t="shared" ref="H54:AE54" si="7">H56+H57</f>
        <v>0</v>
      </c>
      <c r="I54" s="253">
        <f t="shared" si="7"/>
        <v>0</v>
      </c>
      <c r="J54" s="253">
        <f t="shared" si="7"/>
        <v>12.6</v>
      </c>
      <c r="K54" s="253">
        <f t="shared" si="7"/>
        <v>12.6</v>
      </c>
      <c r="L54" s="253">
        <f t="shared" si="7"/>
        <v>12.59</v>
      </c>
      <c r="M54" s="253">
        <f t="shared" si="7"/>
        <v>11.33</v>
      </c>
      <c r="N54" s="253">
        <f t="shared" si="7"/>
        <v>12.6</v>
      </c>
      <c r="O54" s="253">
        <f t="shared" si="7"/>
        <v>12.6</v>
      </c>
      <c r="P54" s="253">
        <f t="shared" si="7"/>
        <v>12.6</v>
      </c>
      <c r="Q54" s="253">
        <f t="shared" si="7"/>
        <v>12.6</v>
      </c>
      <c r="R54" s="253">
        <f t="shared" si="7"/>
        <v>12.59</v>
      </c>
      <c r="S54" s="253">
        <f t="shared" si="7"/>
        <v>0</v>
      </c>
      <c r="T54" s="253">
        <f t="shared" si="7"/>
        <v>12.6</v>
      </c>
      <c r="U54" s="253">
        <f t="shared" si="7"/>
        <v>0</v>
      </c>
      <c r="V54" s="253">
        <f t="shared" si="7"/>
        <v>12.6</v>
      </c>
      <c r="W54" s="253">
        <f t="shared" si="7"/>
        <v>0</v>
      </c>
      <c r="X54" s="253">
        <f t="shared" si="7"/>
        <v>12.59</v>
      </c>
      <c r="Y54" s="253">
        <f t="shared" si="7"/>
        <v>0</v>
      </c>
      <c r="Z54" s="253">
        <f t="shared" si="7"/>
        <v>12.6</v>
      </c>
      <c r="AA54" s="253">
        <f t="shared" si="7"/>
        <v>0</v>
      </c>
      <c r="AB54" s="253">
        <f t="shared" si="7"/>
        <v>12.6</v>
      </c>
      <c r="AC54" s="253">
        <f t="shared" si="7"/>
        <v>0</v>
      </c>
      <c r="AD54" s="253">
        <f t="shared" si="7"/>
        <v>33.93</v>
      </c>
      <c r="AE54" s="253">
        <f t="shared" si="7"/>
        <v>0</v>
      </c>
      <c r="AF54" s="1101"/>
    </row>
    <row r="55" spans="1:32" ht="16.5" x14ac:dyDescent="0.25">
      <c r="A55" s="259" t="s">
        <v>169</v>
      </c>
      <c r="B55" s="243">
        <f>H55+J55+L55+N55+P55+R55+T55+V55+X55+Z55+AB55+AD55</f>
        <v>0</v>
      </c>
      <c r="C55" s="244">
        <f t="shared" ref="C55:E56" si="8">C48</f>
        <v>0</v>
      </c>
      <c r="D55" s="244">
        <f t="shared" si="8"/>
        <v>0</v>
      </c>
      <c r="E55" s="244">
        <f t="shared" si="8"/>
        <v>0</v>
      </c>
      <c r="F55" s="243">
        <f t="shared" si="5"/>
        <v>0</v>
      </c>
      <c r="G55" s="243">
        <f t="shared" si="6"/>
        <v>0</v>
      </c>
      <c r="H55" s="244"/>
      <c r="I55" s="244"/>
      <c r="J55" s="244"/>
      <c r="K55" s="244"/>
      <c r="L55" s="244"/>
      <c r="M55" s="244"/>
      <c r="N55" s="244"/>
      <c r="O55" s="244"/>
      <c r="P55" s="244"/>
      <c r="Q55" s="244"/>
      <c r="R55" s="244"/>
      <c r="S55" s="244"/>
      <c r="T55" s="244"/>
      <c r="U55" s="244"/>
      <c r="V55" s="244"/>
      <c r="W55" s="244"/>
      <c r="X55" s="244"/>
      <c r="Y55" s="244"/>
      <c r="Z55" s="244"/>
      <c r="AA55" s="244"/>
      <c r="AB55" s="244"/>
      <c r="AC55" s="244"/>
      <c r="AD55" s="244"/>
      <c r="AE55" s="244"/>
      <c r="AF55" s="1101"/>
    </row>
    <row r="56" spans="1:32" ht="16.5" x14ac:dyDescent="0.25">
      <c r="A56" s="259" t="s">
        <v>32</v>
      </c>
      <c r="B56" s="243">
        <f>B49</f>
        <v>159.89999999999998</v>
      </c>
      <c r="C56" s="243">
        <f t="shared" si="8"/>
        <v>50.39</v>
      </c>
      <c r="D56" s="243">
        <f t="shared" si="8"/>
        <v>49.13</v>
      </c>
      <c r="E56" s="243">
        <f t="shared" si="8"/>
        <v>49.13</v>
      </c>
      <c r="F56" s="243">
        <f t="shared" si="5"/>
        <v>30.725453408380243</v>
      </c>
      <c r="G56" s="243">
        <f t="shared" si="6"/>
        <v>97.499503869815442</v>
      </c>
      <c r="H56" s="244">
        <f t="shared" ref="H56:AE56" si="9">H49</f>
        <v>0</v>
      </c>
      <c r="I56" s="244">
        <f t="shared" si="9"/>
        <v>0</v>
      </c>
      <c r="J56" s="244">
        <f t="shared" si="9"/>
        <v>12.6</v>
      </c>
      <c r="K56" s="244">
        <f t="shared" si="9"/>
        <v>12.6</v>
      </c>
      <c r="L56" s="244">
        <f t="shared" si="9"/>
        <v>12.59</v>
      </c>
      <c r="M56" s="244">
        <f t="shared" si="9"/>
        <v>11.33</v>
      </c>
      <c r="N56" s="244">
        <f t="shared" si="9"/>
        <v>12.6</v>
      </c>
      <c r="O56" s="244">
        <f t="shared" si="9"/>
        <v>12.6</v>
      </c>
      <c r="P56" s="244">
        <f t="shared" si="9"/>
        <v>12.6</v>
      </c>
      <c r="Q56" s="244">
        <f t="shared" si="9"/>
        <v>12.6</v>
      </c>
      <c r="R56" s="244">
        <f t="shared" si="9"/>
        <v>12.59</v>
      </c>
      <c r="S56" s="244">
        <f t="shared" si="9"/>
        <v>0</v>
      </c>
      <c r="T56" s="244">
        <f t="shared" si="9"/>
        <v>12.6</v>
      </c>
      <c r="U56" s="244">
        <f t="shared" si="9"/>
        <v>0</v>
      </c>
      <c r="V56" s="244">
        <f t="shared" si="9"/>
        <v>12.6</v>
      </c>
      <c r="W56" s="244">
        <f t="shared" si="9"/>
        <v>0</v>
      </c>
      <c r="X56" s="244">
        <f t="shared" si="9"/>
        <v>12.59</v>
      </c>
      <c r="Y56" s="244">
        <f t="shared" si="9"/>
        <v>0</v>
      </c>
      <c r="Z56" s="244">
        <f t="shared" si="9"/>
        <v>12.6</v>
      </c>
      <c r="AA56" s="244">
        <f t="shared" si="9"/>
        <v>0</v>
      </c>
      <c r="AB56" s="244">
        <f t="shared" si="9"/>
        <v>12.6</v>
      </c>
      <c r="AC56" s="244">
        <v>0</v>
      </c>
      <c r="AD56" s="244">
        <f t="shared" si="9"/>
        <v>33.93</v>
      </c>
      <c r="AE56" s="244">
        <f t="shared" si="9"/>
        <v>0</v>
      </c>
      <c r="AF56" s="1101"/>
    </row>
    <row r="57" spans="1:32" ht="16.5" x14ac:dyDescent="0.25">
      <c r="A57" s="259" t="s">
        <v>33</v>
      </c>
      <c r="B57" s="243"/>
      <c r="C57" s="244"/>
      <c r="D57" s="244"/>
      <c r="E57" s="244"/>
      <c r="F57" s="243"/>
      <c r="G57" s="243"/>
      <c r="H57" s="244"/>
      <c r="I57" s="244"/>
      <c r="J57" s="244"/>
      <c r="K57" s="244"/>
      <c r="L57" s="244"/>
      <c r="M57" s="244"/>
      <c r="N57" s="244"/>
      <c r="O57" s="244"/>
      <c r="P57" s="244"/>
      <c r="Q57" s="244"/>
      <c r="R57" s="244"/>
      <c r="S57" s="244"/>
      <c r="T57" s="244"/>
      <c r="U57" s="244"/>
      <c r="V57" s="244"/>
      <c r="W57" s="244"/>
      <c r="X57" s="244"/>
      <c r="Y57" s="244"/>
      <c r="Z57" s="244"/>
      <c r="AA57" s="244"/>
      <c r="AB57" s="244"/>
      <c r="AC57" s="244"/>
      <c r="AD57" s="244"/>
      <c r="AE57" s="244"/>
      <c r="AF57" s="1101"/>
    </row>
    <row r="58" spans="1:32" ht="33" x14ac:dyDescent="0.25">
      <c r="A58" s="260" t="s">
        <v>174</v>
      </c>
      <c r="B58" s="246"/>
      <c r="C58" s="247"/>
      <c r="D58" s="247"/>
      <c r="E58" s="247"/>
      <c r="F58" s="243"/>
      <c r="G58" s="243"/>
      <c r="H58" s="247"/>
      <c r="I58" s="247"/>
      <c r="J58" s="247"/>
      <c r="K58" s="247"/>
      <c r="L58" s="247"/>
      <c r="M58" s="247"/>
      <c r="N58" s="247"/>
      <c r="O58" s="247"/>
      <c r="P58" s="247"/>
      <c r="Q58" s="247"/>
      <c r="R58" s="247"/>
      <c r="S58" s="247"/>
      <c r="T58" s="247"/>
      <c r="U58" s="247"/>
      <c r="V58" s="247"/>
      <c r="W58" s="247"/>
      <c r="X58" s="247"/>
      <c r="Y58" s="247"/>
      <c r="Z58" s="247"/>
      <c r="AA58" s="247"/>
      <c r="AB58" s="247"/>
      <c r="AC58" s="247"/>
      <c r="AD58" s="247"/>
      <c r="AE58" s="247"/>
      <c r="AF58" s="1101"/>
    </row>
    <row r="59" spans="1:32" ht="16.5" x14ac:dyDescent="0.25">
      <c r="A59" s="261" t="s">
        <v>374</v>
      </c>
      <c r="B59" s="243"/>
      <c r="C59" s="244"/>
      <c r="D59" s="244"/>
      <c r="E59" s="244"/>
      <c r="F59" s="243"/>
      <c r="G59" s="243"/>
      <c r="H59" s="244"/>
      <c r="I59" s="244"/>
      <c r="J59" s="244"/>
      <c r="K59" s="244"/>
      <c r="L59" s="244"/>
      <c r="M59" s="244"/>
      <c r="N59" s="244"/>
      <c r="O59" s="244"/>
      <c r="P59" s="244"/>
      <c r="Q59" s="244"/>
      <c r="R59" s="244"/>
      <c r="S59" s="244"/>
      <c r="T59" s="244"/>
      <c r="U59" s="244"/>
      <c r="V59" s="244"/>
      <c r="W59" s="244"/>
      <c r="X59" s="244"/>
      <c r="Y59" s="244"/>
      <c r="Z59" s="244"/>
      <c r="AA59" s="244"/>
      <c r="AB59" s="244"/>
      <c r="AC59" s="244"/>
      <c r="AD59" s="244"/>
      <c r="AE59" s="244"/>
      <c r="AF59" s="1101"/>
    </row>
    <row r="60" spans="1:32" ht="33" x14ac:dyDescent="0.25">
      <c r="A60" s="268" t="s">
        <v>66</v>
      </c>
      <c r="B60" s="601">
        <f>B61+B62+B63+B65</f>
        <v>170.7</v>
      </c>
      <c r="C60" s="601">
        <f t="shared" ref="C60:AE60" si="10">C61+C62+C63+C65</f>
        <v>53.99</v>
      </c>
      <c r="D60" s="601">
        <f t="shared" si="10"/>
        <v>49.13</v>
      </c>
      <c r="E60" s="601">
        <f t="shared" si="10"/>
        <v>49.13</v>
      </c>
      <c r="F60" s="241">
        <f t="shared" si="5"/>
        <v>28.781487990626836</v>
      </c>
      <c r="G60" s="241">
        <f t="shared" si="6"/>
        <v>90.998333024634192</v>
      </c>
      <c r="H60" s="253">
        <f t="shared" si="10"/>
        <v>0</v>
      </c>
      <c r="I60" s="253">
        <f t="shared" si="10"/>
        <v>0</v>
      </c>
      <c r="J60" s="253">
        <f t="shared" si="10"/>
        <v>13.5</v>
      </c>
      <c r="K60" s="253">
        <f t="shared" si="10"/>
        <v>12.6</v>
      </c>
      <c r="L60" s="253">
        <f t="shared" si="10"/>
        <v>13.49</v>
      </c>
      <c r="M60" s="253">
        <f t="shared" si="10"/>
        <v>11.33</v>
      </c>
      <c r="N60" s="253">
        <f t="shared" si="10"/>
        <v>13.5</v>
      </c>
      <c r="O60" s="253">
        <f t="shared" si="10"/>
        <v>12.6</v>
      </c>
      <c r="P60" s="253">
        <f t="shared" si="10"/>
        <v>13.5</v>
      </c>
      <c r="Q60" s="253">
        <f t="shared" si="10"/>
        <v>12.6</v>
      </c>
      <c r="R60" s="253">
        <f t="shared" si="10"/>
        <v>13.49</v>
      </c>
      <c r="S60" s="253">
        <f t="shared" si="10"/>
        <v>0</v>
      </c>
      <c r="T60" s="253">
        <f t="shared" si="10"/>
        <v>13.5</v>
      </c>
      <c r="U60" s="253">
        <f t="shared" si="10"/>
        <v>0</v>
      </c>
      <c r="V60" s="253">
        <f t="shared" si="10"/>
        <v>13.5</v>
      </c>
      <c r="W60" s="253">
        <f t="shared" si="10"/>
        <v>0</v>
      </c>
      <c r="X60" s="253">
        <f t="shared" si="10"/>
        <v>13.49</v>
      </c>
      <c r="Y60" s="253">
        <f t="shared" si="10"/>
        <v>0</v>
      </c>
      <c r="Z60" s="253">
        <f t="shared" si="10"/>
        <v>13.5</v>
      </c>
      <c r="AA60" s="253">
        <f t="shared" si="10"/>
        <v>0</v>
      </c>
      <c r="AB60" s="253">
        <f t="shared" si="10"/>
        <v>13.5</v>
      </c>
      <c r="AC60" s="253">
        <f t="shared" si="10"/>
        <v>0</v>
      </c>
      <c r="AD60" s="253">
        <f t="shared" si="10"/>
        <v>35.729999999999997</v>
      </c>
      <c r="AE60" s="253">
        <f t="shared" si="10"/>
        <v>0</v>
      </c>
      <c r="AF60" s="1101"/>
    </row>
    <row r="61" spans="1:32" ht="16.5" x14ac:dyDescent="0.25">
      <c r="A61" s="250" t="s">
        <v>169</v>
      </c>
      <c r="B61" s="243"/>
      <c r="C61" s="244"/>
      <c r="D61" s="244"/>
      <c r="E61" s="244"/>
      <c r="F61" s="243"/>
      <c r="G61" s="243"/>
      <c r="H61" s="244"/>
      <c r="I61" s="244"/>
      <c r="J61" s="244"/>
      <c r="K61" s="244"/>
      <c r="L61" s="244"/>
      <c r="M61" s="244"/>
      <c r="N61" s="244"/>
      <c r="O61" s="244"/>
      <c r="P61" s="244"/>
      <c r="Q61" s="244"/>
      <c r="R61" s="244"/>
      <c r="S61" s="244"/>
      <c r="T61" s="244"/>
      <c r="U61" s="244"/>
      <c r="V61" s="244"/>
      <c r="W61" s="244"/>
      <c r="X61" s="244"/>
      <c r="Y61" s="244"/>
      <c r="Z61" s="244"/>
      <c r="AA61" s="244"/>
      <c r="AB61" s="244"/>
      <c r="AC61" s="244"/>
      <c r="AD61" s="244"/>
      <c r="AE61" s="244"/>
      <c r="AF61" s="1101"/>
    </row>
    <row r="62" spans="1:32" ht="16.5" x14ac:dyDescent="0.25">
      <c r="A62" s="250" t="s">
        <v>32</v>
      </c>
      <c r="B62" s="243">
        <f>B56+B40</f>
        <v>159.89999999999998</v>
      </c>
      <c r="C62" s="243">
        <f t="shared" ref="C62:E63" si="11">C56+C40</f>
        <v>50.39</v>
      </c>
      <c r="D62" s="243">
        <f>D56+D40</f>
        <v>49.13</v>
      </c>
      <c r="E62" s="243">
        <f t="shared" si="11"/>
        <v>49.13</v>
      </c>
      <c r="F62" s="243">
        <f t="shared" si="5"/>
        <v>30.725453408380243</v>
      </c>
      <c r="G62" s="243">
        <f t="shared" si="6"/>
        <v>97.499503869815442</v>
      </c>
      <c r="H62" s="244">
        <f t="shared" ref="H62:AE63" si="12">H56+H40</f>
        <v>0</v>
      </c>
      <c r="I62" s="244">
        <f t="shared" si="12"/>
        <v>0</v>
      </c>
      <c r="J62" s="244">
        <f t="shared" si="12"/>
        <v>12.6</v>
      </c>
      <c r="K62" s="244">
        <f t="shared" si="12"/>
        <v>12.6</v>
      </c>
      <c r="L62" s="244">
        <f t="shared" si="12"/>
        <v>12.59</v>
      </c>
      <c r="M62" s="244">
        <f t="shared" si="12"/>
        <v>11.33</v>
      </c>
      <c r="N62" s="244">
        <f t="shared" si="12"/>
        <v>12.6</v>
      </c>
      <c r="O62" s="244">
        <f t="shared" si="12"/>
        <v>12.6</v>
      </c>
      <c r="P62" s="244">
        <f t="shared" si="12"/>
        <v>12.6</v>
      </c>
      <c r="Q62" s="244">
        <f t="shared" si="12"/>
        <v>12.6</v>
      </c>
      <c r="R62" s="244">
        <f t="shared" si="12"/>
        <v>12.59</v>
      </c>
      <c r="S62" s="244">
        <f t="shared" si="12"/>
        <v>0</v>
      </c>
      <c r="T62" s="244">
        <f t="shared" si="12"/>
        <v>12.6</v>
      </c>
      <c r="U62" s="244">
        <f t="shared" si="12"/>
        <v>0</v>
      </c>
      <c r="V62" s="244">
        <f t="shared" si="12"/>
        <v>12.6</v>
      </c>
      <c r="W62" s="244">
        <f t="shared" si="12"/>
        <v>0</v>
      </c>
      <c r="X62" s="244">
        <f t="shared" si="12"/>
        <v>12.59</v>
      </c>
      <c r="Y62" s="244">
        <f t="shared" si="12"/>
        <v>0</v>
      </c>
      <c r="Z62" s="244">
        <f t="shared" si="12"/>
        <v>12.6</v>
      </c>
      <c r="AA62" s="244">
        <f t="shared" si="12"/>
        <v>0</v>
      </c>
      <c r="AB62" s="244">
        <f t="shared" si="12"/>
        <v>12.6</v>
      </c>
      <c r="AC62" s="244">
        <f t="shared" si="12"/>
        <v>0</v>
      </c>
      <c r="AD62" s="244">
        <f t="shared" si="12"/>
        <v>33.93</v>
      </c>
      <c r="AE62" s="244">
        <f t="shared" si="12"/>
        <v>0</v>
      </c>
      <c r="AF62" s="1101"/>
    </row>
    <row r="63" spans="1:32" ht="16.5" x14ac:dyDescent="0.25">
      <c r="A63" s="250" t="s">
        <v>33</v>
      </c>
      <c r="B63" s="243">
        <f>B57+B41</f>
        <v>10.800000000000002</v>
      </c>
      <c r="C63" s="243">
        <f t="shared" si="11"/>
        <v>3.6</v>
      </c>
      <c r="D63" s="243">
        <f t="shared" si="11"/>
        <v>0</v>
      </c>
      <c r="E63" s="243">
        <f t="shared" si="11"/>
        <v>0</v>
      </c>
      <c r="F63" s="243">
        <f t="shared" si="5"/>
        <v>0</v>
      </c>
      <c r="G63" s="243">
        <f t="shared" si="6"/>
        <v>0</v>
      </c>
      <c r="H63" s="244">
        <f t="shared" si="12"/>
        <v>0</v>
      </c>
      <c r="I63" s="244">
        <f t="shared" si="12"/>
        <v>0</v>
      </c>
      <c r="J63" s="244">
        <f t="shared" si="12"/>
        <v>0.9</v>
      </c>
      <c r="K63" s="244">
        <f t="shared" si="12"/>
        <v>0</v>
      </c>
      <c r="L63" s="244">
        <f t="shared" si="12"/>
        <v>0.9</v>
      </c>
      <c r="M63" s="244">
        <f t="shared" si="12"/>
        <v>0</v>
      </c>
      <c r="N63" s="244">
        <f t="shared" si="12"/>
        <v>0.9</v>
      </c>
      <c r="O63" s="244">
        <f t="shared" si="12"/>
        <v>0</v>
      </c>
      <c r="P63" s="244">
        <f t="shared" si="12"/>
        <v>0.9</v>
      </c>
      <c r="Q63" s="244">
        <f t="shared" si="12"/>
        <v>0</v>
      </c>
      <c r="R63" s="244">
        <f t="shared" si="12"/>
        <v>0.9</v>
      </c>
      <c r="S63" s="244">
        <f t="shared" si="12"/>
        <v>0</v>
      </c>
      <c r="T63" s="244">
        <f t="shared" si="12"/>
        <v>0.9</v>
      </c>
      <c r="U63" s="244">
        <f t="shared" si="12"/>
        <v>0</v>
      </c>
      <c r="V63" s="244">
        <f t="shared" si="12"/>
        <v>0.9</v>
      </c>
      <c r="W63" s="244">
        <f t="shared" si="12"/>
        <v>0</v>
      </c>
      <c r="X63" s="244">
        <f t="shared" si="12"/>
        <v>0.9</v>
      </c>
      <c r="Y63" s="244">
        <f t="shared" si="12"/>
        <v>0</v>
      </c>
      <c r="Z63" s="244">
        <f t="shared" si="12"/>
        <v>0.9</v>
      </c>
      <c r="AA63" s="244">
        <f t="shared" si="12"/>
        <v>0</v>
      </c>
      <c r="AB63" s="244">
        <f t="shared" si="12"/>
        <v>0.9</v>
      </c>
      <c r="AC63" s="244">
        <f t="shared" si="12"/>
        <v>0</v>
      </c>
      <c r="AD63" s="244">
        <f t="shared" si="12"/>
        <v>1.8</v>
      </c>
      <c r="AE63" s="244">
        <f t="shared" si="12"/>
        <v>0</v>
      </c>
      <c r="AF63" s="1101"/>
    </row>
    <row r="64" spans="1:32" ht="33" x14ac:dyDescent="0.25">
      <c r="A64" s="245" t="s">
        <v>174</v>
      </c>
      <c r="B64" s="243"/>
      <c r="C64" s="244"/>
      <c r="D64" s="244"/>
      <c r="E64" s="244"/>
      <c r="F64" s="243"/>
      <c r="G64" s="243"/>
      <c r="H64" s="244"/>
      <c r="I64" s="244"/>
      <c r="J64" s="244"/>
      <c r="K64" s="244"/>
      <c r="L64" s="244"/>
      <c r="M64" s="244"/>
      <c r="N64" s="244"/>
      <c r="O64" s="244"/>
      <c r="P64" s="244"/>
      <c r="Q64" s="244"/>
      <c r="R64" s="244"/>
      <c r="S64" s="244"/>
      <c r="T64" s="244"/>
      <c r="U64" s="244"/>
      <c r="V64" s="244"/>
      <c r="W64" s="244"/>
      <c r="X64" s="244"/>
      <c r="Y64" s="244"/>
      <c r="Z64" s="244"/>
      <c r="AA64" s="244"/>
      <c r="AB64" s="244"/>
      <c r="AC64" s="244"/>
      <c r="AD64" s="244"/>
      <c r="AE64" s="244"/>
      <c r="AF64" s="1101"/>
    </row>
    <row r="65" spans="1:32" ht="16.5" x14ac:dyDescent="0.25">
      <c r="A65" s="248" t="s">
        <v>374</v>
      </c>
      <c r="B65" s="243"/>
      <c r="C65" s="244"/>
      <c r="D65" s="244"/>
      <c r="E65" s="244"/>
      <c r="F65" s="243"/>
      <c r="G65" s="243"/>
      <c r="H65" s="244"/>
      <c r="I65" s="244"/>
      <c r="J65" s="244"/>
      <c r="K65" s="244"/>
      <c r="L65" s="244"/>
      <c r="M65" s="244"/>
      <c r="N65" s="244"/>
      <c r="O65" s="244"/>
      <c r="P65" s="244"/>
      <c r="Q65" s="244"/>
      <c r="R65" s="244"/>
      <c r="S65" s="244"/>
      <c r="T65" s="244"/>
      <c r="U65" s="244"/>
      <c r="V65" s="244"/>
      <c r="W65" s="244"/>
      <c r="X65" s="244"/>
      <c r="Y65" s="244"/>
      <c r="Z65" s="244"/>
      <c r="AA65" s="244"/>
      <c r="AB65" s="244"/>
      <c r="AC65" s="244"/>
      <c r="AD65" s="244"/>
      <c r="AE65" s="244"/>
      <c r="AF65" s="1101"/>
    </row>
    <row r="66" spans="1:32" ht="18.75" x14ac:dyDescent="0.25">
      <c r="A66" s="1105" t="s">
        <v>380</v>
      </c>
      <c r="B66" s="1106"/>
      <c r="C66" s="1106"/>
      <c r="D66" s="1106"/>
      <c r="E66" s="1106"/>
      <c r="F66" s="1106"/>
      <c r="G66" s="1106"/>
      <c r="H66" s="1106"/>
      <c r="I66" s="1106"/>
      <c r="J66" s="1106"/>
      <c r="K66" s="1106"/>
      <c r="L66" s="1106"/>
      <c r="M66" s="1106"/>
      <c r="N66" s="1106"/>
      <c r="O66" s="1106"/>
      <c r="P66" s="1106"/>
      <c r="Q66" s="1106"/>
      <c r="R66" s="1106"/>
      <c r="S66" s="1106"/>
      <c r="T66" s="1106"/>
      <c r="U66" s="1106"/>
      <c r="V66" s="1106"/>
      <c r="W66" s="1106"/>
      <c r="X66" s="1106"/>
      <c r="Y66" s="1106"/>
      <c r="Z66" s="1106"/>
      <c r="AA66" s="1106"/>
      <c r="AB66" s="1106"/>
      <c r="AC66" s="1106"/>
      <c r="AD66" s="1106"/>
      <c r="AE66" s="1106"/>
      <c r="AF66" s="258"/>
    </row>
    <row r="67" spans="1:32" ht="16.5" x14ac:dyDescent="0.25">
      <c r="A67" s="263" t="s">
        <v>31</v>
      </c>
      <c r="B67" s="241">
        <f>B68+B69+B70+B72</f>
        <v>0</v>
      </c>
      <c r="C67" s="241">
        <f t="shared" ref="C67:AE67" si="13">C68+C69+C70+C72</f>
        <v>0</v>
      </c>
      <c r="D67" s="241">
        <f t="shared" si="13"/>
        <v>0</v>
      </c>
      <c r="E67" s="241">
        <f t="shared" si="13"/>
        <v>0</v>
      </c>
      <c r="F67" s="241">
        <f>IFERROR(E67/B67*100,0)</f>
        <v>0</v>
      </c>
      <c r="G67" s="241">
        <f>IFERROR(E67/C67*100,0)</f>
        <v>0</v>
      </c>
      <c r="H67" s="241">
        <f t="shared" si="13"/>
        <v>0</v>
      </c>
      <c r="I67" s="241">
        <f t="shared" si="13"/>
        <v>0</v>
      </c>
      <c r="J67" s="241">
        <f t="shared" si="13"/>
        <v>0</v>
      </c>
      <c r="K67" s="241">
        <f t="shared" si="13"/>
        <v>0</v>
      </c>
      <c r="L67" s="241">
        <f t="shared" si="13"/>
        <v>0</v>
      </c>
      <c r="M67" s="241">
        <f t="shared" si="13"/>
        <v>0</v>
      </c>
      <c r="N67" s="241">
        <f t="shared" si="13"/>
        <v>0</v>
      </c>
      <c r="O67" s="241">
        <f t="shared" si="13"/>
        <v>0</v>
      </c>
      <c r="P67" s="241">
        <f t="shared" si="13"/>
        <v>0</v>
      </c>
      <c r="Q67" s="241">
        <f t="shared" si="13"/>
        <v>0</v>
      </c>
      <c r="R67" s="241">
        <f t="shared" si="13"/>
        <v>0</v>
      </c>
      <c r="S67" s="241">
        <f t="shared" si="13"/>
        <v>0</v>
      </c>
      <c r="T67" s="241">
        <f t="shared" si="13"/>
        <v>0</v>
      </c>
      <c r="U67" s="241">
        <f t="shared" si="13"/>
        <v>0</v>
      </c>
      <c r="V67" s="241">
        <f t="shared" si="13"/>
        <v>0</v>
      </c>
      <c r="W67" s="241">
        <f t="shared" si="13"/>
        <v>0</v>
      </c>
      <c r="X67" s="241">
        <f t="shared" si="13"/>
        <v>0</v>
      </c>
      <c r="Y67" s="241">
        <f t="shared" si="13"/>
        <v>0</v>
      </c>
      <c r="Z67" s="241">
        <f t="shared" si="13"/>
        <v>0</v>
      </c>
      <c r="AA67" s="241">
        <f t="shared" si="13"/>
        <v>0</v>
      </c>
      <c r="AB67" s="241">
        <f t="shared" si="13"/>
        <v>0</v>
      </c>
      <c r="AC67" s="241">
        <f t="shared" si="13"/>
        <v>0</v>
      </c>
      <c r="AD67" s="241">
        <f t="shared" si="13"/>
        <v>0</v>
      </c>
      <c r="AE67" s="241">
        <f t="shared" si="13"/>
        <v>0</v>
      </c>
      <c r="AF67" s="258"/>
    </row>
    <row r="68" spans="1:32" ht="16.5" x14ac:dyDescent="0.25">
      <c r="A68" s="250" t="s">
        <v>169</v>
      </c>
      <c r="B68" s="243"/>
      <c r="C68" s="243"/>
      <c r="D68" s="243"/>
      <c r="E68" s="243"/>
      <c r="F68" s="243"/>
      <c r="G68" s="243"/>
      <c r="H68" s="243"/>
      <c r="I68" s="243"/>
      <c r="J68" s="243"/>
      <c r="K68" s="243"/>
      <c r="L68" s="243"/>
      <c r="M68" s="243"/>
      <c r="N68" s="243"/>
      <c r="O68" s="243"/>
      <c r="P68" s="243"/>
      <c r="Q68" s="243"/>
      <c r="R68" s="243"/>
      <c r="S68" s="243"/>
      <c r="T68" s="243"/>
      <c r="U68" s="243"/>
      <c r="V68" s="243"/>
      <c r="W68" s="243"/>
      <c r="X68" s="243"/>
      <c r="Y68" s="243"/>
      <c r="Z68" s="243"/>
      <c r="AA68" s="243"/>
      <c r="AB68" s="243"/>
      <c r="AC68" s="243"/>
      <c r="AD68" s="243"/>
      <c r="AE68" s="243"/>
      <c r="AF68" s="249"/>
    </row>
    <row r="69" spans="1:32" ht="16.5" x14ac:dyDescent="0.25">
      <c r="A69" s="250" t="s">
        <v>32</v>
      </c>
      <c r="B69" s="243"/>
      <c r="C69" s="243"/>
      <c r="D69" s="243"/>
      <c r="E69" s="243"/>
      <c r="F69" s="243"/>
      <c r="G69" s="243"/>
      <c r="H69" s="243"/>
      <c r="I69" s="243"/>
      <c r="J69" s="243"/>
      <c r="K69" s="243"/>
      <c r="L69" s="243"/>
      <c r="M69" s="243"/>
      <c r="N69" s="243"/>
      <c r="O69" s="243"/>
      <c r="P69" s="243"/>
      <c r="Q69" s="243"/>
      <c r="R69" s="243"/>
      <c r="S69" s="243"/>
      <c r="T69" s="243"/>
      <c r="U69" s="243"/>
      <c r="V69" s="243"/>
      <c r="W69" s="243"/>
      <c r="X69" s="243"/>
      <c r="Y69" s="243"/>
      <c r="Z69" s="243"/>
      <c r="AA69" s="243"/>
      <c r="AB69" s="243"/>
      <c r="AC69" s="243"/>
      <c r="AD69" s="243"/>
      <c r="AE69" s="243"/>
      <c r="AF69" s="249"/>
    </row>
    <row r="70" spans="1:32" ht="16.5" x14ac:dyDescent="0.25">
      <c r="A70" s="250" t="s">
        <v>33</v>
      </c>
      <c r="B70" s="243"/>
      <c r="C70" s="243"/>
      <c r="D70" s="243"/>
      <c r="E70" s="243"/>
      <c r="F70" s="243"/>
      <c r="G70" s="243"/>
      <c r="H70" s="243"/>
      <c r="I70" s="243"/>
      <c r="J70" s="243"/>
      <c r="K70" s="243"/>
      <c r="L70" s="243"/>
      <c r="M70" s="243"/>
      <c r="N70" s="243"/>
      <c r="O70" s="243"/>
      <c r="P70" s="243"/>
      <c r="Q70" s="243"/>
      <c r="R70" s="243"/>
      <c r="S70" s="243"/>
      <c r="T70" s="243"/>
      <c r="U70" s="243"/>
      <c r="V70" s="243"/>
      <c r="W70" s="243"/>
      <c r="X70" s="243"/>
      <c r="Y70" s="243"/>
      <c r="Z70" s="243"/>
      <c r="AA70" s="243"/>
      <c r="AB70" s="243"/>
      <c r="AC70" s="243"/>
      <c r="AD70" s="243"/>
      <c r="AE70" s="243"/>
      <c r="AF70" s="249"/>
    </row>
    <row r="71" spans="1:32" ht="33" x14ac:dyDescent="0.25">
      <c r="A71" s="245" t="s">
        <v>174</v>
      </c>
      <c r="B71" s="243"/>
      <c r="C71" s="243"/>
      <c r="D71" s="243"/>
      <c r="E71" s="243"/>
      <c r="F71" s="243"/>
      <c r="G71" s="243"/>
      <c r="H71" s="243"/>
      <c r="I71" s="243"/>
      <c r="J71" s="243"/>
      <c r="K71" s="243"/>
      <c r="L71" s="243"/>
      <c r="M71" s="243"/>
      <c r="N71" s="243"/>
      <c r="O71" s="243"/>
      <c r="P71" s="243"/>
      <c r="Q71" s="243"/>
      <c r="R71" s="243"/>
      <c r="S71" s="243"/>
      <c r="T71" s="243"/>
      <c r="U71" s="243"/>
      <c r="V71" s="243"/>
      <c r="W71" s="243"/>
      <c r="X71" s="243"/>
      <c r="Y71" s="243"/>
      <c r="Z71" s="243"/>
      <c r="AA71" s="243"/>
      <c r="AB71" s="243"/>
      <c r="AC71" s="243"/>
      <c r="AD71" s="243"/>
      <c r="AE71" s="243"/>
      <c r="AF71" s="249"/>
    </row>
    <row r="72" spans="1:32" ht="16.5" x14ac:dyDescent="0.25">
      <c r="A72" s="248" t="s">
        <v>374</v>
      </c>
      <c r="B72" s="243"/>
      <c r="C72" s="243"/>
      <c r="D72" s="243"/>
      <c r="E72" s="243"/>
      <c r="F72" s="243"/>
      <c r="G72" s="243"/>
      <c r="H72" s="243"/>
      <c r="I72" s="243"/>
      <c r="J72" s="243"/>
      <c r="K72" s="243"/>
      <c r="L72" s="243"/>
      <c r="M72" s="243"/>
      <c r="N72" s="243"/>
      <c r="O72" s="243"/>
      <c r="P72" s="243"/>
      <c r="Q72" s="243"/>
      <c r="R72" s="243"/>
      <c r="S72" s="243"/>
      <c r="T72" s="243"/>
      <c r="U72" s="243"/>
      <c r="V72" s="243"/>
      <c r="W72" s="243"/>
      <c r="X72" s="243"/>
      <c r="Y72" s="243"/>
      <c r="Z72" s="243"/>
      <c r="AA72" s="243"/>
      <c r="AB72" s="243"/>
      <c r="AC72" s="243"/>
      <c r="AD72" s="243"/>
      <c r="AE72" s="243"/>
      <c r="AF72" s="249"/>
    </row>
    <row r="73" spans="1:32" ht="18.75" x14ac:dyDescent="0.25">
      <c r="A73" s="1105" t="s">
        <v>381</v>
      </c>
      <c r="B73" s="1106"/>
      <c r="C73" s="1106"/>
      <c r="D73" s="1106"/>
      <c r="E73" s="1106"/>
      <c r="F73" s="1106"/>
      <c r="G73" s="1106"/>
      <c r="H73" s="1106"/>
      <c r="I73" s="1106"/>
      <c r="J73" s="1106"/>
      <c r="K73" s="1106"/>
      <c r="L73" s="1106"/>
      <c r="M73" s="1106"/>
      <c r="N73" s="1106"/>
      <c r="O73" s="1106"/>
      <c r="P73" s="1106"/>
      <c r="Q73" s="1106"/>
      <c r="R73" s="1106"/>
      <c r="S73" s="1106"/>
      <c r="T73" s="1106"/>
      <c r="U73" s="1106"/>
      <c r="V73" s="1106"/>
      <c r="W73" s="1106"/>
      <c r="X73" s="1106"/>
      <c r="Y73" s="1106"/>
      <c r="Z73" s="1106"/>
      <c r="AA73" s="1106"/>
      <c r="AB73" s="1106"/>
      <c r="AC73" s="1106"/>
      <c r="AD73" s="1106"/>
      <c r="AE73" s="1106"/>
      <c r="AF73" s="269"/>
    </row>
    <row r="74" spans="1:32" ht="18.75" x14ac:dyDescent="0.25">
      <c r="A74" s="263" t="s">
        <v>31</v>
      </c>
      <c r="B74" s="227">
        <f>B75+B76+B77+B79</f>
        <v>170.7</v>
      </c>
      <c r="C74" s="270">
        <f>C75+C76+C77+C79</f>
        <v>53.99</v>
      </c>
      <c r="D74" s="270">
        <f>D75+D76+D77+D79</f>
        <v>49.13</v>
      </c>
      <c r="E74" s="270">
        <f>E75+E76+E77+E79</f>
        <v>49.13</v>
      </c>
      <c r="F74" s="270">
        <f>IFERROR(E74/B74*100,0)</f>
        <v>28.781487990626836</v>
      </c>
      <c r="G74" s="270">
        <f>IFERROR(E74/C74*100,0)</f>
        <v>90.998333024634192</v>
      </c>
      <c r="H74" s="227">
        <f t="shared" ref="H74:AE74" si="14">H75+H76+H77+H79</f>
        <v>0</v>
      </c>
      <c r="I74" s="227">
        <f t="shared" si="14"/>
        <v>0</v>
      </c>
      <c r="J74" s="227">
        <f t="shared" si="14"/>
        <v>13.5</v>
      </c>
      <c r="K74" s="227">
        <f t="shared" si="14"/>
        <v>12.6</v>
      </c>
      <c r="L74" s="227">
        <f t="shared" si="14"/>
        <v>13.49</v>
      </c>
      <c r="M74" s="227">
        <f t="shared" si="14"/>
        <v>11.33</v>
      </c>
      <c r="N74" s="227">
        <f t="shared" si="14"/>
        <v>13.5</v>
      </c>
      <c r="O74" s="227">
        <f t="shared" si="14"/>
        <v>12.6</v>
      </c>
      <c r="P74" s="227">
        <f t="shared" si="14"/>
        <v>13.5</v>
      </c>
      <c r="Q74" s="227">
        <f t="shared" si="14"/>
        <v>12.6</v>
      </c>
      <c r="R74" s="227">
        <f t="shared" si="14"/>
        <v>13.49</v>
      </c>
      <c r="S74" s="227">
        <f t="shared" si="14"/>
        <v>0</v>
      </c>
      <c r="T74" s="227">
        <f t="shared" si="14"/>
        <v>13.5</v>
      </c>
      <c r="U74" s="227">
        <f t="shared" si="14"/>
        <v>0</v>
      </c>
      <c r="V74" s="227">
        <f t="shared" si="14"/>
        <v>13.5</v>
      </c>
      <c r="W74" s="227">
        <f t="shared" si="14"/>
        <v>0</v>
      </c>
      <c r="X74" s="227">
        <f t="shared" si="14"/>
        <v>13.49</v>
      </c>
      <c r="Y74" s="227">
        <f t="shared" si="14"/>
        <v>0</v>
      </c>
      <c r="Z74" s="227">
        <f t="shared" si="14"/>
        <v>13.5</v>
      </c>
      <c r="AA74" s="227">
        <f t="shared" si="14"/>
        <v>0</v>
      </c>
      <c r="AB74" s="227">
        <f t="shared" si="14"/>
        <v>13.5</v>
      </c>
      <c r="AC74" s="227">
        <f t="shared" si="14"/>
        <v>0</v>
      </c>
      <c r="AD74" s="227">
        <f t="shared" si="14"/>
        <v>35.729999999999997</v>
      </c>
      <c r="AE74" s="271">
        <f t="shared" si="14"/>
        <v>0</v>
      </c>
      <c r="AF74" s="269"/>
    </row>
    <row r="75" spans="1:32" ht="18.75" x14ac:dyDescent="0.25">
      <c r="A75" s="250" t="s">
        <v>169</v>
      </c>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c r="AE75" s="273"/>
      <c r="AF75" s="269"/>
    </row>
    <row r="76" spans="1:32" ht="18.75" x14ac:dyDescent="0.25">
      <c r="A76" s="250" t="s">
        <v>32</v>
      </c>
      <c r="B76" s="272">
        <f t="shared" ref="B76:E77" si="15">B62</f>
        <v>159.89999999999998</v>
      </c>
      <c r="C76" s="272">
        <f t="shared" si="15"/>
        <v>50.39</v>
      </c>
      <c r="D76" s="272">
        <f t="shared" si="15"/>
        <v>49.13</v>
      </c>
      <c r="E76" s="272">
        <f t="shared" si="15"/>
        <v>49.13</v>
      </c>
      <c r="F76" s="272">
        <f>IFERROR(E76/B76*100,0)</f>
        <v>30.725453408380243</v>
      </c>
      <c r="G76" s="272">
        <f>IFERROR(E76/C76*100,0)</f>
        <v>97.499503869815442</v>
      </c>
      <c r="H76" s="272">
        <f t="shared" ref="H76:AE77" si="16">H62</f>
        <v>0</v>
      </c>
      <c r="I76" s="272">
        <f t="shared" si="16"/>
        <v>0</v>
      </c>
      <c r="J76" s="272">
        <f t="shared" si="16"/>
        <v>12.6</v>
      </c>
      <c r="K76" s="272">
        <f t="shared" si="16"/>
        <v>12.6</v>
      </c>
      <c r="L76" s="272">
        <f t="shared" si="16"/>
        <v>12.59</v>
      </c>
      <c r="M76" s="272">
        <f t="shared" si="16"/>
        <v>11.33</v>
      </c>
      <c r="N76" s="272">
        <f t="shared" si="16"/>
        <v>12.6</v>
      </c>
      <c r="O76" s="272">
        <f t="shared" si="16"/>
        <v>12.6</v>
      </c>
      <c r="P76" s="272">
        <f t="shared" si="16"/>
        <v>12.6</v>
      </c>
      <c r="Q76" s="272">
        <f t="shared" si="16"/>
        <v>12.6</v>
      </c>
      <c r="R76" s="272">
        <f t="shared" si="16"/>
        <v>12.59</v>
      </c>
      <c r="S76" s="272">
        <f t="shared" si="16"/>
        <v>0</v>
      </c>
      <c r="T76" s="272">
        <f t="shared" si="16"/>
        <v>12.6</v>
      </c>
      <c r="U76" s="272">
        <f t="shared" si="16"/>
        <v>0</v>
      </c>
      <c r="V76" s="272">
        <f t="shared" si="16"/>
        <v>12.6</v>
      </c>
      <c r="W76" s="272">
        <f t="shared" si="16"/>
        <v>0</v>
      </c>
      <c r="X76" s="272">
        <f t="shared" si="16"/>
        <v>12.59</v>
      </c>
      <c r="Y76" s="272">
        <f t="shared" si="16"/>
        <v>0</v>
      </c>
      <c r="Z76" s="272">
        <f t="shared" si="16"/>
        <v>12.6</v>
      </c>
      <c r="AA76" s="272">
        <f t="shared" si="16"/>
        <v>0</v>
      </c>
      <c r="AB76" s="272">
        <f t="shared" si="16"/>
        <v>12.6</v>
      </c>
      <c r="AC76" s="272">
        <f t="shared" si="16"/>
        <v>0</v>
      </c>
      <c r="AD76" s="272">
        <f t="shared" si="16"/>
        <v>33.93</v>
      </c>
      <c r="AE76" s="273">
        <f t="shared" si="16"/>
        <v>0</v>
      </c>
      <c r="AF76" s="269"/>
    </row>
    <row r="77" spans="1:32" ht="18.75" x14ac:dyDescent="0.25">
      <c r="A77" s="250" t="s">
        <v>33</v>
      </c>
      <c r="B77" s="272">
        <f t="shared" si="15"/>
        <v>10.800000000000002</v>
      </c>
      <c r="C77" s="272">
        <f t="shared" si="15"/>
        <v>3.6</v>
      </c>
      <c r="D77" s="272">
        <f t="shared" si="15"/>
        <v>0</v>
      </c>
      <c r="E77" s="272">
        <f t="shared" si="15"/>
        <v>0</v>
      </c>
      <c r="F77" s="272">
        <f>IFERROR(E77/B77*100,0)</f>
        <v>0</v>
      </c>
      <c r="G77" s="272">
        <f>IFERROR(E77/C77*100,0)</f>
        <v>0</v>
      </c>
      <c r="H77" s="272">
        <f t="shared" si="16"/>
        <v>0</v>
      </c>
      <c r="I77" s="272">
        <f t="shared" si="16"/>
        <v>0</v>
      </c>
      <c r="J77" s="272">
        <f t="shared" si="16"/>
        <v>0.9</v>
      </c>
      <c r="K77" s="272">
        <f t="shared" si="16"/>
        <v>0</v>
      </c>
      <c r="L77" s="272">
        <f t="shared" si="16"/>
        <v>0.9</v>
      </c>
      <c r="M77" s="272">
        <f t="shared" si="16"/>
        <v>0</v>
      </c>
      <c r="N77" s="272">
        <f t="shared" si="16"/>
        <v>0.9</v>
      </c>
      <c r="O77" s="272">
        <f t="shared" si="16"/>
        <v>0</v>
      </c>
      <c r="P77" s="272">
        <f t="shared" si="16"/>
        <v>0.9</v>
      </c>
      <c r="Q77" s="272">
        <f t="shared" si="16"/>
        <v>0</v>
      </c>
      <c r="R77" s="272">
        <f t="shared" si="16"/>
        <v>0.9</v>
      </c>
      <c r="S77" s="272">
        <f t="shared" si="16"/>
        <v>0</v>
      </c>
      <c r="T77" s="272">
        <f t="shared" si="16"/>
        <v>0.9</v>
      </c>
      <c r="U77" s="272">
        <f t="shared" si="16"/>
        <v>0</v>
      </c>
      <c r="V77" s="272">
        <f t="shared" si="16"/>
        <v>0.9</v>
      </c>
      <c r="W77" s="272">
        <f t="shared" si="16"/>
        <v>0</v>
      </c>
      <c r="X77" s="272">
        <f t="shared" si="16"/>
        <v>0.9</v>
      </c>
      <c r="Y77" s="272">
        <f t="shared" si="16"/>
        <v>0</v>
      </c>
      <c r="Z77" s="272">
        <f t="shared" si="16"/>
        <v>0.9</v>
      </c>
      <c r="AA77" s="272">
        <f t="shared" si="16"/>
        <v>0</v>
      </c>
      <c r="AB77" s="272">
        <f t="shared" si="16"/>
        <v>0.9</v>
      </c>
      <c r="AC77" s="272">
        <f t="shared" si="16"/>
        <v>0</v>
      </c>
      <c r="AD77" s="272">
        <f t="shared" si="16"/>
        <v>1.8</v>
      </c>
      <c r="AE77" s="273">
        <f t="shared" si="16"/>
        <v>0</v>
      </c>
      <c r="AF77" s="269"/>
    </row>
    <row r="78" spans="1:32" ht="33" x14ac:dyDescent="0.25">
      <c r="A78" s="245" t="s">
        <v>174</v>
      </c>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c r="AE78" s="273"/>
      <c r="AF78" s="269"/>
    </row>
    <row r="79" spans="1:32" ht="18.75" x14ac:dyDescent="0.25">
      <c r="A79" s="248" t="s">
        <v>374</v>
      </c>
      <c r="B79" s="272"/>
      <c r="C79" s="272"/>
      <c r="D79" s="272"/>
      <c r="E79" s="272"/>
      <c r="F79" s="272"/>
      <c r="G79" s="272"/>
      <c r="H79" s="272"/>
      <c r="I79" s="272"/>
      <c r="J79" s="272"/>
      <c r="K79" s="272"/>
      <c r="L79" s="272"/>
      <c r="M79" s="272"/>
      <c r="N79" s="272"/>
      <c r="O79" s="272"/>
      <c r="P79" s="272"/>
      <c r="Q79" s="272"/>
      <c r="R79" s="272"/>
      <c r="S79" s="272"/>
      <c r="T79" s="272"/>
      <c r="U79" s="272"/>
      <c r="V79" s="272"/>
      <c r="W79" s="272"/>
      <c r="X79" s="272"/>
      <c r="Y79" s="272"/>
      <c r="Z79" s="272"/>
      <c r="AA79" s="272"/>
      <c r="AB79" s="272"/>
      <c r="AC79" s="272"/>
      <c r="AD79" s="272"/>
      <c r="AE79" s="273"/>
      <c r="AF79" s="269"/>
    </row>
  </sheetData>
  <customSheetViews>
    <customSheetView guid="{7C130984-112A-4861-AA43-E2940708E3DC}" scale="80" state="hidden">
      <pane ySplit="5" topLeftCell="A6" activePane="bottomLeft" state="frozen"/>
      <selection pane="bottomLeft" activeCell="A22" sqref="A22:AE22"/>
      <pageMargins left="0.7" right="0.7" top="0.75" bottom="0.75" header="0.3" footer="0.3"/>
    </customSheetView>
    <customSheetView guid="{4F41B9CC-959D-442C-80B0-1F0DB2C76D27}" scale="80">
      <pane ySplit="4" topLeftCell="A6" activePane="bottomLeft" state="frozen"/>
      <selection pane="bottomLeft" activeCell="A22" sqref="A22:AE22"/>
      <pageMargins left="0.7" right="0.7" top="0.75" bottom="0.75" header="0.3" footer="0.3"/>
    </customSheetView>
    <customSheetView guid="{391AB76E-B386-49C1-800F-016A48AA1A46}" scale="80">
      <pane ySplit="5" topLeftCell="A6" activePane="bottomLeft" state="frozen"/>
      <selection pane="bottomLeft" activeCell="A22" sqref="A22:AE22"/>
      <pageMargins left="0.7" right="0.7" top="0.75" bottom="0.75" header="0.3" footer="0.3"/>
    </customSheetView>
    <customSheetView guid="{D01FA037-9AEC-4167-ADB8-2F327C01ECE6}" scale="80">
      <pane ySplit="5" topLeftCell="A6" activePane="bottomLeft" state="frozen"/>
      <selection pane="bottomLeft" activeCell="A22" sqref="A22:AE22"/>
      <pageMargins left="0.7" right="0.7" top="0.75" bottom="0.75" header="0.3" footer="0.3"/>
    </customSheetView>
    <customSheetView guid="{6A602CB8-B24C-4ED4-B378-B27354BE0A1A}" scale="80">
      <pane ySplit="5" topLeftCell="A6" activePane="bottomLeft" state="frozen"/>
      <selection pane="bottomLeft" activeCell="A22" sqref="A22:AE22"/>
      <pageMargins left="0.7" right="0.7" top="0.75" bottom="0.75" header="0.3" footer="0.3"/>
    </customSheetView>
    <customSheetView guid="{DAA8A688-7558-4B5B-8DBD-E2629BD9E9A8}" scale="80">
      <pane ySplit="5" topLeftCell="A6" activePane="bottomLeft" state="frozen"/>
      <selection pane="bottomLeft" activeCell="A22" sqref="A22:AE22"/>
      <pageMargins left="0.7" right="0.7" top="0.75" bottom="0.75" header="0.3" footer="0.3"/>
    </customSheetView>
    <customSheetView guid="{0C2B9C2A-7B94-41EF-A2E6-F8AC9A67DE25}" scale="80">
      <pane ySplit="5" topLeftCell="A6" activePane="bottomLeft" state="frozen"/>
      <selection pane="bottomLeft" activeCell="A22" sqref="A22:AE22"/>
      <pageMargins left="0.7" right="0.7" top="0.75" bottom="0.75" header="0.3" footer="0.3"/>
    </customSheetView>
    <customSheetView guid="{87218168-6C8E-4D5B-A5E5-DCCC26803AA3}" scale="80">
      <pane ySplit="5" topLeftCell="A6" activePane="bottomLeft" state="frozen"/>
      <selection pane="bottomLeft" activeCell="N12" sqref="N12"/>
      <pageMargins left="0.7" right="0.7" top="0.75" bottom="0.75" header="0.3" footer="0.3"/>
    </customSheetView>
    <customSheetView guid="{533DC55B-6AD4-4674-9488-685EF2039F3E}" scale="80">
      <pane ySplit="5" topLeftCell="A6" activePane="bottomLeft" state="frozen"/>
      <selection pane="bottomLeft" activeCell="N12" sqref="N12"/>
      <pageMargins left="0.7" right="0.7" top="0.75" bottom="0.75" header="0.3" footer="0.3"/>
    </customSheetView>
    <customSheetView guid="{69DABE6F-6182-4403-A4A2-969F10F1C13A}" scale="80">
      <pane ySplit="5" topLeftCell="A6" activePane="bottomLeft" state="frozen"/>
      <selection pane="bottomLeft" activeCell="N12" sqref="N12"/>
      <pageMargins left="0.7" right="0.7" top="0.75" bottom="0.75" header="0.3" footer="0.3"/>
    </customSheetView>
    <customSheetView guid="{84867370-1F3E-4368-AF79-FBCE46FFFE92}" scale="80">
      <pane ySplit="5" topLeftCell="A6" activePane="bottomLeft" state="frozen"/>
      <selection pane="bottomLeft" activeCell="N12" sqref="N12"/>
      <pageMargins left="0.7" right="0.7" top="0.75" bottom="0.75" header="0.3" footer="0.3"/>
    </customSheetView>
    <customSheetView guid="{47B983AB-FE5F-4725-860C-A2F29420596D}" scale="80">
      <pane ySplit="5" topLeftCell="A57" activePane="bottomLeft" state="frozen"/>
      <selection pane="bottomLeft" activeCell="A23" sqref="A23:AF23"/>
      <pageMargins left="0.7" right="0.7" top="0.75" bottom="0.75" header="0.3" footer="0.3"/>
    </customSheetView>
    <customSheetView guid="{959E901C-5DDE-42EE-AE94-AB8976B5E00B}" scale="80">
      <pane ySplit="5" topLeftCell="A57" activePane="bottomLeft" state="frozen"/>
      <selection pane="bottomLeft" activeCell="D58" sqref="D58"/>
      <pageMargins left="0.7" right="0.7" top="0.75" bottom="0.75" header="0.3" footer="0.3"/>
    </customSheetView>
    <customSheetView guid="{F679EF4A-C5FD-4B86-B87B-D85968E0F2CA}" scale="80">
      <pane ySplit="5" topLeftCell="A57" activePane="bottomLeft" state="frozen"/>
      <selection pane="bottomLeft" activeCell="D58" sqref="D58"/>
      <pageMargins left="0.7" right="0.7" top="0.75" bottom="0.75" header="0.3" footer="0.3"/>
    </customSheetView>
    <customSheetView guid="{009B3074-D8EC-4952-BF50-43CD64449612}" scale="80">
      <pane ySplit="5" topLeftCell="A57" activePane="bottomLeft" state="frozen"/>
      <selection pane="bottomLeft" activeCell="D58" sqref="D58"/>
      <pageMargins left="0.7" right="0.7" top="0.75" bottom="0.75" header="0.3" footer="0.3"/>
    </customSheetView>
    <customSheetView guid="{770624BF-07F3-44B6-94C3-4CC447CDD45C}" scale="80">
      <pane ySplit="5" topLeftCell="A57" activePane="bottomLeft" state="frozen"/>
      <selection pane="bottomLeft" activeCell="D58" sqref="D58"/>
      <pageMargins left="0.7" right="0.7" top="0.75" bottom="0.75" header="0.3" footer="0.3"/>
    </customSheetView>
    <customSheetView guid="{B82BA08A-1A30-4F4D-A478-74A6BD09EA97}" scale="80">
      <selection activeCell="AF47" sqref="AF47:AF52"/>
      <pageMargins left="0.7" right="0.7" top="0.75" bottom="0.75" header="0.3" footer="0.3"/>
    </customSheetView>
    <customSheetView guid="{874882D1-E741-4CCA-BF0D-E72FA60B771D}" scale="80" showPageBreaks="1" topLeftCell="A52">
      <selection activeCell="M87" sqref="M87"/>
      <pageMargins left="0.7" right="0.7" top="0.75" bottom="0.75" header="0.3" footer="0.3"/>
      <pageSetup paperSize="9" orientation="landscape" horizontalDpi="0" verticalDpi="0" r:id="rId1"/>
    </customSheetView>
    <customSheetView guid="{C236B307-BD63-48C4-A75F-B3F3717BF55C}" scale="80">
      <selection activeCell="AF47" sqref="AF47:AF52"/>
      <pageMargins left="0.7" right="0.7" top="0.75" bottom="0.75" header="0.3" footer="0.3"/>
    </customSheetView>
    <customSheetView guid="{BCD82A82-B724-4763-8580-D765356E09BA}" scale="70">
      <selection activeCell="A2" sqref="A2:AD2"/>
      <pageMargins left="0.7" right="0.7" top="0.75" bottom="0.75" header="0.3" footer="0.3"/>
    </customSheetView>
    <customSheetView guid="{B1BF08D1-D416-4B47-ADD0-4F59132DC9E8}" scale="80">
      <pane ySplit="5" topLeftCell="A57" activePane="bottomLeft" state="frozen"/>
      <selection pane="bottomLeft" activeCell="D58" sqref="D58"/>
      <pageMargins left="0.7" right="0.7" top="0.75" bottom="0.75" header="0.3" footer="0.3"/>
    </customSheetView>
    <customSheetView guid="{85F4575B-DBC5-482A-9916-255D8F0BC94E}" scale="80">
      <pane ySplit="5" topLeftCell="A57" activePane="bottomLeft" state="frozen"/>
      <selection pane="bottomLeft" activeCell="A23" sqref="A23:AF23"/>
      <pageMargins left="0.7" right="0.7" top="0.75" bottom="0.75" header="0.3" footer="0.3"/>
    </customSheetView>
    <customSheetView guid="{74870EE6-26B9-40F7-9DC9-260EF16D8959}" scale="80">
      <pane ySplit="5" topLeftCell="A6" activePane="bottomLeft" state="frozen"/>
      <selection pane="bottomLeft" activeCell="N12" sqref="N12"/>
      <pageMargins left="0.7" right="0.7" top="0.75" bottom="0.75" header="0.3" footer="0.3"/>
    </customSheetView>
    <customSheetView guid="{E508E171-4ED9-4B07-84DF-DA28C60E1969}" scale="80">
      <pane ySplit="5" topLeftCell="A6" activePane="bottomLeft" state="frozen"/>
      <selection pane="bottomLeft" activeCell="N12" sqref="N12"/>
      <pageMargins left="0.7" right="0.7" top="0.75" bottom="0.75" header="0.3" footer="0.3"/>
    </customSheetView>
    <customSheetView guid="{4D0DFB57-2CBA-42F2-9A97-C453A6851FBA}" scale="80" topLeftCell="O1">
      <pane ySplit="5" topLeftCell="A15" activePane="bottomLeft" state="frozen"/>
      <selection pane="bottomLeft" activeCell="A4" sqref="A4:AF79"/>
      <pageMargins left="0.7" right="0.7" top="0.75" bottom="0.75" header="0.3" footer="0.3"/>
    </customSheetView>
    <customSheetView guid="{CE1CCA00-200D-4EAA-9FBE-F8EE7C5F82FE}" scale="80">
      <pane ySplit="5" topLeftCell="A6" activePane="bottomLeft" state="frozen"/>
      <selection pane="bottomLeft" activeCell="A22" sqref="A22:AE22"/>
      <pageMargins left="0.7" right="0.7" top="0.75" bottom="0.75" header="0.3" footer="0.3"/>
    </customSheetView>
    <customSheetView guid="{442F2C94-DD1B-4A01-8694-513D4D6F3BD9}" scale="80">
      <pane ySplit="5" topLeftCell="A6" activePane="bottomLeft" state="frozen"/>
      <selection pane="bottomLeft" activeCell="A22" sqref="A22:AE22"/>
      <pageMargins left="0.7" right="0.7" top="0.75" bottom="0.75" header="0.3" footer="0.3"/>
    </customSheetView>
    <customSheetView guid="{AC2D5927-4079-4C74-AF69-1BFAC505648F}" scale="80">
      <pane ySplit="5" topLeftCell="A6" activePane="bottomLeft" state="frozen"/>
      <selection pane="bottomLeft" activeCell="A22" sqref="A22:AE22"/>
      <pageMargins left="0.7" right="0.7" top="0.75" bottom="0.75" header="0.3" footer="0.3"/>
    </customSheetView>
    <customSheetView guid="{602C8EDB-B9EF-4C85-B0D5-0558C3A0ABAB}" scale="80">
      <pane ySplit="5" topLeftCell="A6" activePane="bottomLeft" state="frozen"/>
      <selection pane="bottomLeft" activeCell="A22" sqref="A22:AE22"/>
      <pageMargins left="0.7" right="0.7" top="0.75" bottom="0.75" header="0.3" footer="0.3"/>
    </customSheetView>
    <customSheetView guid="{09C3E205-981E-4A4E-BE89-8B7044192060}" scale="80">
      <pane ySplit="5" topLeftCell="A6" activePane="bottomLeft" state="frozen"/>
      <selection pane="bottomLeft" activeCell="A22" sqref="A22:AE22"/>
      <pageMargins left="0.7" right="0.7" top="0.75" bottom="0.75" header="0.3" footer="0.3"/>
    </customSheetView>
  </customSheetViews>
  <mergeCells count="39">
    <mergeCell ref="AF47:AF52"/>
    <mergeCell ref="AF54:AF59"/>
    <mergeCell ref="AF60:AF65"/>
    <mergeCell ref="A66:AE66"/>
    <mergeCell ref="A73:AE73"/>
    <mergeCell ref="A46:AF46"/>
    <mergeCell ref="A8:AF8"/>
    <mergeCell ref="AF9:AF14"/>
    <mergeCell ref="A15:AF15"/>
    <mergeCell ref="AF16:AF21"/>
    <mergeCell ref="A22:AE22"/>
    <mergeCell ref="A23:AF23"/>
    <mergeCell ref="AF24:AF29"/>
    <mergeCell ref="A30:AF30"/>
    <mergeCell ref="AF38:AF43"/>
    <mergeCell ref="A44:AF44"/>
    <mergeCell ref="A45:AE45"/>
    <mergeCell ref="A7:AF7"/>
    <mergeCell ref="L4:M4"/>
    <mergeCell ref="N4:O4"/>
    <mergeCell ref="P4:Q4"/>
    <mergeCell ref="R4:S4"/>
    <mergeCell ref="T4:U4"/>
    <mergeCell ref="V4:W4"/>
    <mergeCell ref="X4:Y4"/>
    <mergeCell ref="Z4:AA4"/>
    <mergeCell ref="AB4:AC4"/>
    <mergeCell ref="AD4:AE4"/>
    <mergeCell ref="A6:AF6"/>
    <mergeCell ref="A1:AD1"/>
    <mergeCell ref="A2:AD2"/>
    <mergeCell ref="A4:A5"/>
    <mergeCell ref="B4:B5"/>
    <mergeCell ref="C4:C5"/>
    <mergeCell ref="D4:D5"/>
    <mergeCell ref="E4:E5"/>
    <mergeCell ref="F4:G4"/>
    <mergeCell ref="H4:I4"/>
    <mergeCell ref="J4:K4"/>
  </mergeCells>
  <hyperlinks>
    <hyperlink ref="A2:AD2" location="Оглавление!A1" display="«Экологическая безопасность города Когалыма» "/>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7"/>
  <sheetViews>
    <sheetView zoomScale="60" zoomScaleNormal="60" workbookViewId="0">
      <pane xSplit="1" ySplit="6" topLeftCell="F53" activePane="bottomRight" state="frozen"/>
      <selection pane="topRight" activeCell="B1" sqref="B1"/>
      <selection pane="bottomLeft" activeCell="A7" sqref="A7"/>
      <selection pane="bottomRight" activeCell="AB88" sqref="AB88"/>
    </sheetView>
  </sheetViews>
  <sheetFormatPr defaultColWidth="9.140625" defaultRowHeight="21" x14ac:dyDescent="0.35"/>
  <cols>
    <col min="1" max="1" width="46.140625" style="394" customWidth="1"/>
    <col min="2" max="2" width="17.42578125" style="394" customWidth="1"/>
    <col min="3" max="3" width="14.85546875" style="394" bestFit="1" customWidth="1"/>
    <col min="4" max="4" width="17" style="394" customWidth="1"/>
    <col min="5" max="5" width="19.42578125" style="394" customWidth="1"/>
    <col min="6" max="6" width="16.5703125" style="394" bestFit="1" customWidth="1"/>
    <col min="7" max="8" width="13.42578125" style="394" bestFit="1" customWidth="1"/>
    <col min="9" max="9" width="13.5703125" style="394" bestFit="1" customWidth="1"/>
    <col min="10" max="10" width="17.28515625" style="394" bestFit="1" customWidth="1"/>
    <col min="11" max="11" width="16.7109375" style="394" customWidth="1"/>
    <col min="12" max="12" width="14.85546875" style="394" bestFit="1" customWidth="1"/>
    <col min="13" max="13" width="13.5703125" style="394" bestFit="1" customWidth="1"/>
    <col min="14" max="14" width="17.28515625" style="394" bestFit="1" customWidth="1"/>
    <col min="15" max="15" width="13.5703125" style="394" bestFit="1" customWidth="1"/>
    <col min="16" max="16" width="17.28515625" style="394" bestFit="1" customWidth="1"/>
    <col min="17" max="17" width="13.5703125" style="394" bestFit="1" customWidth="1"/>
    <col min="18" max="18" width="17.28515625" style="394" bestFit="1" customWidth="1"/>
    <col min="19" max="19" width="13.5703125" style="394" bestFit="1" customWidth="1"/>
    <col min="20" max="20" width="17.28515625" style="394" bestFit="1" customWidth="1"/>
    <col min="21" max="21" width="13.5703125" style="394" bestFit="1" customWidth="1"/>
    <col min="22" max="22" width="17.28515625" style="394" bestFit="1" customWidth="1"/>
    <col min="23" max="23" width="13.5703125" style="394" bestFit="1" customWidth="1"/>
    <col min="24" max="24" width="13.28515625" style="394" customWidth="1"/>
    <col min="25" max="25" width="13.5703125" style="394" bestFit="1" customWidth="1"/>
    <col min="26" max="26" width="15.5703125" style="394" bestFit="1" customWidth="1"/>
    <col min="27" max="27" width="13.5703125" style="394" bestFit="1" customWidth="1"/>
    <col min="28" max="28" width="15.5703125" style="394" bestFit="1" customWidth="1"/>
    <col min="29" max="29" width="13.5703125" style="394" bestFit="1" customWidth="1"/>
    <col min="30" max="30" width="13.42578125" style="394" bestFit="1" customWidth="1"/>
    <col min="31" max="31" width="13.5703125" style="394" bestFit="1" customWidth="1"/>
    <col min="32" max="32" width="36.140625" style="394" customWidth="1"/>
    <col min="33" max="33" width="21" style="564" customWidth="1"/>
    <col min="34" max="16384" width="9.140625" style="394"/>
  </cols>
  <sheetData>
    <row r="1" spans="1:33" x14ac:dyDescent="0.35">
      <c r="A1" s="1000" t="s">
        <v>0</v>
      </c>
      <c r="B1" s="1000"/>
      <c r="C1" s="1000"/>
      <c r="D1" s="1000"/>
      <c r="E1" s="1000"/>
      <c r="F1" s="1000"/>
      <c r="G1" s="1000"/>
      <c r="H1" s="1000"/>
      <c r="I1" s="1000"/>
      <c r="J1" s="1000"/>
      <c r="K1" s="1000"/>
      <c r="L1" s="1000"/>
      <c r="M1" s="1000"/>
      <c r="N1" s="1000"/>
      <c r="O1" s="1000"/>
      <c r="P1" s="1000"/>
      <c r="Q1" s="1000"/>
      <c r="R1" s="1000"/>
      <c r="S1" s="1000"/>
      <c r="T1" s="1000"/>
      <c r="U1" s="1000"/>
      <c r="V1" s="1000"/>
      <c r="W1" s="1000"/>
      <c r="X1" s="1000"/>
      <c r="Y1" s="1000"/>
      <c r="Z1" s="1000"/>
      <c r="AA1" s="1000"/>
      <c r="AB1" s="1000"/>
      <c r="AC1" s="1000"/>
      <c r="AD1" s="1000"/>
      <c r="AE1" s="1000"/>
      <c r="AF1" s="1000"/>
    </row>
    <row r="2" spans="1:33" ht="27.75" customHeight="1" x14ac:dyDescent="0.35">
      <c r="A2" s="1001" t="s">
        <v>40</v>
      </c>
      <c r="B2" s="1001"/>
      <c r="C2" s="1001"/>
      <c r="D2" s="1001"/>
      <c r="E2" s="1001"/>
      <c r="F2" s="1001"/>
      <c r="G2" s="1001"/>
      <c r="H2" s="1001"/>
      <c r="I2" s="1001"/>
      <c r="J2" s="1001"/>
      <c r="K2" s="1001"/>
      <c r="L2" s="1001"/>
      <c r="M2" s="1001"/>
      <c r="N2" s="1001"/>
      <c r="O2" s="1001"/>
      <c r="P2" s="1001"/>
      <c r="Q2" s="1001"/>
      <c r="R2" s="1001"/>
      <c r="S2" s="1001"/>
      <c r="T2" s="1001"/>
      <c r="U2" s="1001"/>
      <c r="V2" s="1001"/>
      <c r="W2" s="1001"/>
      <c r="X2" s="1001"/>
      <c r="Y2" s="1001"/>
      <c r="Z2" s="1001"/>
      <c r="AA2" s="1001"/>
      <c r="AB2" s="1001"/>
      <c r="AC2" s="1001"/>
      <c r="AD2" s="1001"/>
      <c r="AE2" s="1001"/>
      <c r="AF2" s="395" t="s">
        <v>1</v>
      </c>
    </row>
    <row r="3" spans="1:33" ht="75" customHeight="1" x14ac:dyDescent="0.35">
      <c r="A3" s="1002" t="s">
        <v>2</v>
      </c>
      <c r="B3" s="1009" t="s">
        <v>3</v>
      </c>
      <c r="C3" s="1009" t="s">
        <v>3</v>
      </c>
      <c r="D3" s="1009" t="s">
        <v>4</v>
      </c>
      <c r="E3" s="1009" t="s">
        <v>5</v>
      </c>
      <c r="F3" s="1005" t="s">
        <v>6</v>
      </c>
      <c r="G3" s="1006"/>
      <c r="H3" s="1005" t="s">
        <v>7</v>
      </c>
      <c r="I3" s="1006"/>
      <c r="J3" s="1005" t="s">
        <v>8</v>
      </c>
      <c r="K3" s="1006"/>
      <c r="L3" s="1005" t="s">
        <v>9</v>
      </c>
      <c r="M3" s="1006"/>
      <c r="N3" s="1005" t="s">
        <v>10</v>
      </c>
      <c r="O3" s="1006"/>
      <c r="P3" s="1005" t="s">
        <v>11</v>
      </c>
      <c r="Q3" s="1006"/>
      <c r="R3" s="1005" t="s">
        <v>12</v>
      </c>
      <c r="S3" s="1006"/>
      <c r="T3" s="1005" t="s">
        <v>13</v>
      </c>
      <c r="U3" s="1006"/>
      <c r="V3" s="1005" t="s">
        <v>14</v>
      </c>
      <c r="W3" s="1006"/>
      <c r="X3" s="1005" t="s">
        <v>15</v>
      </c>
      <c r="Y3" s="1006"/>
      <c r="Z3" s="1005" t="s">
        <v>16</v>
      </c>
      <c r="AA3" s="1006"/>
      <c r="AB3" s="1005" t="s">
        <v>17</v>
      </c>
      <c r="AC3" s="1006"/>
      <c r="AD3" s="1005" t="s">
        <v>18</v>
      </c>
      <c r="AE3" s="1006"/>
      <c r="AF3" s="1002" t="s">
        <v>19</v>
      </c>
    </row>
    <row r="4" spans="1:33" ht="18.75" customHeight="1" x14ac:dyDescent="0.35">
      <c r="A4" s="1003"/>
      <c r="B4" s="1010"/>
      <c r="C4" s="1010"/>
      <c r="D4" s="1010"/>
      <c r="E4" s="1010"/>
      <c r="F4" s="1007"/>
      <c r="G4" s="1008"/>
      <c r="H4" s="1007"/>
      <c r="I4" s="1008"/>
      <c r="J4" s="1007"/>
      <c r="K4" s="1008"/>
      <c r="L4" s="1007"/>
      <c r="M4" s="1008"/>
      <c r="N4" s="1007"/>
      <c r="O4" s="1008"/>
      <c r="P4" s="1007"/>
      <c r="Q4" s="1008"/>
      <c r="R4" s="1007"/>
      <c r="S4" s="1008"/>
      <c r="T4" s="1007"/>
      <c r="U4" s="1008"/>
      <c r="V4" s="1007"/>
      <c r="W4" s="1008"/>
      <c r="X4" s="1007"/>
      <c r="Y4" s="1008"/>
      <c r="Z4" s="1007"/>
      <c r="AA4" s="1008"/>
      <c r="AB4" s="1007"/>
      <c r="AC4" s="1008"/>
      <c r="AD4" s="1007"/>
      <c r="AE4" s="1008"/>
      <c r="AF4" s="1003"/>
    </row>
    <row r="5" spans="1:33" ht="56.25" x14ac:dyDescent="0.35">
      <c r="A5" s="396"/>
      <c r="B5" s="397">
        <v>2024</v>
      </c>
      <c r="C5" s="425">
        <v>45413</v>
      </c>
      <c r="D5" s="398">
        <f>C5</f>
        <v>45413</v>
      </c>
      <c r="E5" s="398">
        <f>C5</f>
        <v>45413</v>
      </c>
      <c r="F5" s="399" t="s">
        <v>20</v>
      </c>
      <c r="G5" s="399" t="s">
        <v>21</v>
      </c>
      <c r="H5" s="399" t="s">
        <v>22</v>
      </c>
      <c r="I5" s="399" t="s">
        <v>23</v>
      </c>
      <c r="J5" s="399" t="s">
        <v>22</v>
      </c>
      <c r="K5" s="399" t="s">
        <v>23</v>
      </c>
      <c r="L5" s="399" t="s">
        <v>22</v>
      </c>
      <c r="M5" s="399" t="s">
        <v>23</v>
      </c>
      <c r="N5" s="399" t="s">
        <v>22</v>
      </c>
      <c r="O5" s="399" t="s">
        <v>23</v>
      </c>
      <c r="P5" s="399" t="s">
        <v>22</v>
      </c>
      <c r="Q5" s="399" t="s">
        <v>23</v>
      </c>
      <c r="R5" s="399" t="s">
        <v>22</v>
      </c>
      <c r="S5" s="399" t="s">
        <v>23</v>
      </c>
      <c r="T5" s="399" t="s">
        <v>22</v>
      </c>
      <c r="U5" s="399" t="s">
        <v>23</v>
      </c>
      <c r="V5" s="399" t="s">
        <v>22</v>
      </c>
      <c r="W5" s="399" t="s">
        <v>23</v>
      </c>
      <c r="X5" s="399" t="s">
        <v>22</v>
      </c>
      <c r="Y5" s="399" t="s">
        <v>23</v>
      </c>
      <c r="Z5" s="399" t="s">
        <v>22</v>
      </c>
      <c r="AA5" s="399" t="s">
        <v>23</v>
      </c>
      <c r="AB5" s="399" t="s">
        <v>22</v>
      </c>
      <c r="AC5" s="399" t="s">
        <v>23</v>
      </c>
      <c r="AD5" s="399" t="s">
        <v>22</v>
      </c>
      <c r="AE5" s="399" t="s">
        <v>23</v>
      </c>
      <c r="AF5" s="1004"/>
    </row>
    <row r="6" spans="1:33" x14ac:dyDescent="0.35">
      <c r="A6" s="400">
        <v>1</v>
      </c>
      <c r="B6" s="400">
        <v>2</v>
      </c>
      <c r="C6" s="400">
        <v>3</v>
      </c>
      <c r="D6" s="400">
        <v>4</v>
      </c>
      <c r="E6" s="400">
        <v>5</v>
      </c>
      <c r="F6" s="400">
        <v>6</v>
      </c>
      <c r="G6" s="400">
        <v>7</v>
      </c>
      <c r="H6" s="400">
        <v>8</v>
      </c>
      <c r="I6" s="400">
        <v>9</v>
      </c>
      <c r="J6" s="400">
        <v>10</v>
      </c>
      <c r="K6" s="400">
        <v>11</v>
      </c>
      <c r="L6" s="400">
        <v>12</v>
      </c>
      <c r="M6" s="400">
        <v>13</v>
      </c>
      <c r="N6" s="400">
        <v>14</v>
      </c>
      <c r="O6" s="400">
        <v>15</v>
      </c>
      <c r="P6" s="400">
        <v>16</v>
      </c>
      <c r="Q6" s="400">
        <v>17</v>
      </c>
      <c r="R6" s="400">
        <v>18</v>
      </c>
      <c r="S6" s="400">
        <v>19</v>
      </c>
      <c r="T6" s="400">
        <v>20</v>
      </c>
      <c r="U6" s="400">
        <v>21</v>
      </c>
      <c r="V6" s="400">
        <v>22</v>
      </c>
      <c r="W6" s="400">
        <v>23</v>
      </c>
      <c r="X6" s="400">
        <v>24</v>
      </c>
      <c r="Y6" s="400">
        <v>25</v>
      </c>
      <c r="Z6" s="400">
        <v>26</v>
      </c>
      <c r="AA6" s="400">
        <v>27</v>
      </c>
      <c r="AB6" s="400">
        <v>28</v>
      </c>
      <c r="AC6" s="400">
        <v>29</v>
      </c>
      <c r="AD6" s="400">
        <v>30</v>
      </c>
      <c r="AE6" s="400">
        <v>31</v>
      </c>
      <c r="AF6" s="401">
        <v>32</v>
      </c>
    </row>
    <row r="7" spans="1:33" ht="56.25" customHeight="1" x14ac:dyDescent="0.35">
      <c r="A7" s="539" t="s">
        <v>36</v>
      </c>
      <c r="B7" s="540"/>
      <c r="C7" s="540"/>
      <c r="D7" s="540"/>
      <c r="E7" s="540"/>
      <c r="F7" s="540"/>
      <c r="G7" s="540"/>
      <c r="H7" s="541"/>
      <c r="I7" s="541"/>
      <c r="J7" s="541"/>
      <c r="K7" s="541"/>
      <c r="L7" s="541"/>
      <c r="M7" s="541"/>
      <c r="N7" s="541"/>
      <c r="O7" s="541"/>
      <c r="P7" s="541"/>
      <c r="Q7" s="541"/>
      <c r="R7" s="541"/>
      <c r="S7" s="541"/>
      <c r="T7" s="541"/>
      <c r="U7" s="541"/>
      <c r="V7" s="541"/>
      <c r="W7" s="541"/>
      <c r="X7" s="541"/>
      <c r="Y7" s="541"/>
      <c r="Z7" s="541"/>
      <c r="AA7" s="541"/>
      <c r="AB7" s="541"/>
      <c r="AC7" s="541"/>
      <c r="AD7" s="541"/>
      <c r="AE7" s="541"/>
      <c r="AF7" s="422"/>
    </row>
    <row r="8" spans="1:33" x14ac:dyDescent="0.35">
      <c r="A8" s="403" t="s">
        <v>54</v>
      </c>
      <c r="B8" s="402"/>
      <c r="C8" s="402"/>
      <c r="D8" s="402"/>
      <c r="E8" s="402"/>
      <c r="F8" s="402"/>
      <c r="G8" s="402"/>
      <c r="H8" s="418"/>
      <c r="I8" s="418"/>
      <c r="J8" s="418"/>
      <c r="K8" s="418"/>
      <c r="L8" s="418"/>
      <c r="M8" s="418"/>
      <c r="N8" s="418"/>
      <c r="O8" s="418"/>
      <c r="P8" s="418"/>
      <c r="Q8" s="418"/>
      <c r="R8" s="418"/>
      <c r="S8" s="418"/>
      <c r="T8" s="418"/>
      <c r="U8" s="418"/>
      <c r="V8" s="418"/>
      <c r="W8" s="418"/>
      <c r="X8" s="418"/>
      <c r="Y8" s="418"/>
      <c r="Z8" s="418"/>
      <c r="AA8" s="418"/>
      <c r="AB8" s="418"/>
      <c r="AC8" s="418"/>
      <c r="AD8" s="418"/>
      <c r="AE8" s="418"/>
      <c r="AF8" s="422"/>
    </row>
    <row r="9" spans="1:33" ht="57" x14ac:dyDescent="0.35">
      <c r="A9" s="409" t="s">
        <v>24</v>
      </c>
      <c r="B9" s="530"/>
      <c r="C9" s="530"/>
      <c r="D9" s="530"/>
      <c r="E9" s="530"/>
      <c r="F9" s="531"/>
      <c r="G9" s="531"/>
      <c r="H9" s="528"/>
      <c r="I9" s="528"/>
      <c r="J9" s="528"/>
      <c r="K9" s="528"/>
      <c r="L9" s="528"/>
      <c r="M9" s="528"/>
      <c r="N9" s="528"/>
      <c r="O9" s="528"/>
      <c r="P9" s="528"/>
      <c r="Q9" s="528"/>
      <c r="R9" s="528"/>
      <c r="S9" s="528"/>
      <c r="T9" s="528"/>
      <c r="U9" s="528"/>
      <c r="V9" s="528"/>
      <c r="W9" s="528"/>
      <c r="X9" s="528"/>
      <c r="Y9" s="528"/>
      <c r="Z9" s="528"/>
      <c r="AA9" s="528"/>
      <c r="AB9" s="528"/>
      <c r="AC9" s="528"/>
      <c r="AD9" s="528"/>
      <c r="AE9" s="528"/>
      <c r="AF9" s="423"/>
    </row>
    <row r="10" spans="1:33" x14ac:dyDescent="0.35">
      <c r="A10" s="545" t="s">
        <v>65</v>
      </c>
      <c r="B10" s="551">
        <f>B11+B12</f>
        <v>29300.500000000004</v>
      </c>
      <c r="C10" s="551">
        <f>C11+C12</f>
        <v>3296.0699599999998</v>
      </c>
      <c r="D10" s="551">
        <f>D11+D12</f>
        <v>3238.3178899999998</v>
      </c>
      <c r="E10" s="551">
        <f>E11+E12</f>
        <v>2342.9911300000003</v>
      </c>
      <c r="F10" s="562">
        <f>E10/B10</f>
        <v>7.9964202999948802E-2</v>
      </c>
      <c r="G10" s="562">
        <f>E10/C10</f>
        <v>0.7108438711658901</v>
      </c>
      <c r="H10" s="552">
        <f t="shared" ref="H10:AE10" si="0">H11+H12</f>
        <v>46.614999999999995</v>
      </c>
      <c r="I10" s="552">
        <f t="shared" si="0"/>
        <v>13</v>
      </c>
      <c r="J10" s="552">
        <f t="shared" si="0"/>
        <v>1205.80486</v>
      </c>
      <c r="K10" s="552">
        <f t="shared" si="0"/>
        <v>814.41613000000007</v>
      </c>
      <c r="L10" s="552">
        <f t="shared" si="0"/>
        <v>739.73928999999998</v>
      </c>
      <c r="M10" s="552">
        <f t="shared" si="0"/>
        <v>742.18499999999995</v>
      </c>
      <c r="N10" s="552">
        <f t="shared" si="0"/>
        <v>1303.9108099999999</v>
      </c>
      <c r="O10" s="552">
        <f t="shared" si="0"/>
        <v>773.39</v>
      </c>
      <c r="P10" s="552">
        <f t="shared" si="0"/>
        <v>763.61928999999998</v>
      </c>
      <c r="Q10" s="552">
        <f t="shared" si="0"/>
        <v>0</v>
      </c>
      <c r="R10" s="552">
        <f t="shared" si="0"/>
        <v>10585.35167</v>
      </c>
      <c r="S10" s="552">
        <f t="shared" si="0"/>
        <v>0</v>
      </c>
      <c r="T10" s="552">
        <f t="shared" si="0"/>
        <v>7398.2526699999999</v>
      </c>
      <c r="U10" s="552">
        <f t="shared" si="0"/>
        <v>0</v>
      </c>
      <c r="V10" s="552">
        <f t="shared" si="0"/>
        <v>4833.71857</v>
      </c>
      <c r="W10" s="552">
        <f t="shared" si="0"/>
        <v>0</v>
      </c>
      <c r="X10" s="552">
        <f t="shared" si="0"/>
        <v>646.53928999999994</v>
      </c>
      <c r="Y10" s="552">
        <f t="shared" si="0"/>
        <v>0</v>
      </c>
      <c r="Z10" s="552">
        <f t="shared" si="0"/>
        <v>707.11428999999998</v>
      </c>
      <c r="AA10" s="552">
        <f t="shared" si="0"/>
        <v>0</v>
      </c>
      <c r="AB10" s="552">
        <f t="shared" si="0"/>
        <v>726.61426000000006</v>
      </c>
      <c r="AC10" s="552">
        <f t="shared" si="0"/>
        <v>0</v>
      </c>
      <c r="AD10" s="552">
        <f t="shared" si="0"/>
        <v>343.22</v>
      </c>
      <c r="AE10" s="552">
        <f t="shared" si="0"/>
        <v>0</v>
      </c>
      <c r="AF10" s="423"/>
    </row>
    <row r="11" spans="1:33" x14ac:dyDescent="0.35">
      <c r="A11" s="406" t="s">
        <v>32</v>
      </c>
      <c r="B11" s="525">
        <f>B15+B19+B34</f>
        <v>8697.2000000000007</v>
      </c>
      <c r="C11" s="525">
        <f>C15+C19+C34</f>
        <v>821.6</v>
      </c>
      <c r="D11" s="525">
        <f>D15+D19+D34</f>
        <v>797.82793000000004</v>
      </c>
      <c r="E11" s="525">
        <f>E15+E19+E34</f>
        <v>797.83312999999998</v>
      </c>
      <c r="F11" s="563">
        <f>E11/B11</f>
        <v>9.1734481212344191E-2</v>
      </c>
      <c r="G11" s="563">
        <f>E11/C11</f>
        <v>0.97107245618305738</v>
      </c>
      <c r="H11" s="420">
        <f>H15+H19+H34</f>
        <v>15</v>
      </c>
      <c r="I11" s="420">
        <f t="shared" ref="I11:AE11" si="1">I15+I19+I34</f>
        <v>0</v>
      </c>
      <c r="J11" s="420">
        <f t="shared" si="1"/>
        <v>276.39999999999998</v>
      </c>
      <c r="K11" s="420">
        <f t="shared" si="1"/>
        <v>270.55313000000001</v>
      </c>
      <c r="L11" s="420">
        <f t="shared" si="1"/>
        <v>265.10000000000002</v>
      </c>
      <c r="M11" s="420">
        <f t="shared" si="1"/>
        <v>259.33</v>
      </c>
      <c r="N11" s="420">
        <f t="shared" si="1"/>
        <v>265.10000000000002</v>
      </c>
      <c r="O11" s="420">
        <f t="shared" si="1"/>
        <v>267.95</v>
      </c>
      <c r="P11" s="420">
        <f t="shared" si="1"/>
        <v>265.10000000000002</v>
      </c>
      <c r="Q11" s="420">
        <f t="shared" si="1"/>
        <v>0</v>
      </c>
      <c r="R11" s="420">
        <f t="shared" si="1"/>
        <v>2515.1</v>
      </c>
      <c r="S11" s="420">
        <f t="shared" si="1"/>
        <v>0</v>
      </c>
      <c r="T11" s="420">
        <f t="shared" si="1"/>
        <v>2115.1</v>
      </c>
      <c r="U11" s="420">
        <f t="shared" si="1"/>
        <v>0</v>
      </c>
      <c r="V11" s="420">
        <f t="shared" si="1"/>
        <v>2057</v>
      </c>
      <c r="W11" s="420">
        <f t="shared" si="1"/>
        <v>0</v>
      </c>
      <c r="X11" s="420">
        <f t="shared" si="1"/>
        <v>223.7</v>
      </c>
      <c r="Y11" s="420">
        <f t="shared" si="1"/>
        <v>0</v>
      </c>
      <c r="Z11" s="420">
        <f t="shared" si="1"/>
        <v>266.10000000000002</v>
      </c>
      <c r="AA11" s="420">
        <f t="shared" si="1"/>
        <v>0</v>
      </c>
      <c r="AB11" s="420">
        <f t="shared" si="1"/>
        <v>265.39999999999998</v>
      </c>
      <c r="AC11" s="420">
        <f t="shared" si="1"/>
        <v>0</v>
      </c>
      <c r="AD11" s="420">
        <f t="shared" si="1"/>
        <v>168.1</v>
      </c>
      <c r="AE11" s="420">
        <f t="shared" si="1"/>
        <v>0</v>
      </c>
      <c r="AF11" s="423"/>
    </row>
    <row r="12" spans="1:33" x14ac:dyDescent="0.35">
      <c r="A12" s="406" t="s">
        <v>33</v>
      </c>
      <c r="B12" s="525">
        <f>B16+B20</f>
        <v>20603.300000000003</v>
      </c>
      <c r="C12" s="525">
        <f>C16+C20</f>
        <v>2474.4699599999999</v>
      </c>
      <c r="D12" s="525">
        <f>D16+D20</f>
        <v>2440.4899599999999</v>
      </c>
      <c r="E12" s="525">
        <f>E16+E20</f>
        <v>1545.1580000000001</v>
      </c>
      <c r="F12" s="563">
        <f>E12/B12</f>
        <v>7.4995656035683603E-2</v>
      </c>
      <c r="G12" s="563">
        <f>E12/C12</f>
        <v>0.62443999118098015</v>
      </c>
      <c r="H12" s="420">
        <f>H16+H20</f>
        <v>31.614999999999998</v>
      </c>
      <c r="I12" s="420">
        <f t="shared" ref="I12:AE12" si="2">I16+I20</f>
        <v>13</v>
      </c>
      <c r="J12" s="420">
        <f t="shared" si="2"/>
        <v>929.40485999999999</v>
      </c>
      <c r="K12" s="420">
        <f t="shared" si="2"/>
        <v>543.86300000000006</v>
      </c>
      <c r="L12" s="420">
        <f t="shared" si="2"/>
        <v>474.63929000000002</v>
      </c>
      <c r="M12" s="420">
        <f t="shared" si="2"/>
        <v>482.85500000000002</v>
      </c>
      <c r="N12" s="420">
        <f t="shared" si="2"/>
        <v>1038.8108099999999</v>
      </c>
      <c r="O12" s="420">
        <f t="shared" si="2"/>
        <v>505.44</v>
      </c>
      <c r="P12" s="420">
        <f t="shared" si="2"/>
        <v>498.51928999999996</v>
      </c>
      <c r="Q12" s="420">
        <f t="shared" si="2"/>
        <v>0</v>
      </c>
      <c r="R12" s="420">
        <f t="shared" si="2"/>
        <v>8070.2516700000006</v>
      </c>
      <c r="S12" s="420">
        <f t="shared" si="2"/>
        <v>0</v>
      </c>
      <c r="T12" s="420">
        <f t="shared" si="2"/>
        <v>5283.1526700000004</v>
      </c>
      <c r="U12" s="420">
        <f t="shared" si="2"/>
        <v>0</v>
      </c>
      <c r="V12" s="420">
        <f t="shared" si="2"/>
        <v>2776.71857</v>
      </c>
      <c r="W12" s="420">
        <f t="shared" si="2"/>
        <v>0</v>
      </c>
      <c r="X12" s="420">
        <f t="shared" si="2"/>
        <v>422.83929000000001</v>
      </c>
      <c r="Y12" s="420">
        <f t="shared" si="2"/>
        <v>0</v>
      </c>
      <c r="Z12" s="420">
        <f t="shared" si="2"/>
        <v>441.01429000000002</v>
      </c>
      <c r="AA12" s="420">
        <f t="shared" si="2"/>
        <v>0</v>
      </c>
      <c r="AB12" s="420">
        <f t="shared" si="2"/>
        <v>461.21426000000002</v>
      </c>
      <c r="AC12" s="420">
        <f t="shared" si="2"/>
        <v>0</v>
      </c>
      <c r="AD12" s="420">
        <f t="shared" si="2"/>
        <v>175.12</v>
      </c>
      <c r="AE12" s="420">
        <f t="shared" si="2"/>
        <v>0</v>
      </c>
      <c r="AF12" s="423"/>
    </row>
    <row r="13" spans="1:33" ht="409.5" x14ac:dyDescent="0.35">
      <c r="A13" s="570" t="s">
        <v>25</v>
      </c>
      <c r="B13" s="555"/>
      <c r="C13" s="555"/>
      <c r="D13" s="555"/>
      <c r="E13" s="555"/>
      <c r="F13" s="556"/>
      <c r="G13" s="556"/>
      <c r="H13" s="558"/>
      <c r="I13" s="558"/>
      <c r="J13" s="558"/>
      <c r="K13" s="558"/>
      <c r="L13" s="558"/>
      <c r="M13" s="558"/>
      <c r="N13" s="558"/>
      <c r="O13" s="558"/>
      <c r="P13" s="558"/>
      <c r="Q13" s="558"/>
      <c r="R13" s="558"/>
      <c r="S13" s="558"/>
      <c r="T13" s="558"/>
      <c r="U13" s="558"/>
      <c r="V13" s="558"/>
      <c r="W13" s="558"/>
      <c r="X13" s="558"/>
      <c r="Y13" s="558"/>
      <c r="Z13" s="558"/>
      <c r="AA13" s="558"/>
      <c r="AB13" s="558"/>
      <c r="AC13" s="558"/>
      <c r="AD13" s="558"/>
      <c r="AE13" s="558"/>
      <c r="AF13" s="569" t="s">
        <v>549</v>
      </c>
    </row>
    <row r="14" spans="1:33" x14ac:dyDescent="0.35">
      <c r="A14" s="545" t="s">
        <v>65</v>
      </c>
      <c r="B14" s="551">
        <f>B15+B16</f>
        <v>1945.6</v>
      </c>
      <c r="C14" s="551">
        <f>C15+C16</f>
        <v>629.53</v>
      </c>
      <c r="D14" s="551">
        <f>D15+D16</f>
        <v>571.77792999999997</v>
      </c>
      <c r="E14" s="551">
        <f>E15+E16</f>
        <v>571.78313000000003</v>
      </c>
      <c r="F14" s="562">
        <f>E14/B14</f>
        <v>0.29388524362664475</v>
      </c>
      <c r="G14" s="562">
        <f>E14/C14</f>
        <v>0.90826986799675957</v>
      </c>
      <c r="H14" s="552">
        <f>H15+H16</f>
        <v>46.614999999999995</v>
      </c>
      <c r="I14" s="552">
        <f t="shared" ref="I14:AE14" si="3">I15+I16</f>
        <v>13</v>
      </c>
      <c r="J14" s="552">
        <f t="shared" si="3"/>
        <v>249.8</v>
      </c>
      <c r="K14" s="552">
        <f t="shared" si="3"/>
        <v>217.31313</v>
      </c>
      <c r="L14" s="552">
        <f t="shared" si="3"/>
        <v>180.01499999999999</v>
      </c>
      <c r="M14" s="552">
        <f t="shared" si="3"/>
        <v>150.26</v>
      </c>
      <c r="N14" s="552">
        <f t="shared" si="3"/>
        <v>153.1</v>
      </c>
      <c r="O14" s="552">
        <f t="shared" si="3"/>
        <v>191.21</v>
      </c>
      <c r="P14" s="552">
        <f t="shared" si="3"/>
        <v>203.89499999999998</v>
      </c>
      <c r="Q14" s="552">
        <f t="shared" si="3"/>
        <v>0</v>
      </c>
      <c r="R14" s="552">
        <f t="shared" si="3"/>
        <v>175.2</v>
      </c>
      <c r="S14" s="552">
        <f t="shared" si="3"/>
        <v>0</v>
      </c>
      <c r="T14" s="552">
        <f t="shared" si="3"/>
        <v>191.6</v>
      </c>
      <c r="U14" s="552">
        <f t="shared" si="3"/>
        <v>0</v>
      </c>
      <c r="V14" s="552">
        <f t="shared" si="3"/>
        <v>31.3</v>
      </c>
      <c r="W14" s="552">
        <f t="shared" si="3"/>
        <v>0</v>
      </c>
      <c r="X14" s="552">
        <f t="shared" si="3"/>
        <v>86.814999999999998</v>
      </c>
      <c r="Y14" s="552">
        <f t="shared" si="3"/>
        <v>0</v>
      </c>
      <c r="Z14" s="552">
        <f t="shared" si="3"/>
        <v>179.89999999999998</v>
      </c>
      <c r="AA14" s="552">
        <f t="shared" si="3"/>
        <v>0</v>
      </c>
      <c r="AB14" s="552">
        <f t="shared" si="3"/>
        <v>204.14000000000001</v>
      </c>
      <c r="AC14" s="552">
        <f t="shared" si="3"/>
        <v>0</v>
      </c>
      <c r="AD14" s="552">
        <f t="shared" si="3"/>
        <v>243.22</v>
      </c>
      <c r="AE14" s="552">
        <f t="shared" si="3"/>
        <v>0</v>
      </c>
      <c r="AF14" s="423"/>
      <c r="AG14" s="567">
        <f>C14-E14</f>
        <v>57.746869999999944</v>
      </c>
    </row>
    <row r="15" spans="1:33" x14ac:dyDescent="0.35">
      <c r="A15" s="406" t="s">
        <v>32</v>
      </c>
      <c r="B15" s="525">
        <f>H15+J15+L15+N15+P15+R15+T15+V15+X15+Z15+AB15+AD15</f>
        <v>647.19999999999993</v>
      </c>
      <c r="C15" s="404">
        <f>H15+J15+L15+N15</f>
        <v>221.6</v>
      </c>
      <c r="D15" s="405">
        <v>197.82793000000001</v>
      </c>
      <c r="E15" s="525">
        <f>I15+K15+M15+O15+Q15+S15+U15+W15+Y15+AA15+AC15+AE15</f>
        <v>197.83312999999998</v>
      </c>
      <c r="F15" s="563" t="e">
        <f>E15/B150</f>
        <v>#DIV/0!</v>
      </c>
      <c r="G15" s="563">
        <f>E15/C15</f>
        <v>0.89274878158844762</v>
      </c>
      <c r="H15" s="420">
        <v>15</v>
      </c>
      <c r="I15" s="420"/>
      <c r="J15" s="420">
        <v>76.400000000000006</v>
      </c>
      <c r="K15" s="420">
        <v>70.553129999999996</v>
      </c>
      <c r="L15" s="420">
        <v>65.099999999999994</v>
      </c>
      <c r="M15" s="420">
        <v>59.33</v>
      </c>
      <c r="N15" s="420">
        <v>65.099999999999994</v>
      </c>
      <c r="O15" s="420">
        <v>67.95</v>
      </c>
      <c r="P15" s="420">
        <v>65.099999999999994</v>
      </c>
      <c r="Q15" s="420"/>
      <c r="R15" s="420">
        <v>65.099999999999994</v>
      </c>
      <c r="S15" s="420"/>
      <c r="T15" s="420">
        <v>65.099999999999994</v>
      </c>
      <c r="U15" s="420"/>
      <c r="V15" s="420">
        <v>7</v>
      </c>
      <c r="W15" s="420"/>
      <c r="X15" s="420">
        <v>23.7</v>
      </c>
      <c r="Y15" s="420"/>
      <c r="Z15" s="420">
        <v>66.099999999999994</v>
      </c>
      <c r="AA15" s="420"/>
      <c r="AB15" s="420">
        <v>65.400000000000006</v>
      </c>
      <c r="AC15" s="420"/>
      <c r="AD15" s="420">
        <v>68.099999999999994</v>
      </c>
      <c r="AE15" s="420"/>
      <c r="AF15" s="423"/>
      <c r="AG15" s="565">
        <f t="shared" ref="AG15:AG38" si="4">C15-E15</f>
        <v>23.766870000000011</v>
      </c>
    </row>
    <row r="16" spans="1:33" x14ac:dyDescent="0.35">
      <c r="A16" s="406" t="s">
        <v>33</v>
      </c>
      <c r="B16" s="525">
        <f>H16+J16+L16+N16+P16+R16+T16+V16+X16+Z16+AB16+AD16</f>
        <v>1298.4000000000001</v>
      </c>
      <c r="C16" s="404">
        <f>H16+J16+L16+N16</f>
        <v>407.93</v>
      </c>
      <c r="D16" s="404">
        <f>E16</f>
        <v>373.95</v>
      </c>
      <c r="E16" s="525">
        <f>I16+K16+M16+O16+Q16+S16+U16+W16+Y16+AA16+AC16+AE16</f>
        <v>373.95</v>
      </c>
      <c r="F16" s="563">
        <f>E16/B16</f>
        <v>0.28800831792975967</v>
      </c>
      <c r="G16" s="563">
        <f>E16/C16</f>
        <v>0.91670139484715507</v>
      </c>
      <c r="H16" s="420">
        <v>31.614999999999998</v>
      </c>
      <c r="I16" s="420">
        <v>13</v>
      </c>
      <c r="J16" s="420">
        <v>173.4</v>
      </c>
      <c r="K16" s="420">
        <v>146.76</v>
      </c>
      <c r="L16" s="420">
        <v>114.91500000000001</v>
      </c>
      <c r="M16" s="420">
        <v>90.93</v>
      </c>
      <c r="N16" s="420">
        <v>88</v>
      </c>
      <c r="O16" s="420">
        <v>123.26</v>
      </c>
      <c r="P16" s="420">
        <v>138.79499999999999</v>
      </c>
      <c r="Q16" s="420"/>
      <c r="R16" s="420">
        <v>110.1</v>
      </c>
      <c r="S16" s="420"/>
      <c r="T16" s="420">
        <v>126.5</v>
      </c>
      <c r="U16" s="420"/>
      <c r="V16" s="420">
        <v>24.3</v>
      </c>
      <c r="W16" s="420"/>
      <c r="X16" s="420">
        <v>63.115000000000002</v>
      </c>
      <c r="Y16" s="420"/>
      <c r="Z16" s="420">
        <v>113.8</v>
      </c>
      <c r="AA16" s="420"/>
      <c r="AB16" s="420">
        <v>138.74</v>
      </c>
      <c r="AC16" s="420"/>
      <c r="AD16" s="420">
        <v>175.12</v>
      </c>
      <c r="AE16" s="420"/>
      <c r="AF16" s="423"/>
      <c r="AG16" s="565">
        <f t="shared" si="4"/>
        <v>33.980000000000018</v>
      </c>
    </row>
    <row r="17" spans="1:33" ht="38.25" x14ac:dyDescent="0.35">
      <c r="A17" s="554" t="s">
        <v>26</v>
      </c>
      <c r="B17" s="555"/>
      <c r="C17" s="555"/>
      <c r="D17" s="555"/>
      <c r="E17" s="555"/>
      <c r="F17" s="556"/>
      <c r="G17" s="556"/>
      <c r="H17" s="557"/>
      <c r="I17" s="557"/>
      <c r="J17" s="557"/>
      <c r="K17" s="557"/>
      <c r="L17" s="557"/>
      <c r="M17" s="557"/>
      <c r="N17" s="557"/>
      <c r="O17" s="557"/>
      <c r="P17" s="557"/>
      <c r="Q17" s="557"/>
      <c r="R17" s="557"/>
      <c r="S17" s="557"/>
      <c r="T17" s="557"/>
      <c r="U17" s="557"/>
      <c r="V17" s="557"/>
      <c r="W17" s="557"/>
      <c r="X17" s="557"/>
      <c r="Y17" s="557"/>
      <c r="Z17" s="557"/>
      <c r="AA17" s="557"/>
      <c r="AB17" s="557"/>
      <c r="AC17" s="557"/>
      <c r="AD17" s="557"/>
      <c r="AE17" s="557"/>
      <c r="AF17" s="423"/>
    </row>
    <row r="18" spans="1:33" x14ac:dyDescent="0.35">
      <c r="A18" s="545" t="s">
        <v>65</v>
      </c>
      <c r="B18" s="551">
        <f>B19+B20</f>
        <v>27254.9</v>
      </c>
      <c r="C18" s="551">
        <f>C19+C20</f>
        <v>2666.5399600000001</v>
      </c>
      <c r="D18" s="551">
        <f>D19+D20</f>
        <v>2666.5399600000001</v>
      </c>
      <c r="E18" s="551">
        <f>E19+E20</f>
        <v>1771.2080000000001</v>
      </c>
      <c r="F18" s="562">
        <f>E18/B18</f>
        <v>6.4986773020631147E-2</v>
      </c>
      <c r="G18" s="562">
        <f>E18/C18</f>
        <v>0.66423456110517087</v>
      </c>
      <c r="H18" s="552">
        <f>H19+H20</f>
        <v>0</v>
      </c>
      <c r="I18" s="552">
        <f t="shared" ref="I18:AE18" si="5">I19+I20</f>
        <v>0</v>
      </c>
      <c r="J18" s="552">
        <f t="shared" si="5"/>
        <v>956.00486000000001</v>
      </c>
      <c r="K18" s="552">
        <f t="shared" si="5"/>
        <v>597.10300000000007</v>
      </c>
      <c r="L18" s="552">
        <f t="shared" si="5"/>
        <v>559.72429</v>
      </c>
      <c r="M18" s="552">
        <f t="shared" si="5"/>
        <v>591.92499999999995</v>
      </c>
      <c r="N18" s="552">
        <f t="shared" si="5"/>
        <v>1150.8108099999999</v>
      </c>
      <c r="O18" s="552">
        <f t="shared" si="5"/>
        <v>582.18000000000006</v>
      </c>
      <c r="P18" s="552">
        <f t="shared" si="5"/>
        <v>559.72429</v>
      </c>
      <c r="Q18" s="552">
        <f t="shared" si="5"/>
        <v>0</v>
      </c>
      <c r="R18" s="552">
        <f t="shared" si="5"/>
        <v>10410.151669999999</v>
      </c>
      <c r="S18" s="552">
        <f t="shared" si="5"/>
        <v>0</v>
      </c>
      <c r="T18" s="552">
        <f t="shared" si="5"/>
        <v>7206.6526700000004</v>
      </c>
      <c r="U18" s="552">
        <f t="shared" si="5"/>
        <v>0</v>
      </c>
      <c r="V18" s="552">
        <f t="shared" si="5"/>
        <v>4802.4185699999998</v>
      </c>
      <c r="W18" s="552">
        <f t="shared" si="5"/>
        <v>0</v>
      </c>
      <c r="X18" s="552">
        <f t="shared" si="5"/>
        <v>559.72429</v>
      </c>
      <c r="Y18" s="552">
        <f t="shared" si="5"/>
        <v>0</v>
      </c>
      <c r="Z18" s="552">
        <f t="shared" si="5"/>
        <v>527.21429000000001</v>
      </c>
      <c r="AA18" s="552">
        <f t="shared" si="5"/>
        <v>0</v>
      </c>
      <c r="AB18" s="552">
        <f t="shared" si="5"/>
        <v>522.47425999999996</v>
      </c>
      <c r="AC18" s="552">
        <f t="shared" si="5"/>
        <v>0</v>
      </c>
      <c r="AD18" s="552">
        <f t="shared" si="5"/>
        <v>0</v>
      </c>
      <c r="AE18" s="552">
        <f t="shared" si="5"/>
        <v>0</v>
      </c>
      <c r="AF18" s="423"/>
      <c r="AG18" s="565">
        <f t="shared" si="4"/>
        <v>895.33195999999998</v>
      </c>
    </row>
    <row r="19" spans="1:33" x14ac:dyDescent="0.35">
      <c r="A19" s="406" t="s">
        <v>32</v>
      </c>
      <c r="B19" s="525">
        <f>B23+B27</f>
        <v>7950</v>
      </c>
      <c r="C19" s="525">
        <f>C23+C27</f>
        <v>600</v>
      </c>
      <c r="D19" s="525">
        <f>D23+D27</f>
        <v>600</v>
      </c>
      <c r="E19" s="525">
        <f>E23+E27</f>
        <v>600</v>
      </c>
      <c r="F19" s="563">
        <f>E19/B19</f>
        <v>7.5471698113207544E-2</v>
      </c>
      <c r="G19" s="563">
        <f>E19/C19</f>
        <v>1</v>
      </c>
      <c r="H19" s="552">
        <f>H23+H27</f>
        <v>0</v>
      </c>
      <c r="I19" s="552">
        <f t="shared" ref="I19:AE19" si="6">I23+I27</f>
        <v>0</v>
      </c>
      <c r="J19" s="552">
        <f t="shared" si="6"/>
        <v>200</v>
      </c>
      <c r="K19" s="552">
        <f t="shared" si="6"/>
        <v>200</v>
      </c>
      <c r="L19" s="552">
        <f t="shared" si="6"/>
        <v>200</v>
      </c>
      <c r="M19" s="552">
        <f t="shared" si="6"/>
        <v>200</v>
      </c>
      <c r="N19" s="552">
        <f t="shared" si="6"/>
        <v>200</v>
      </c>
      <c r="O19" s="552">
        <f t="shared" si="6"/>
        <v>200</v>
      </c>
      <c r="P19" s="552">
        <f t="shared" si="6"/>
        <v>200</v>
      </c>
      <c r="Q19" s="552">
        <f t="shared" si="6"/>
        <v>0</v>
      </c>
      <c r="R19" s="552">
        <f t="shared" si="6"/>
        <v>2450</v>
      </c>
      <c r="S19" s="552">
        <f t="shared" si="6"/>
        <v>0</v>
      </c>
      <c r="T19" s="552">
        <f t="shared" si="6"/>
        <v>2050</v>
      </c>
      <c r="U19" s="552">
        <f t="shared" si="6"/>
        <v>0</v>
      </c>
      <c r="V19" s="552">
        <f t="shared" si="6"/>
        <v>2050</v>
      </c>
      <c r="W19" s="552">
        <f t="shared" si="6"/>
        <v>0</v>
      </c>
      <c r="X19" s="552">
        <f t="shared" si="6"/>
        <v>200</v>
      </c>
      <c r="Y19" s="552">
        <f t="shared" si="6"/>
        <v>0</v>
      </c>
      <c r="Z19" s="552">
        <f t="shared" si="6"/>
        <v>200</v>
      </c>
      <c r="AA19" s="552">
        <f t="shared" si="6"/>
        <v>0</v>
      </c>
      <c r="AB19" s="552">
        <f t="shared" si="6"/>
        <v>200</v>
      </c>
      <c r="AC19" s="552">
        <f t="shared" si="6"/>
        <v>0</v>
      </c>
      <c r="AD19" s="552">
        <f t="shared" si="6"/>
        <v>0</v>
      </c>
      <c r="AE19" s="552">
        <f t="shared" si="6"/>
        <v>0</v>
      </c>
      <c r="AF19" s="423"/>
      <c r="AG19" s="565">
        <f t="shared" si="4"/>
        <v>0</v>
      </c>
    </row>
    <row r="20" spans="1:33" x14ac:dyDescent="0.35">
      <c r="A20" s="406" t="s">
        <v>33</v>
      </c>
      <c r="B20" s="525">
        <f>B24+B28+B31</f>
        <v>19304.900000000001</v>
      </c>
      <c r="C20" s="525">
        <f>C24+C28+C31</f>
        <v>2066.5399600000001</v>
      </c>
      <c r="D20" s="525">
        <f>D24+D28+D31</f>
        <v>2066.5399600000001</v>
      </c>
      <c r="E20" s="525">
        <f>E24+E28+E31</f>
        <v>1171.2080000000001</v>
      </c>
      <c r="F20" s="563">
        <f>E20/B20</f>
        <v>6.0668949334106888E-2</v>
      </c>
      <c r="G20" s="563">
        <f>E20/C20</f>
        <v>0.56674829554227446</v>
      </c>
      <c r="H20" s="552">
        <f>H24+H28+H31</f>
        <v>0</v>
      </c>
      <c r="I20" s="552">
        <f t="shared" ref="I20:AE20" si="7">I24+I28+I31</f>
        <v>0</v>
      </c>
      <c r="J20" s="552">
        <f t="shared" si="7"/>
        <v>756.00486000000001</v>
      </c>
      <c r="K20" s="552">
        <f t="shared" si="7"/>
        <v>397.10300000000001</v>
      </c>
      <c r="L20" s="552">
        <f t="shared" si="7"/>
        <v>359.72429</v>
      </c>
      <c r="M20" s="552">
        <f t="shared" si="7"/>
        <v>391.92500000000001</v>
      </c>
      <c r="N20" s="552">
        <f t="shared" si="7"/>
        <v>950.81081000000006</v>
      </c>
      <c r="O20" s="552">
        <f t="shared" si="7"/>
        <v>382.18</v>
      </c>
      <c r="P20" s="552">
        <f>P24+P28+P31</f>
        <v>359.72429</v>
      </c>
      <c r="Q20" s="552">
        <f t="shared" si="7"/>
        <v>0</v>
      </c>
      <c r="R20" s="552">
        <f t="shared" si="7"/>
        <v>7960.1516700000002</v>
      </c>
      <c r="S20" s="552">
        <f t="shared" si="7"/>
        <v>0</v>
      </c>
      <c r="T20" s="552">
        <f t="shared" si="7"/>
        <v>5156.6526700000004</v>
      </c>
      <c r="U20" s="552">
        <f t="shared" si="7"/>
        <v>0</v>
      </c>
      <c r="V20" s="552">
        <f t="shared" si="7"/>
        <v>2752.4185699999998</v>
      </c>
      <c r="W20" s="552">
        <f t="shared" si="7"/>
        <v>0</v>
      </c>
      <c r="X20" s="552">
        <f t="shared" si="7"/>
        <v>359.72429</v>
      </c>
      <c r="Y20" s="552">
        <f t="shared" si="7"/>
        <v>0</v>
      </c>
      <c r="Z20" s="552">
        <f t="shared" si="7"/>
        <v>327.21429000000001</v>
      </c>
      <c r="AA20" s="552">
        <f t="shared" si="7"/>
        <v>0</v>
      </c>
      <c r="AB20" s="552">
        <f t="shared" si="7"/>
        <v>322.47426000000002</v>
      </c>
      <c r="AC20" s="552">
        <f t="shared" si="7"/>
        <v>0</v>
      </c>
      <c r="AD20" s="552">
        <f t="shared" si="7"/>
        <v>0</v>
      </c>
      <c r="AE20" s="552">
        <f t="shared" si="7"/>
        <v>0</v>
      </c>
      <c r="AF20" s="423"/>
      <c r="AG20" s="565">
        <f t="shared" si="4"/>
        <v>895.33195999999998</v>
      </c>
    </row>
    <row r="21" spans="1:33" ht="135" x14ac:dyDescent="0.35">
      <c r="A21" s="571" t="s">
        <v>27</v>
      </c>
      <c r="B21" s="530"/>
      <c r="C21" s="530"/>
      <c r="D21" s="530"/>
      <c r="E21" s="530"/>
      <c r="F21" s="531"/>
      <c r="G21" s="531"/>
      <c r="H21" s="529"/>
      <c r="I21" s="529"/>
      <c r="J21" s="529"/>
      <c r="K21" s="529"/>
      <c r="L21" s="529"/>
      <c r="M21" s="529"/>
      <c r="N21" s="529"/>
      <c r="O21" s="529"/>
      <c r="P21" s="529"/>
      <c r="Q21" s="529"/>
      <c r="R21" s="529"/>
      <c r="S21" s="529"/>
      <c r="T21" s="529"/>
      <c r="U21" s="529"/>
      <c r="V21" s="529"/>
      <c r="W21" s="529"/>
      <c r="X21" s="529"/>
      <c r="Y21" s="529"/>
      <c r="Z21" s="529"/>
      <c r="AA21" s="529"/>
      <c r="AB21" s="529"/>
      <c r="AC21" s="529"/>
      <c r="AD21" s="529"/>
      <c r="AE21" s="529"/>
      <c r="AF21" s="569" t="s">
        <v>550</v>
      </c>
    </row>
    <row r="22" spans="1:33" x14ac:dyDescent="0.35">
      <c r="A22" s="545" t="s">
        <v>65</v>
      </c>
      <c r="B22" s="551">
        <f>B23+B24</f>
        <v>20128.300000000003</v>
      </c>
      <c r="C22" s="551">
        <f>C23+C24</f>
        <v>610.53611000000001</v>
      </c>
      <c r="D22" s="551">
        <f>D23+D24</f>
        <v>610.53611000000001</v>
      </c>
      <c r="E22" s="551">
        <f>E23+E24</f>
        <v>77.19</v>
      </c>
      <c r="F22" s="562">
        <f>E22/B22</f>
        <v>3.8348991221315255E-3</v>
      </c>
      <c r="G22" s="562">
        <f>E22/C22</f>
        <v>0.12642986833325878</v>
      </c>
      <c r="H22" s="552">
        <f>H23+H24</f>
        <v>0</v>
      </c>
      <c r="I22" s="552">
        <f t="shared" ref="I22:AE22" si="8">I23+I24</f>
        <v>0</v>
      </c>
      <c r="J22" s="552">
        <f t="shared" si="8"/>
        <v>77.190569999999994</v>
      </c>
      <c r="K22" s="552">
        <f t="shared" si="8"/>
        <v>0</v>
      </c>
      <c r="L22" s="552">
        <f t="shared" si="8"/>
        <v>0</v>
      </c>
      <c r="M22" s="552">
        <f t="shared" si="8"/>
        <v>0</v>
      </c>
      <c r="N22" s="552">
        <f t="shared" si="8"/>
        <v>533.34554000000003</v>
      </c>
      <c r="O22" s="552">
        <f t="shared" si="8"/>
        <v>77.19</v>
      </c>
      <c r="P22" s="552">
        <f t="shared" si="8"/>
        <v>0</v>
      </c>
      <c r="Q22" s="552">
        <f t="shared" si="8"/>
        <v>0</v>
      </c>
      <c r="R22" s="552">
        <f t="shared" si="8"/>
        <v>9419.2250000000004</v>
      </c>
      <c r="S22" s="552">
        <f t="shared" si="8"/>
        <v>0</v>
      </c>
      <c r="T22" s="552">
        <f t="shared" si="8"/>
        <v>6240.2560000000003</v>
      </c>
      <c r="U22" s="552">
        <f t="shared" si="8"/>
        <v>0</v>
      </c>
      <c r="V22" s="552">
        <f t="shared" si="8"/>
        <v>3858.28289</v>
      </c>
      <c r="W22" s="552">
        <f t="shared" si="8"/>
        <v>0</v>
      </c>
      <c r="X22" s="552">
        <f t="shared" si="8"/>
        <v>0</v>
      </c>
      <c r="Y22" s="552">
        <f t="shared" si="8"/>
        <v>0</v>
      </c>
      <c r="Z22" s="552">
        <f t="shared" si="8"/>
        <v>0</v>
      </c>
      <c r="AA22" s="552">
        <f t="shared" si="8"/>
        <v>0</v>
      </c>
      <c r="AB22" s="552">
        <f t="shared" si="8"/>
        <v>0</v>
      </c>
      <c r="AC22" s="552">
        <f t="shared" si="8"/>
        <v>0</v>
      </c>
      <c r="AD22" s="552">
        <f t="shared" si="8"/>
        <v>0</v>
      </c>
      <c r="AE22" s="552">
        <f t="shared" si="8"/>
        <v>0</v>
      </c>
      <c r="AF22" s="423"/>
      <c r="AG22" s="565">
        <f t="shared" si="4"/>
        <v>533.34610999999995</v>
      </c>
    </row>
    <row r="23" spans="1:33" x14ac:dyDescent="0.35">
      <c r="A23" s="406" t="s">
        <v>32</v>
      </c>
      <c r="B23" s="525">
        <f>H23+J23+L23+N23+P23+R23+T23+V23+X23+Z23+AB23+AD23</f>
        <v>6550</v>
      </c>
      <c r="C23" s="405">
        <f>H23+J23+L23+N23</f>
        <v>0</v>
      </c>
      <c r="D23" s="405"/>
      <c r="E23" s="525">
        <f>I23+K23+M23+O23+Q23+S23+U23+W23+Y23+AA23+AC23+AE23</f>
        <v>0</v>
      </c>
      <c r="F23" s="563">
        <f>E23/B23</f>
        <v>0</v>
      </c>
      <c r="G23" s="563" t="e">
        <f>E23/C23</f>
        <v>#DIV/0!</v>
      </c>
      <c r="H23" s="420"/>
      <c r="I23" s="420"/>
      <c r="J23" s="420"/>
      <c r="K23" s="420"/>
      <c r="L23" s="420"/>
      <c r="M23" s="420"/>
      <c r="N23" s="420"/>
      <c r="O23" s="420"/>
      <c r="P23" s="420"/>
      <c r="Q23" s="420"/>
      <c r="R23" s="420">
        <v>2450</v>
      </c>
      <c r="S23" s="420"/>
      <c r="T23" s="420">
        <v>2050</v>
      </c>
      <c r="U23" s="420"/>
      <c r="V23" s="420">
        <v>2050</v>
      </c>
      <c r="W23" s="420"/>
      <c r="X23" s="420"/>
      <c r="Y23" s="420"/>
      <c r="Z23" s="420"/>
      <c r="AA23" s="420"/>
      <c r="AB23" s="420"/>
      <c r="AC23" s="420"/>
      <c r="AD23" s="420"/>
      <c r="AE23" s="420"/>
      <c r="AF23" s="423"/>
      <c r="AG23" s="565">
        <f t="shared" si="4"/>
        <v>0</v>
      </c>
    </row>
    <row r="24" spans="1:33" x14ac:dyDescent="0.35">
      <c r="A24" s="406" t="s">
        <v>33</v>
      </c>
      <c r="B24" s="525">
        <f>H24+J24+L24+N24+P24+R24+T24+V24+X24+Z24+AB24+AD24</f>
        <v>13578.300000000001</v>
      </c>
      <c r="C24" s="405">
        <f>H24+J24+L24+N24</f>
        <v>610.53611000000001</v>
      </c>
      <c r="D24" s="405">
        <f>C24</f>
        <v>610.53611000000001</v>
      </c>
      <c r="E24" s="525">
        <f>I24+K24+M24+O24+Q24+S24+U24+W24+Y24+AA24+AC24+AE24</f>
        <v>77.19</v>
      </c>
      <c r="F24" s="563">
        <f>E24/B24</f>
        <v>5.6848059035372609E-3</v>
      </c>
      <c r="G24" s="563">
        <f>E24/C24</f>
        <v>0.12642986833325878</v>
      </c>
      <c r="H24" s="420"/>
      <c r="I24" s="420"/>
      <c r="J24" s="420">
        <v>77.190569999999994</v>
      </c>
      <c r="K24" s="420"/>
      <c r="L24" s="420"/>
      <c r="M24" s="420"/>
      <c r="N24" s="420">
        <v>533.34554000000003</v>
      </c>
      <c r="O24" s="420">
        <v>77.19</v>
      </c>
      <c r="P24" s="420"/>
      <c r="Q24" s="420"/>
      <c r="R24" s="420">
        <v>6969.2250000000004</v>
      </c>
      <c r="S24" s="420"/>
      <c r="T24" s="420">
        <v>4190.2560000000003</v>
      </c>
      <c r="U24" s="420"/>
      <c r="V24" s="420">
        <v>1808.28289</v>
      </c>
      <c r="W24" s="420"/>
      <c r="X24" s="420"/>
      <c r="Y24" s="420"/>
      <c r="Z24" s="420"/>
      <c r="AA24" s="420"/>
      <c r="AB24" s="420"/>
      <c r="AC24" s="420"/>
      <c r="AD24" s="420"/>
      <c r="AE24" s="420"/>
      <c r="AF24" s="423"/>
      <c r="AG24" s="565">
        <f t="shared" si="4"/>
        <v>533.34610999999995</v>
      </c>
    </row>
    <row r="25" spans="1:33" ht="165" x14ac:dyDescent="0.35">
      <c r="A25" s="571" t="s">
        <v>28</v>
      </c>
      <c r="B25" s="530"/>
      <c r="C25" s="530"/>
      <c r="D25" s="530"/>
      <c r="E25" s="530"/>
      <c r="F25" s="531"/>
      <c r="G25" s="531"/>
      <c r="H25" s="529"/>
      <c r="I25" s="529"/>
      <c r="J25" s="529"/>
      <c r="K25" s="529"/>
      <c r="L25" s="529"/>
      <c r="M25" s="529"/>
      <c r="N25" s="529"/>
      <c r="O25" s="529"/>
      <c r="P25" s="529"/>
      <c r="Q25" s="529"/>
      <c r="R25" s="529"/>
      <c r="S25" s="529"/>
      <c r="T25" s="529"/>
      <c r="U25" s="529"/>
      <c r="V25" s="529"/>
      <c r="W25" s="529"/>
      <c r="X25" s="529"/>
      <c r="Y25" s="529"/>
      <c r="Z25" s="529"/>
      <c r="AA25" s="529"/>
      <c r="AB25" s="529"/>
      <c r="AC25" s="529"/>
      <c r="AD25" s="529"/>
      <c r="AE25" s="529"/>
      <c r="AF25" s="569" t="s">
        <v>551</v>
      </c>
    </row>
    <row r="26" spans="1:33" x14ac:dyDescent="0.35">
      <c r="A26" s="545" t="s">
        <v>65</v>
      </c>
      <c r="B26" s="551">
        <f>B27+B28</f>
        <v>4167.3999999999996</v>
      </c>
      <c r="C26" s="551">
        <f>C27+C28</f>
        <v>1998.26287</v>
      </c>
      <c r="D26" s="551">
        <f>D27+D28</f>
        <v>1998.26287</v>
      </c>
      <c r="E26" s="551">
        <f>E27+E28</f>
        <v>1694.018</v>
      </c>
      <c r="F26" s="562">
        <f>E26/B26</f>
        <v>0.40649277727120031</v>
      </c>
      <c r="G26" s="562">
        <f>E26/C26</f>
        <v>0.84774532191552954</v>
      </c>
      <c r="H26" s="552">
        <f>H27+H28</f>
        <v>0</v>
      </c>
      <c r="I26" s="552">
        <f t="shared" ref="I26:AE26" si="9">I27+I28</f>
        <v>0</v>
      </c>
      <c r="J26" s="552">
        <f t="shared" si="9"/>
        <v>878.81429000000003</v>
      </c>
      <c r="K26" s="552">
        <f t="shared" si="9"/>
        <v>597.10300000000007</v>
      </c>
      <c r="L26" s="552">
        <f t="shared" si="9"/>
        <v>559.72429</v>
      </c>
      <c r="M26" s="552">
        <f t="shared" si="9"/>
        <v>591.92499999999995</v>
      </c>
      <c r="N26" s="552">
        <f t="shared" si="9"/>
        <v>559.72429</v>
      </c>
      <c r="O26" s="552">
        <f t="shared" si="9"/>
        <v>504.99</v>
      </c>
      <c r="P26" s="552">
        <f t="shared" si="9"/>
        <v>559.72429</v>
      </c>
      <c r="Q26" s="552">
        <f t="shared" si="9"/>
        <v>0</v>
      </c>
      <c r="R26" s="552">
        <f t="shared" si="9"/>
        <v>0</v>
      </c>
      <c r="S26" s="552">
        <f t="shared" si="9"/>
        <v>0</v>
      </c>
      <c r="T26" s="552">
        <f t="shared" si="9"/>
        <v>0</v>
      </c>
      <c r="U26" s="552">
        <f t="shared" si="9"/>
        <v>0</v>
      </c>
      <c r="V26" s="552">
        <f t="shared" si="9"/>
        <v>0</v>
      </c>
      <c r="W26" s="552">
        <f t="shared" si="9"/>
        <v>0</v>
      </c>
      <c r="X26" s="552">
        <f t="shared" si="9"/>
        <v>559.72429</v>
      </c>
      <c r="Y26" s="552">
        <f t="shared" si="9"/>
        <v>0</v>
      </c>
      <c r="Z26" s="552">
        <f t="shared" si="9"/>
        <v>527.21429000000001</v>
      </c>
      <c r="AA26" s="552">
        <f t="shared" si="9"/>
        <v>0</v>
      </c>
      <c r="AB26" s="552">
        <f t="shared" si="9"/>
        <v>522.47425999999996</v>
      </c>
      <c r="AC26" s="552">
        <f t="shared" si="9"/>
        <v>0</v>
      </c>
      <c r="AD26" s="552">
        <f t="shared" si="9"/>
        <v>0</v>
      </c>
      <c r="AE26" s="552">
        <f t="shared" si="9"/>
        <v>0</v>
      </c>
      <c r="AF26" s="423"/>
      <c r="AG26" s="565">
        <f t="shared" si="4"/>
        <v>304.24486999999999</v>
      </c>
    </row>
    <row r="27" spans="1:33" x14ac:dyDescent="0.35">
      <c r="A27" s="406" t="s">
        <v>32</v>
      </c>
      <c r="B27" s="525">
        <f>H27+J27+L27+N27+P27+R27+T27+V27+X27+Z27+AB27+AD27</f>
        <v>1400</v>
      </c>
      <c r="C27" s="405">
        <f>H27+J27+L27+N27</f>
        <v>600</v>
      </c>
      <c r="D27" s="405">
        <v>600</v>
      </c>
      <c r="E27" s="525">
        <f>I27+K27+M27+O27+Q27+S27+U27+W27+Y27+AA27+AC27+AE27</f>
        <v>600</v>
      </c>
      <c r="F27" s="563">
        <f>E27/B27</f>
        <v>0.42857142857142855</v>
      </c>
      <c r="G27" s="563">
        <f>E27/C27</f>
        <v>1</v>
      </c>
      <c r="H27" s="420"/>
      <c r="I27" s="420"/>
      <c r="J27" s="420">
        <v>200</v>
      </c>
      <c r="K27" s="420">
        <v>200</v>
      </c>
      <c r="L27" s="420">
        <v>200</v>
      </c>
      <c r="M27" s="420">
        <v>200</v>
      </c>
      <c r="N27" s="420">
        <v>200</v>
      </c>
      <c r="O27" s="420">
        <v>200</v>
      </c>
      <c r="P27" s="420">
        <v>200</v>
      </c>
      <c r="Q27" s="420"/>
      <c r="R27" s="420"/>
      <c r="S27" s="420"/>
      <c r="T27" s="420"/>
      <c r="U27" s="420"/>
      <c r="V27" s="420"/>
      <c r="W27" s="420"/>
      <c r="X27" s="420">
        <v>200</v>
      </c>
      <c r="Y27" s="420"/>
      <c r="Z27" s="420">
        <v>200</v>
      </c>
      <c r="AA27" s="420"/>
      <c r="AB27" s="420">
        <v>200</v>
      </c>
      <c r="AC27" s="420"/>
      <c r="AD27" s="420"/>
      <c r="AE27" s="420"/>
      <c r="AF27" s="423"/>
      <c r="AG27" s="565">
        <f t="shared" si="4"/>
        <v>0</v>
      </c>
    </row>
    <row r="28" spans="1:33" x14ac:dyDescent="0.35">
      <c r="A28" s="406" t="s">
        <v>33</v>
      </c>
      <c r="B28" s="525">
        <f>H28+J28+L28+N28+P28+R28+T28+V28+X28+Z28+AB28+AD28</f>
        <v>2767.4</v>
      </c>
      <c r="C28" s="405">
        <f>H28+J28+L28+N28</f>
        <v>1398.26287</v>
      </c>
      <c r="D28" s="405">
        <f>C28</f>
        <v>1398.26287</v>
      </c>
      <c r="E28" s="525">
        <f>I28+K28+M28+O28+Q28+S28+U28+W28+Y28+AA28+AC28+AE28</f>
        <v>1094.018</v>
      </c>
      <c r="F28" s="563">
        <f>E28/B28</f>
        <v>0.39532340825323409</v>
      </c>
      <c r="G28" s="563">
        <f>E28/C28</f>
        <v>0.78241225128147762</v>
      </c>
      <c r="H28" s="420"/>
      <c r="I28" s="420"/>
      <c r="J28" s="420">
        <v>678.81429000000003</v>
      </c>
      <c r="K28" s="420">
        <v>397.10300000000001</v>
      </c>
      <c r="L28" s="420">
        <v>359.72429</v>
      </c>
      <c r="M28" s="420">
        <v>391.92500000000001</v>
      </c>
      <c r="N28" s="420">
        <v>359.72429</v>
      </c>
      <c r="O28" s="420">
        <v>304.99</v>
      </c>
      <c r="P28" s="420">
        <v>359.72429</v>
      </c>
      <c r="Q28" s="420"/>
      <c r="R28" s="420"/>
      <c r="S28" s="420"/>
      <c r="T28" s="420"/>
      <c r="U28" s="420"/>
      <c r="V28" s="420"/>
      <c r="W28" s="420"/>
      <c r="X28" s="420">
        <v>359.72429</v>
      </c>
      <c r="Y28" s="420"/>
      <c r="Z28" s="420">
        <v>327.21429000000001</v>
      </c>
      <c r="AA28" s="420"/>
      <c r="AB28" s="420">
        <v>322.47426000000002</v>
      </c>
      <c r="AC28" s="420"/>
      <c r="AD28" s="420"/>
      <c r="AE28" s="420"/>
      <c r="AF28" s="423"/>
      <c r="AG28" s="565">
        <f t="shared" si="4"/>
        <v>304.24486999999999</v>
      </c>
    </row>
    <row r="29" spans="1:33" ht="120" x14ac:dyDescent="0.35">
      <c r="A29" s="571" t="s">
        <v>29</v>
      </c>
      <c r="B29" s="530"/>
      <c r="C29" s="530"/>
      <c r="D29" s="530"/>
      <c r="E29" s="530"/>
      <c r="F29" s="531"/>
      <c r="G29" s="531"/>
      <c r="H29" s="529"/>
      <c r="I29" s="529"/>
      <c r="J29" s="529"/>
      <c r="K29" s="529"/>
      <c r="L29" s="529"/>
      <c r="M29" s="529"/>
      <c r="N29" s="529"/>
      <c r="O29" s="529"/>
      <c r="P29" s="529"/>
      <c r="Q29" s="529"/>
      <c r="R29" s="529"/>
      <c r="S29" s="529"/>
      <c r="T29" s="529"/>
      <c r="U29" s="529"/>
      <c r="V29" s="529"/>
      <c r="W29" s="529"/>
      <c r="X29" s="529"/>
      <c r="Y29" s="529"/>
      <c r="Z29" s="529"/>
      <c r="AA29" s="529"/>
      <c r="AB29" s="529"/>
      <c r="AC29" s="529"/>
      <c r="AD29" s="529"/>
      <c r="AE29" s="529"/>
      <c r="AF29" s="568" t="s">
        <v>552</v>
      </c>
    </row>
    <row r="30" spans="1:33" x14ac:dyDescent="0.35">
      <c r="A30" s="545" t="s">
        <v>65</v>
      </c>
      <c r="B30" s="551">
        <f>B31</f>
        <v>2959.2</v>
      </c>
      <c r="C30" s="551">
        <f>C31</f>
        <v>57.74098</v>
      </c>
      <c r="D30" s="551">
        <f>D31</f>
        <v>57.74098</v>
      </c>
      <c r="E30" s="551">
        <f>E31</f>
        <v>0</v>
      </c>
      <c r="F30" s="562">
        <f>E30/B30</f>
        <v>0</v>
      </c>
      <c r="G30" s="562">
        <f>E30/C30</f>
        <v>0</v>
      </c>
      <c r="H30" s="552">
        <f>H31</f>
        <v>0</v>
      </c>
      <c r="I30" s="552">
        <f t="shared" ref="I30:AE30" si="10">I31</f>
        <v>0</v>
      </c>
      <c r="J30" s="552">
        <f t="shared" si="10"/>
        <v>0</v>
      </c>
      <c r="K30" s="552">
        <f t="shared" si="10"/>
        <v>0</v>
      </c>
      <c r="L30" s="552">
        <f t="shared" si="10"/>
        <v>0</v>
      </c>
      <c r="M30" s="552">
        <f t="shared" si="10"/>
        <v>0</v>
      </c>
      <c r="N30" s="552">
        <f t="shared" si="10"/>
        <v>57.74098</v>
      </c>
      <c r="O30" s="552">
        <f t="shared" si="10"/>
        <v>0</v>
      </c>
      <c r="P30" s="552">
        <f t="shared" si="10"/>
        <v>0</v>
      </c>
      <c r="Q30" s="552">
        <f t="shared" si="10"/>
        <v>0</v>
      </c>
      <c r="R30" s="552">
        <f t="shared" si="10"/>
        <v>990.92666999999994</v>
      </c>
      <c r="S30" s="552">
        <f t="shared" si="10"/>
        <v>0</v>
      </c>
      <c r="T30" s="552">
        <f t="shared" si="10"/>
        <v>966.39666999999997</v>
      </c>
      <c r="U30" s="552">
        <f t="shared" si="10"/>
        <v>0</v>
      </c>
      <c r="V30" s="552">
        <f t="shared" si="10"/>
        <v>944.13567999999998</v>
      </c>
      <c r="W30" s="552">
        <f t="shared" si="10"/>
        <v>0</v>
      </c>
      <c r="X30" s="552">
        <f t="shared" si="10"/>
        <v>0</v>
      </c>
      <c r="Y30" s="552">
        <f t="shared" si="10"/>
        <v>0</v>
      </c>
      <c r="Z30" s="552">
        <f t="shared" si="10"/>
        <v>0</v>
      </c>
      <c r="AA30" s="552">
        <f t="shared" si="10"/>
        <v>0</v>
      </c>
      <c r="AB30" s="552">
        <f t="shared" si="10"/>
        <v>0</v>
      </c>
      <c r="AC30" s="552">
        <f t="shared" si="10"/>
        <v>0</v>
      </c>
      <c r="AD30" s="552">
        <f t="shared" si="10"/>
        <v>0</v>
      </c>
      <c r="AE30" s="552">
        <f t="shared" si="10"/>
        <v>0</v>
      </c>
      <c r="AF30" s="423"/>
      <c r="AG30" s="565">
        <f t="shared" si="4"/>
        <v>57.74098</v>
      </c>
    </row>
    <row r="31" spans="1:33" x14ac:dyDescent="0.35">
      <c r="A31" s="406" t="s">
        <v>33</v>
      </c>
      <c r="B31" s="525">
        <f>H31+J31+L31+N31+P31+R31+T31+V31+X31+Z31+AB31+AD31</f>
        <v>2959.2</v>
      </c>
      <c r="C31" s="405">
        <f>H31+J31+L31+N31</f>
        <v>57.74098</v>
      </c>
      <c r="D31" s="405">
        <f>C31</f>
        <v>57.74098</v>
      </c>
      <c r="E31" s="525">
        <f>I31+K31+M31+O31+Q31+S31+U31+W31+Y31+AA31+AC31+AE31</f>
        <v>0</v>
      </c>
      <c r="F31" s="563">
        <f>E31/B31</f>
        <v>0</v>
      </c>
      <c r="G31" s="563">
        <f>E31/C31</f>
        <v>0</v>
      </c>
      <c r="H31" s="420"/>
      <c r="I31" s="420"/>
      <c r="J31" s="420"/>
      <c r="K31" s="420"/>
      <c r="L31" s="420"/>
      <c r="M31" s="420"/>
      <c r="N31" s="420">
        <v>57.74098</v>
      </c>
      <c r="O31" s="420"/>
      <c r="P31" s="420"/>
      <c r="Q31" s="420"/>
      <c r="R31" s="420">
        <v>990.92666999999994</v>
      </c>
      <c r="S31" s="420"/>
      <c r="T31" s="420">
        <v>966.39666999999997</v>
      </c>
      <c r="U31" s="420"/>
      <c r="V31" s="420">
        <v>944.13567999999998</v>
      </c>
      <c r="W31" s="420"/>
      <c r="X31" s="420"/>
      <c r="Y31" s="420"/>
      <c r="Z31" s="420"/>
      <c r="AA31" s="420"/>
      <c r="AB31" s="420"/>
      <c r="AC31" s="420"/>
      <c r="AD31" s="420"/>
      <c r="AE31" s="420"/>
      <c r="AF31" s="423"/>
      <c r="AG31" s="565">
        <f t="shared" si="4"/>
        <v>57.74098</v>
      </c>
    </row>
    <row r="32" spans="1:33" ht="112.5" x14ac:dyDescent="0.35">
      <c r="A32" s="570" t="s">
        <v>30</v>
      </c>
      <c r="B32" s="555"/>
      <c r="C32" s="555"/>
      <c r="D32" s="555"/>
      <c r="E32" s="555"/>
      <c r="F32" s="556"/>
      <c r="G32" s="556"/>
      <c r="H32" s="558"/>
      <c r="I32" s="558"/>
      <c r="J32" s="558"/>
      <c r="K32" s="558"/>
      <c r="L32" s="558"/>
      <c r="M32" s="558"/>
      <c r="N32" s="558"/>
      <c r="O32" s="558"/>
      <c r="P32" s="558"/>
      <c r="Q32" s="558"/>
      <c r="R32" s="558"/>
      <c r="S32" s="558"/>
      <c r="T32" s="558"/>
      <c r="U32" s="558"/>
      <c r="V32" s="558"/>
      <c r="W32" s="558"/>
      <c r="X32" s="558"/>
      <c r="Y32" s="558"/>
      <c r="Z32" s="558"/>
      <c r="AA32" s="558"/>
      <c r="AB32" s="558"/>
      <c r="AC32" s="558"/>
      <c r="AD32" s="558"/>
      <c r="AE32" s="558"/>
      <c r="AF32" s="423"/>
    </row>
    <row r="33" spans="1:33" x14ac:dyDescent="0.35">
      <c r="A33" s="545" t="s">
        <v>65</v>
      </c>
      <c r="B33" s="551">
        <f>B34</f>
        <v>100</v>
      </c>
      <c r="C33" s="551">
        <f>C34</f>
        <v>0</v>
      </c>
      <c r="D33" s="551">
        <f>D34</f>
        <v>0</v>
      </c>
      <c r="E33" s="551">
        <f>E34</f>
        <v>0</v>
      </c>
      <c r="F33" s="562">
        <f>E33/B33</f>
        <v>0</v>
      </c>
      <c r="G33" s="562" t="e">
        <f>E33/C33</f>
        <v>#DIV/0!</v>
      </c>
      <c r="H33" s="552">
        <f>H34</f>
        <v>0</v>
      </c>
      <c r="I33" s="552">
        <f t="shared" ref="I33:AE33" si="11">I34</f>
        <v>0</v>
      </c>
      <c r="J33" s="552">
        <f t="shared" si="11"/>
        <v>0</v>
      </c>
      <c r="K33" s="552">
        <f t="shared" si="11"/>
        <v>0</v>
      </c>
      <c r="L33" s="552">
        <f t="shared" si="11"/>
        <v>0</v>
      </c>
      <c r="M33" s="552">
        <f t="shared" si="11"/>
        <v>0</v>
      </c>
      <c r="N33" s="552">
        <f t="shared" si="11"/>
        <v>0</v>
      </c>
      <c r="O33" s="552">
        <f t="shared" si="11"/>
        <v>0</v>
      </c>
      <c r="P33" s="552">
        <f t="shared" si="11"/>
        <v>0</v>
      </c>
      <c r="Q33" s="552">
        <f t="shared" si="11"/>
        <v>0</v>
      </c>
      <c r="R33" s="552">
        <f t="shared" si="11"/>
        <v>0</v>
      </c>
      <c r="S33" s="552">
        <f t="shared" si="11"/>
        <v>0</v>
      </c>
      <c r="T33" s="552">
        <f t="shared" si="11"/>
        <v>0</v>
      </c>
      <c r="U33" s="552">
        <f t="shared" si="11"/>
        <v>0</v>
      </c>
      <c r="V33" s="552">
        <f t="shared" si="11"/>
        <v>0</v>
      </c>
      <c r="W33" s="552">
        <f t="shared" si="11"/>
        <v>0</v>
      </c>
      <c r="X33" s="552">
        <f t="shared" si="11"/>
        <v>0</v>
      </c>
      <c r="Y33" s="552">
        <f t="shared" si="11"/>
        <v>0</v>
      </c>
      <c r="Z33" s="552">
        <f t="shared" si="11"/>
        <v>0</v>
      </c>
      <c r="AA33" s="552">
        <f t="shared" si="11"/>
        <v>0</v>
      </c>
      <c r="AB33" s="552">
        <f t="shared" si="11"/>
        <v>0</v>
      </c>
      <c r="AC33" s="552">
        <f t="shared" si="11"/>
        <v>0</v>
      </c>
      <c r="AD33" s="552">
        <f t="shared" si="11"/>
        <v>100</v>
      </c>
      <c r="AE33" s="552">
        <f t="shared" si="11"/>
        <v>0</v>
      </c>
      <c r="AF33" s="423"/>
      <c r="AG33" s="565">
        <f t="shared" si="4"/>
        <v>0</v>
      </c>
    </row>
    <row r="34" spans="1:33" x14ac:dyDescent="0.35">
      <c r="A34" s="406" t="s">
        <v>32</v>
      </c>
      <c r="B34" s="525">
        <f>H34+J34+L34+N34+P34+R34+T34+V34+X34+Z34+AB34+AD34</f>
        <v>100</v>
      </c>
      <c r="C34" s="405">
        <f>H34+J34+L34+N34</f>
        <v>0</v>
      </c>
      <c r="D34" s="405"/>
      <c r="E34" s="525">
        <f>I34+K34+M34+O34+Q34+S34+U34+W34+Y34+AA34+AC34+AE34</f>
        <v>0</v>
      </c>
      <c r="F34" s="563">
        <f>E34/B34</f>
        <v>0</v>
      </c>
      <c r="G34" s="563" t="e">
        <f>E34/C34</f>
        <v>#DIV/0!</v>
      </c>
      <c r="H34" s="420"/>
      <c r="I34" s="420"/>
      <c r="J34" s="420"/>
      <c r="K34" s="420"/>
      <c r="L34" s="420"/>
      <c r="M34" s="420"/>
      <c r="N34" s="420"/>
      <c r="O34" s="420"/>
      <c r="P34" s="420"/>
      <c r="Q34" s="420"/>
      <c r="R34" s="420"/>
      <c r="S34" s="420"/>
      <c r="T34" s="420"/>
      <c r="U34" s="420"/>
      <c r="V34" s="420"/>
      <c r="W34" s="420"/>
      <c r="X34" s="420"/>
      <c r="Y34" s="420"/>
      <c r="Z34" s="420"/>
      <c r="AA34" s="420"/>
      <c r="AB34" s="420"/>
      <c r="AC34" s="420"/>
      <c r="AD34" s="420">
        <v>100</v>
      </c>
      <c r="AE34" s="420"/>
      <c r="AF34" s="423"/>
      <c r="AG34" s="565">
        <f t="shared" si="4"/>
        <v>0</v>
      </c>
    </row>
    <row r="35" spans="1:33" x14ac:dyDescent="0.35">
      <c r="A35" s="407" t="s">
        <v>53</v>
      </c>
      <c r="B35" s="536"/>
      <c r="C35" s="536"/>
      <c r="D35" s="536"/>
      <c r="E35" s="536"/>
      <c r="F35" s="536"/>
      <c r="G35" s="536"/>
      <c r="H35" s="537"/>
      <c r="I35" s="537"/>
      <c r="J35" s="537"/>
      <c r="K35" s="537"/>
      <c r="L35" s="537"/>
      <c r="M35" s="537"/>
      <c r="N35" s="537"/>
      <c r="O35" s="537"/>
      <c r="P35" s="537"/>
      <c r="Q35" s="537"/>
      <c r="R35" s="537"/>
      <c r="S35" s="537"/>
      <c r="T35" s="537"/>
      <c r="U35" s="537"/>
      <c r="V35" s="537"/>
      <c r="W35" s="537"/>
      <c r="X35" s="537"/>
      <c r="Y35" s="537"/>
      <c r="Z35" s="537"/>
      <c r="AA35" s="537"/>
      <c r="AB35" s="537"/>
      <c r="AC35" s="537"/>
      <c r="AD35" s="537"/>
      <c r="AE35" s="537"/>
      <c r="AF35" s="423"/>
    </row>
    <row r="36" spans="1:33" x14ac:dyDescent="0.35">
      <c r="A36" s="538" t="s">
        <v>31</v>
      </c>
      <c r="B36" s="551">
        <f>B37+B38</f>
        <v>29300.500000000004</v>
      </c>
      <c r="C36" s="551">
        <f>C37+C38</f>
        <v>3296.0699599999998</v>
      </c>
      <c r="D36" s="551">
        <f>D37+D38</f>
        <v>3238.3178899999998</v>
      </c>
      <c r="E36" s="551">
        <f>E37+E38</f>
        <v>2342.9911300000003</v>
      </c>
      <c r="F36" s="562">
        <f>E36/B36</f>
        <v>7.9964202999948802E-2</v>
      </c>
      <c r="G36" s="562">
        <f>E36/C36</f>
        <v>0.7108438711658901</v>
      </c>
      <c r="H36" s="552">
        <f>H37+H38</f>
        <v>46.614999999999995</v>
      </c>
      <c r="I36" s="552">
        <f t="shared" ref="I36:AE36" si="12">I37+I38</f>
        <v>13</v>
      </c>
      <c r="J36" s="552">
        <f t="shared" si="12"/>
        <v>1205.80486</v>
      </c>
      <c r="K36" s="552">
        <f t="shared" si="12"/>
        <v>814.41613000000007</v>
      </c>
      <c r="L36" s="552">
        <f t="shared" si="12"/>
        <v>739.73928999999998</v>
      </c>
      <c r="M36" s="552">
        <f t="shared" si="12"/>
        <v>742.18499999999995</v>
      </c>
      <c r="N36" s="552">
        <f t="shared" si="12"/>
        <v>1303.9108099999999</v>
      </c>
      <c r="O36" s="552">
        <f t="shared" si="12"/>
        <v>773.39</v>
      </c>
      <c r="P36" s="552">
        <f t="shared" si="12"/>
        <v>763.61928999999998</v>
      </c>
      <c r="Q36" s="552">
        <f t="shared" si="12"/>
        <v>0</v>
      </c>
      <c r="R36" s="552">
        <f t="shared" si="12"/>
        <v>10585.35167</v>
      </c>
      <c r="S36" s="552">
        <f t="shared" si="12"/>
        <v>0</v>
      </c>
      <c r="T36" s="552">
        <f t="shared" si="12"/>
        <v>7398.2526699999999</v>
      </c>
      <c r="U36" s="552">
        <f t="shared" si="12"/>
        <v>0</v>
      </c>
      <c r="V36" s="552">
        <f t="shared" si="12"/>
        <v>4833.71857</v>
      </c>
      <c r="W36" s="552">
        <f t="shared" si="12"/>
        <v>0</v>
      </c>
      <c r="X36" s="552">
        <f t="shared" si="12"/>
        <v>646.53928999999994</v>
      </c>
      <c r="Y36" s="552">
        <f t="shared" si="12"/>
        <v>0</v>
      </c>
      <c r="Z36" s="552">
        <f t="shared" si="12"/>
        <v>707.11428999999998</v>
      </c>
      <c r="AA36" s="552">
        <f t="shared" si="12"/>
        <v>0</v>
      </c>
      <c r="AB36" s="552">
        <f t="shared" si="12"/>
        <v>726.61426000000006</v>
      </c>
      <c r="AC36" s="552">
        <f t="shared" si="12"/>
        <v>0</v>
      </c>
      <c r="AD36" s="552">
        <f t="shared" si="12"/>
        <v>343.22</v>
      </c>
      <c r="AE36" s="552">
        <f t="shared" si="12"/>
        <v>0</v>
      </c>
      <c r="AF36" s="423"/>
      <c r="AG36" s="567">
        <f t="shared" si="4"/>
        <v>953.07882999999947</v>
      </c>
    </row>
    <row r="37" spans="1:33" x14ac:dyDescent="0.35">
      <c r="A37" s="524" t="s">
        <v>32</v>
      </c>
      <c r="B37" s="525">
        <f>B15+B19+B34</f>
        <v>8697.2000000000007</v>
      </c>
      <c r="C37" s="525">
        <f>C15+C19+C34</f>
        <v>821.6</v>
      </c>
      <c r="D37" s="525">
        <f>D15+D19+D34</f>
        <v>797.82793000000004</v>
      </c>
      <c r="E37" s="525">
        <f>E15+E19+E34</f>
        <v>797.83312999999998</v>
      </c>
      <c r="F37" s="563">
        <f>E37/B37</f>
        <v>9.1734481212344191E-2</v>
      </c>
      <c r="G37" s="563">
        <f>E37/C37</f>
        <v>0.97107245618305738</v>
      </c>
      <c r="H37" s="527">
        <f>H15+H19+H34</f>
        <v>15</v>
      </c>
      <c r="I37" s="527">
        <f t="shared" ref="I37:AE37" si="13">I15+I19+I34</f>
        <v>0</v>
      </c>
      <c r="J37" s="527">
        <f t="shared" si="13"/>
        <v>276.39999999999998</v>
      </c>
      <c r="K37" s="527">
        <f t="shared" si="13"/>
        <v>270.55313000000001</v>
      </c>
      <c r="L37" s="527">
        <f t="shared" si="13"/>
        <v>265.10000000000002</v>
      </c>
      <c r="M37" s="527">
        <f t="shared" si="13"/>
        <v>259.33</v>
      </c>
      <c r="N37" s="527">
        <f t="shared" si="13"/>
        <v>265.10000000000002</v>
      </c>
      <c r="O37" s="527">
        <f t="shared" si="13"/>
        <v>267.95</v>
      </c>
      <c r="P37" s="527">
        <f t="shared" si="13"/>
        <v>265.10000000000002</v>
      </c>
      <c r="Q37" s="527">
        <f t="shared" si="13"/>
        <v>0</v>
      </c>
      <c r="R37" s="527">
        <f t="shared" si="13"/>
        <v>2515.1</v>
      </c>
      <c r="S37" s="527">
        <f t="shared" si="13"/>
        <v>0</v>
      </c>
      <c r="T37" s="527">
        <f t="shared" si="13"/>
        <v>2115.1</v>
      </c>
      <c r="U37" s="527">
        <f t="shared" si="13"/>
        <v>0</v>
      </c>
      <c r="V37" s="527">
        <f t="shared" si="13"/>
        <v>2057</v>
      </c>
      <c r="W37" s="527">
        <f t="shared" si="13"/>
        <v>0</v>
      </c>
      <c r="X37" s="527">
        <f t="shared" si="13"/>
        <v>223.7</v>
      </c>
      <c r="Y37" s="527">
        <f t="shared" si="13"/>
        <v>0</v>
      </c>
      <c r="Z37" s="527">
        <f t="shared" si="13"/>
        <v>266.10000000000002</v>
      </c>
      <c r="AA37" s="527">
        <f t="shared" si="13"/>
        <v>0</v>
      </c>
      <c r="AB37" s="527">
        <f t="shared" si="13"/>
        <v>265.39999999999998</v>
      </c>
      <c r="AC37" s="527">
        <f t="shared" si="13"/>
        <v>0</v>
      </c>
      <c r="AD37" s="527">
        <f t="shared" si="13"/>
        <v>168.1</v>
      </c>
      <c r="AE37" s="527">
        <f t="shared" si="13"/>
        <v>0</v>
      </c>
      <c r="AF37" s="423"/>
      <c r="AG37" s="565">
        <f t="shared" si="4"/>
        <v>23.76687000000004</v>
      </c>
    </row>
    <row r="38" spans="1:33" x14ac:dyDescent="0.35">
      <c r="A38" s="524" t="s">
        <v>33</v>
      </c>
      <c r="B38" s="525">
        <f>B16+B20</f>
        <v>20603.300000000003</v>
      </c>
      <c r="C38" s="525">
        <f>C16+C20</f>
        <v>2474.4699599999999</v>
      </c>
      <c r="D38" s="525">
        <f>D16+D20</f>
        <v>2440.4899599999999</v>
      </c>
      <c r="E38" s="525">
        <f>E16+E20</f>
        <v>1545.1580000000001</v>
      </c>
      <c r="F38" s="563">
        <f>E38/B38</f>
        <v>7.4995656035683603E-2</v>
      </c>
      <c r="G38" s="563">
        <f>E38/C38</f>
        <v>0.62443999118098015</v>
      </c>
      <c r="H38" s="527">
        <f>H16+H20</f>
        <v>31.614999999999998</v>
      </c>
      <c r="I38" s="527">
        <f t="shared" ref="I38:AE38" si="14">I16+I20</f>
        <v>13</v>
      </c>
      <c r="J38" s="527">
        <f t="shared" si="14"/>
        <v>929.40485999999999</v>
      </c>
      <c r="K38" s="527">
        <f t="shared" si="14"/>
        <v>543.86300000000006</v>
      </c>
      <c r="L38" s="527">
        <f t="shared" si="14"/>
        <v>474.63929000000002</v>
      </c>
      <c r="M38" s="527">
        <f t="shared" si="14"/>
        <v>482.85500000000002</v>
      </c>
      <c r="N38" s="527">
        <f t="shared" si="14"/>
        <v>1038.8108099999999</v>
      </c>
      <c r="O38" s="527">
        <f t="shared" si="14"/>
        <v>505.44</v>
      </c>
      <c r="P38" s="527">
        <f t="shared" si="14"/>
        <v>498.51928999999996</v>
      </c>
      <c r="Q38" s="527">
        <f t="shared" si="14"/>
        <v>0</v>
      </c>
      <c r="R38" s="527">
        <f t="shared" si="14"/>
        <v>8070.2516700000006</v>
      </c>
      <c r="S38" s="527">
        <f t="shared" si="14"/>
        <v>0</v>
      </c>
      <c r="T38" s="527">
        <f t="shared" si="14"/>
        <v>5283.1526700000004</v>
      </c>
      <c r="U38" s="527">
        <f t="shared" si="14"/>
        <v>0</v>
      </c>
      <c r="V38" s="527">
        <f t="shared" si="14"/>
        <v>2776.71857</v>
      </c>
      <c r="W38" s="527">
        <f t="shared" si="14"/>
        <v>0</v>
      </c>
      <c r="X38" s="527">
        <f t="shared" si="14"/>
        <v>422.83929000000001</v>
      </c>
      <c r="Y38" s="527">
        <f t="shared" si="14"/>
        <v>0</v>
      </c>
      <c r="Z38" s="527">
        <f t="shared" si="14"/>
        <v>441.01429000000002</v>
      </c>
      <c r="AA38" s="527">
        <f t="shared" si="14"/>
        <v>0</v>
      </c>
      <c r="AB38" s="527">
        <f t="shared" si="14"/>
        <v>461.21426000000002</v>
      </c>
      <c r="AC38" s="527">
        <f t="shared" si="14"/>
        <v>0</v>
      </c>
      <c r="AD38" s="527">
        <f t="shared" si="14"/>
        <v>175.12</v>
      </c>
      <c r="AE38" s="527">
        <f t="shared" si="14"/>
        <v>0</v>
      </c>
      <c r="AF38" s="423"/>
      <c r="AG38" s="565">
        <f t="shared" si="4"/>
        <v>929.31195999999977</v>
      </c>
    </row>
    <row r="39" spans="1:33" ht="38.25" x14ac:dyDescent="0.35">
      <c r="A39" s="524" t="s">
        <v>72</v>
      </c>
      <c r="B39" s="525"/>
      <c r="C39" s="525"/>
      <c r="D39" s="525"/>
      <c r="E39" s="525"/>
      <c r="F39" s="526"/>
      <c r="G39" s="526"/>
      <c r="H39" s="527"/>
      <c r="I39" s="527"/>
      <c r="J39" s="527"/>
      <c r="K39" s="527"/>
      <c r="L39" s="527"/>
      <c r="M39" s="527"/>
      <c r="N39" s="527"/>
      <c r="O39" s="527"/>
      <c r="P39" s="527"/>
      <c r="Q39" s="527"/>
      <c r="R39" s="527"/>
      <c r="S39" s="527"/>
      <c r="T39" s="527"/>
      <c r="U39" s="527"/>
      <c r="V39" s="527"/>
      <c r="W39" s="527"/>
      <c r="X39" s="527"/>
      <c r="Y39" s="527"/>
      <c r="Z39" s="527"/>
      <c r="AA39" s="527"/>
      <c r="AB39" s="527"/>
      <c r="AC39" s="527"/>
      <c r="AD39" s="527"/>
      <c r="AE39" s="527"/>
      <c r="AF39" s="423"/>
    </row>
    <row r="40" spans="1:33" x14ac:dyDescent="0.35">
      <c r="A40" s="538" t="s">
        <v>31</v>
      </c>
      <c r="B40" s="551">
        <f>B41+B42</f>
        <v>29300.500000000004</v>
      </c>
      <c r="C40" s="551">
        <f>C41+C42</f>
        <v>3296.0699599999998</v>
      </c>
      <c r="D40" s="551">
        <f>D41+D42</f>
        <v>3238.3178899999998</v>
      </c>
      <c r="E40" s="551">
        <f>E41+E42</f>
        <v>2342.9911300000003</v>
      </c>
      <c r="F40" s="562">
        <f>E40/B40</f>
        <v>7.9964202999948802E-2</v>
      </c>
      <c r="G40" s="562">
        <f>E40/C40</f>
        <v>0.7108438711658901</v>
      </c>
      <c r="H40" s="552">
        <f>H41+H42</f>
        <v>46.614999999999995</v>
      </c>
      <c r="I40" s="552">
        <f t="shared" ref="I40:AE40" si="15">I41+I42</f>
        <v>13</v>
      </c>
      <c r="J40" s="552">
        <f t="shared" si="15"/>
        <v>1205.80486</v>
      </c>
      <c r="K40" s="552">
        <f t="shared" si="15"/>
        <v>814.41613000000007</v>
      </c>
      <c r="L40" s="552">
        <f t="shared" si="15"/>
        <v>739.73928999999998</v>
      </c>
      <c r="M40" s="552">
        <f t="shared" si="15"/>
        <v>742.18499999999995</v>
      </c>
      <c r="N40" s="552">
        <f t="shared" si="15"/>
        <v>1303.9108099999999</v>
      </c>
      <c r="O40" s="552">
        <f t="shared" si="15"/>
        <v>773.39</v>
      </c>
      <c r="P40" s="552">
        <f t="shared" si="15"/>
        <v>763.61928999999998</v>
      </c>
      <c r="Q40" s="552">
        <f t="shared" si="15"/>
        <v>0</v>
      </c>
      <c r="R40" s="552">
        <f t="shared" si="15"/>
        <v>10585.35167</v>
      </c>
      <c r="S40" s="552">
        <f t="shared" si="15"/>
        <v>0</v>
      </c>
      <c r="T40" s="552">
        <f t="shared" si="15"/>
        <v>7398.2526699999999</v>
      </c>
      <c r="U40" s="552">
        <f t="shared" si="15"/>
        <v>0</v>
      </c>
      <c r="V40" s="552">
        <f t="shared" si="15"/>
        <v>4833.71857</v>
      </c>
      <c r="W40" s="552">
        <f t="shared" si="15"/>
        <v>0</v>
      </c>
      <c r="X40" s="552">
        <f t="shared" si="15"/>
        <v>646.53928999999994</v>
      </c>
      <c r="Y40" s="552">
        <f t="shared" si="15"/>
        <v>0</v>
      </c>
      <c r="Z40" s="552">
        <f t="shared" si="15"/>
        <v>707.11428999999998</v>
      </c>
      <c r="AA40" s="552">
        <f t="shared" si="15"/>
        <v>0</v>
      </c>
      <c r="AB40" s="552">
        <f t="shared" si="15"/>
        <v>726.61426000000006</v>
      </c>
      <c r="AC40" s="552">
        <f t="shared" si="15"/>
        <v>0</v>
      </c>
      <c r="AD40" s="552">
        <f t="shared" si="15"/>
        <v>343.22</v>
      </c>
      <c r="AE40" s="552">
        <f t="shared" si="15"/>
        <v>0</v>
      </c>
      <c r="AF40" s="423"/>
      <c r="AG40" s="567"/>
    </row>
    <row r="41" spans="1:33" x14ac:dyDescent="0.35">
      <c r="A41" s="524" t="s">
        <v>32</v>
      </c>
      <c r="B41" s="525">
        <f t="shared" ref="B41:E42" si="16">B37</f>
        <v>8697.2000000000007</v>
      </c>
      <c r="C41" s="525">
        <f t="shared" si="16"/>
        <v>821.6</v>
      </c>
      <c r="D41" s="525">
        <f t="shared" si="16"/>
        <v>797.82793000000004</v>
      </c>
      <c r="E41" s="525">
        <f t="shared" si="16"/>
        <v>797.83312999999998</v>
      </c>
      <c r="F41" s="563">
        <f>E41/B41</f>
        <v>9.1734481212344191E-2</v>
      </c>
      <c r="G41" s="563">
        <f>E41/C41</f>
        <v>0.97107245618305738</v>
      </c>
      <c r="H41" s="527">
        <f>H37</f>
        <v>15</v>
      </c>
      <c r="I41" s="527">
        <f t="shared" ref="I41:AE41" si="17">I37</f>
        <v>0</v>
      </c>
      <c r="J41" s="527">
        <f t="shared" si="17"/>
        <v>276.39999999999998</v>
      </c>
      <c r="K41" s="527">
        <f t="shared" si="17"/>
        <v>270.55313000000001</v>
      </c>
      <c r="L41" s="527">
        <f t="shared" si="17"/>
        <v>265.10000000000002</v>
      </c>
      <c r="M41" s="527">
        <f t="shared" si="17"/>
        <v>259.33</v>
      </c>
      <c r="N41" s="527">
        <f t="shared" si="17"/>
        <v>265.10000000000002</v>
      </c>
      <c r="O41" s="527">
        <f t="shared" si="17"/>
        <v>267.95</v>
      </c>
      <c r="P41" s="527">
        <f t="shared" si="17"/>
        <v>265.10000000000002</v>
      </c>
      <c r="Q41" s="527">
        <f t="shared" si="17"/>
        <v>0</v>
      </c>
      <c r="R41" s="527">
        <f t="shared" si="17"/>
        <v>2515.1</v>
      </c>
      <c r="S41" s="527">
        <f t="shared" si="17"/>
        <v>0</v>
      </c>
      <c r="T41" s="527">
        <f t="shared" si="17"/>
        <v>2115.1</v>
      </c>
      <c r="U41" s="527">
        <f t="shared" si="17"/>
        <v>0</v>
      </c>
      <c r="V41" s="527">
        <f t="shared" si="17"/>
        <v>2057</v>
      </c>
      <c r="W41" s="527">
        <f t="shared" si="17"/>
        <v>0</v>
      </c>
      <c r="X41" s="527">
        <f t="shared" si="17"/>
        <v>223.7</v>
      </c>
      <c r="Y41" s="527">
        <f t="shared" si="17"/>
        <v>0</v>
      </c>
      <c r="Z41" s="527">
        <f t="shared" si="17"/>
        <v>266.10000000000002</v>
      </c>
      <c r="AA41" s="527">
        <f t="shared" si="17"/>
        <v>0</v>
      </c>
      <c r="AB41" s="527">
        <f t="shared" si="17"/>
        <v>265.39999999999998</v>
      </c>
      <c r="AC41" s="527">
        <f t="shared" si="17"/>
        <v>0</v>
      </c>
      <c r="AD41" s="527">
        <f t="shared" si="17"/>
        <v>168.1</v>
      </c>
      <c r="AE41" s="527">
        <f t="shared" si="17"/>
        <v>0</v>
      </c>
      <c r="AF41" s="423"/>
      <c r="AG41" s="565"/>
    </row>
    <row r="42" spans="1:33" x14ac:dyDescent="0.35">
      <c r="A42" s="524" t="s">
        <v>33</v>
      </c>
      <c r="B42" s="525">
        <f t="shared" si="16"/>
        <v>20603.300000000003</v>
      </c>
      <c r="C42" s="525">
        <f t="shared" si="16"/>
        <v>2474.4699599999999</v>
      </c>
      <c r="D42" s="525">
        <f t="shared" si="16"/>
        <v>2440.4899599999999</v>
      </c>
      <c r="E42" s="525">
        <f t="shared" si="16"/>
        <v>1545.1580000000001</v>
      </c>
      <c r="F42" s="563">
        <f>E42/B42</f>
        <v>7.4995656035683603E-2</v>
      </c>
      <c r="G42" s="563">
        <f>E42/C42</f>
        <v>0.62443999118098015</v>
      </c>
      <c r="H42" s="527">
        <f>H38</f>
        <v>31.614999999999998</v>
      </c>
      <c r="I42" s="527">
        <f t="shared" ref="I42:AE42" si="18">I38</f>
        <v>13</v>
      </c>
      <c r="J42" s="527">
        <f t="shared" si="18"/>
        <v>929.40485999999999</v>
      </c>
      <c r="K42" s="527">
        <f t="shared" si="18"/>
        <v>543.86300000000006</v>
      </c>
      <c r="L42" s="527">
        <f t="shared" si="18"/>
        <v>474.63929000000002</v>
      </c>
      <c r="M42" s="527">
        <f t="shared" si="18"/>
        <v>482.85500000000002</v>
      </c>
      <c r="N42" s="527">
        <f t="shared" si="18"/>
        <v>1038.8108099999999</v>
      </c>
      <c r="O42" s="527">
        <f t="shared" si="18"/>
        <v>505.44</v>
      </c>
      <c r="P42" s="527">
        <f t="shared" si="18"/>
        <v>498.51928999999996</v>
      </c>
      <c r="Q42" s="527">
        <f t="shared" si="18"/>
        <v>0</v>
      </c>
      <c r="R42" s="527">
        <f t="shared" si="18"/>
        <v>8070.2516700000006</v>
      </c>
      <c r="S42" s="527">
        <f t="shared" si="18"/>
        <v>0</v>
      </c>
      <c r="T42" s="527">
        <f t="shared" si="18"/>
        <v>5283.1526700000004</v>
      </c>
      <c r="U42" s="527">
        <f t="shared" si="18"/>
        <v>0</v>
      </c>
      <c r="V42" s="527">
        <f t="shared" si="18"/>
        <v>2776.71857</v>
      </c>
      <c r="W42" s="527">
        <f t="shared" si="18"/>
        <v>0</v>
      </c>
      <c r="X42" s="527">
        <f t="shared" si="18"/>
        <v>422.83929000000001</v>
      </c>
      <c r="Y42" s="527">
        <f t="shared" si="18"/>
        <v>0</v>
      </c>
      <c r="Z42" s="527">
        <f t="shared" si="18"/>
        <v>441.01429000000002</v>
      </c>
      <c r="AA42" s="527">
        <f t="shared" si="18"/>
        <v>0</v>
      </c>
      <c r="AB42" s="527">
        <f t="shared" si="18"/>
        <v>461.21426000000002</v>
      </c>
      <c r="AC42" s="527">
        <f t="shared" si="18"/>
        <v>0</v>
      </c>
      <c r="AD42" s="527">
        <f t="shared" si="18"/>
        <v>175.12</v>
      </c>
      <c r="AE42" s="527">
        <f t="shared" si="18"/>
        <v>0</v>
      </c>
      <c r="AF42" s="423"/>
      <c r="AG42" s="565"/>
    </row>
    <row r="43" spans="1:33" ht="57" x14ac:dyDescent="0.35">
      <c r="A43" s="542" t="s">
        <v>37</v>
      </c>
      <c r="B43" s="543"/>
      <c r="C43" s="543"/>
      <c r="D43" s="543"/>
      <c r="E43" s="543"/>
      <c r="F43" s="543"/>
      <c r="G43" s="543"/>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423"/>
    </row>
    <row r="44" spans="1:33" x14ac:dyDescent="0.35">
      <c r="A44" s="524" t="s">
        <v>54</v>
      </c>
      <c r="B44" s="526"/>
      <c r="C44" s="526"/>
      <c r="D44" s="526"/>
      <c r="E44" s="526"/>
      <c r="F44" s="526"/>
      <c r="G44" s="526"/>
      <c r="H44" s="550"/>
      <c r="I44" s="550"/>
      <c r="J44" s="550"/>
      <c r="K44" s="550"/>
      <c r="L44" s="550"/>
      <c r="M44" s="550"/>
      <c r="N44" s="550"/>
      <c r="O44" s="550"/>
      <c r="P44" s="550"/>
      <c r="Q44" s="550"/>
      <c r="R44" s="550"/>
      <c r="S44" s="550"/>
      <c r="T44" s="550"/>
      <c r="U44" s="550"/>
      <c r="V44" s="550"/>
      <c r="W44" s="550"/>
      <c r="X44" s="550"/>
      <c r="Y44" s="550"/>
      <c r="Z44" s="550"/>
      <c r="AA44" s="550"/>
      <c r="AB44" s="550"/>
      <c r="AC44" s="550"/>
      <c r="AD44" s="550"/>
      <c r="AE44" s="550"/>
      <c r="AF44" s="423"/>
    </row>
    <row r="45" spans="1:33" x14ac:dyDescent="0.35">
      <c r="A45" s="409" t="s">
        <v>34</v>
      </c>
      <c r="B45" s="531"/>
      <c r="C45" s="531"/>
      <c r="D45" s="531"/>
      <c r="E45" s="531"/>
      <c r="F45" s="531"/>
      <c r="G45" s="531"/>
      <c r="H45" s="528"/>
      <c r="I45" s="528"/>
      <c r="J45" s="528"/>
      <c r="K45" s="528"/>
      <c r="L45" s="528"/>
      <c r="M45" s="528"/>
      <c r="N45" s="528"/>
      <c r="O45" s="528"/>
      <c r="P45" s="528"/>
      <c r="Q45" s="528"/>
      <c r="R45" s="528"/>
      <c r="S45" s="528"/>
      <c r="T45" s="528"/>
      <c r="U45" s="528"/>
      <c r="V45" s="528"/>
      <c r="W45" s="528"/>
      <c r="X45" s="528"/>
      <c r="Y45" s="528"/>
      <c r="Z45" s="528"/>
      <c r="AA45" s="528"/>
      <c r="AB45" s="528"/>
      <c r="AC45" s="528"/>
      <c r="AD45" s="528"/>
      <c r="AE45" s="528"/>
      <c r="AF45" s="423"/>
    </row>
    <row r="46" spans="1:33" ht="259.5" customHeight="1" x14ac:dyDescent="0.35">
      <c r="A46" s="572" t="s">
        <v>38</v>
      </c>
      <c r="B46" s="555"/>
      <c r="C46" s="555"/>
      <c r="D46" s="556"/>
      <c r="E46" s="556"/>
      <c r="F46" s="556"/>
      <c r="G46" s="556"/>
      <c r="H46" s="557"/>
      <c r="I46" s="557"/>
      <c r="J46" s="557"/>
      <c r="K46" s="557"/>
      <c r="L46" s="557"/>
      <c r="M46" s="557"/>
      <c r="N46" s="557"/>
      <c r="O46" s="557"/>
      <c r="P46" s="557"/>
      <c r="Q46" s="557"/>
      <c r="R46" s="557"/>
      <c r="S46" s="557"/>
      <c r="T46" s="557"/>
      <c r="U46" s="557"/>
      <c r="V46" s="557"/>
      <c r="W46" s="557"/>
      <c r="X46" s="557"/>
      <c r="Y46" s="557"/>
      <c r="Z46" s="557"/>
      <c r="AA46" s="557"/>
      <c r="AB46" s="557"/>
      <c r="AC46" s="557"/>
      <c r="AD46" s="557"/>
      <c r="AE46" s="557"/>
      <c r="AF46" s="568" t="s">
        <v>553</v>
      </c>
    </row>
    <row r="47" spans="1:33" x14ac:dyDescent="0.35">
      <c r="A47" s="553" t="s">
        <v>31</v>
      </c>
      <c r="B47" s="551">
        <f>B48</f>
        <v>4058.1000000000004</v>
      </c>
      <c r="C47" s="551">
        <f>C48</f>
        <v>1651.3193000000001</v>
      </c>
      <c r="D47" s="551">
        <f>D48</f>
        <v>1147.90652</v>
      </c>
      <c r="E47" s="551">
        <f>E48</f>
        <v>1147.89669</v>
      </c>
      <c r="F47" s="562">
        <f>E47/B47</f>
        <v>0.28286555038072003</v>
      </c>
      <c r="G47" s="562">
        <f>E47/C47</f>
        <v>0.69513914722609971</v>
      </c>
      <c r="H47" s="552">
        <f t="shared" ref="H47:AE47" si="19">H48</f>
        <v>538.10130000000004</v>
      </c>
      <c r="I47" s="552">
        <f t="shared" si="19"/>
        <v>256.75177000000002</v>
      </c>
      <c r="J47" s="552">
        <f t="shared" si="19"/>
        <v>315.94600000000003</v>
      </c>
      <c r="K47" s="552">
        <f t="shared" si="19"/>
        <v>375.87491999999997</v>
      </c>
      <c r="L47" s="552">
        <f t="shared" si="19"/>
        <v>252.583</v>
      </c>
      <c r="M47" s="552">
        <f t="shared" si="19"/>
        <v>221.87</v>
      </c>
      <c r="N47" s="552">
        <f t="shared" si="19"/>
        <v>544.68899999999996</v>
      </c>
      <c r="O47" s="552">
        <f t="shared" si="19"/>
        <v>293.39999999999998</v>
      </c>
      <c r="P47" s="552">
        <f t="shared" si="19"/>
        <v>294.02600000000001</v>
      </c>
      <c r="Q47" s="552">
        <f t="shared" si="19"/>
        <v>0</v>
      </c>
      <c r="R47" s="552">
        <f t="shared" si="19"/>
        <v>252.583</v>
      </c>
      <c r="S47" s="552">
        <f t="shared" si="19"/>
        <v>0</v>
      </c>
      <c r="T47" s="552">
        <f t="shared" si="19"/>
        <v>390.779</v>
      </c>
      <c r="U47" s="552">
        <f t="shared" si="19"/>
        <v>0</v>
      </c>
      <c r="V47" s="552">
        <f t="shared" si="19"/>
        <v>287.51600000000002</v>
      </c>
      <c r="W47" s="552">
        <f t="shared" si="19"/>
        <v>0</v>
      </c>
      <c r="X47" s="552">
        <f t="shared" si="19"/>
        <v>252.57300000000001</v>
      </c>
      <c r="Y47" s="552">
        <f t="shared" si="19"/>
        <v>0</v>
      </c>
      <c r="Z47" s="552">
        <f t="shared" si="19"/>
        <v>391.27800000000002</v>
      </c>
      <c r="AA47" s="552">
        <f t="shared" si="19"/>
        <v>0</v>
      </c>
      <c r="AB47" s="552">
        <f t="shared" si="19"/>
        <v>287.56560000000002</v>
      </c>
      <c r="AC47" s="552">
        <f t="shared" si="19"/>
        <v>0</v>
      </c>
      <c r="AD47" s="552">
        <f t="shared" si="19"/>
        <v>250.46010000000001</v>
      </c>
      <c r="AE47" s="552">
        <f t="shared" si="19"/>
        <v>0</v>
      </c>
      <c r="AF47" s="423"/>
      <c r="AG47" s="567">
        <f t="shared" ref="AG47:AG55" si="20">C47-E47</f>
        <v>503.42261000000008</v>
      </c>
    </row>
    <row r="48" spans="1:33" x14ac:dyDescent="0.35">
      <c r="A48" s="406" t="s">
        <v>32</v>
      </c>
      <c r="B48" s="525">
        <f>H48+J48+L48+N48+P48+R48+T48+V48+X48+Z48+AB48+AD48</f>
        <v>4058.1000000000004</v>
      </c>
      <c r="C48" s="404">
        <f>H48+J48+L48+N48</f>
        <v>1651.3193000000001</v>
      </c>
      <c r="D48" s="404">
        <v>1147.90652</v>
      </c>
      <c r="E48" s="525">
        <f>I48+K48+M48+O48+Q48+S48+U48+W48+Y48+AA48+AC48+AE48</f>
        <v>1147.89669</v>
      </c>
      <c r="F48" s="563">
        <f>E48/B48</f>
        <v>0.28286555038072003</v>
      </c>
      <c r="G48" s="563">
        <f>E48/C48</f>
        <v>0.69513914722609971</v>
      </c>
      <c r="H48" s="419">
        <v>538.10130000000004</v>
      </c>
      <c r="I48" s="419">
        <v>256.75177000000002</v>
      </c>
      <c r="J48" s="419">
        <v>315.94600000000003</v>
      </c>
      <c r="K48" s="419">
        <v>375.87491999999997</v>
      </c>
      <c r="L48" s="419">
        <v>252.583</v>
      </c>
      <c r="M48" s="419">
        <v>221.87</v>
      </c>
      <c r="N48" s="419">
        <v>544.68899999999996</v>
      </c>
      <c r="O48" s="419">
        <v>293.39999999999998</v>
      </c>
      <c r="P48" s="419">
        <v>294.02600000000001</v>
      </c>
      <c r="Q48" s="419"/>
      <c r="R48" s="419">
        <v>252.583</v>
      </c>
      <c r="S48" s="419"/>
      <c r="T48" s="419">
        <v>390.779</v>
      </c>
      <c r="U48" s="419"/>
      <c r="V48" s="419">
        <v>287.51600000000002</v>
      </c>
      <c r="W48" s="419"/>
      <c r="X48" s="419">
        <v>252.57300000000001</v>
      </c>
      <c r="Y48" s="419"/>
      <c r="Z48" s="419">
        <v>391.27800000000002</v>
      </c>
      <c r="AA48" s="419"/>
      <c r="AB48" s="419">
        <v>287.56560000000002</v>
      </c>
      <c r="AC48" s="419"/>
      <c r="AD48" s="419">
        <v>250.46010000000001</v>
      </c>
      <c r="AE48" s="419"/>
      <c r="AF48" s="423"/>
      <c r="AG48" s="565">
        <f t="shared" si="20"/>
        <v>503.42261000000008</v>
      </c>
    </row>
    <row r="49" spans="1:33" ht="112.5" x14ac:dyDescent="0.35">
      <c r="A49" s="572" t="s">
        <v>39</v>
      </c>
      <c r="B49" s="555"/>
      <c r="C49" s="555"/>
      <c r="D49" s="555"/>
      <c r="E49" s="555"/>
      <c r="F49" s="556"/>
      <c r="G49" s="556"/>
      <c r="H49" s="558"/>
      <c r="I49" s="558"/>
      <c r="J49" s="558"/>
      <c r="K49" s="558"/>
      <c r="L49" s="558"/>
      <c r="M49" s="558"/>
      <c r="N49" s="558"/>
      <c r="O49" s="558"/>
      <c r="P49" s="558"/>
      <c r="Q49" s="558"/>
      <c r="R49" s="558"/>
      <c r="S49" s="558"/>
      <c r="T49" s="558"/>
      <c r="U49" s="558"/>
      <c r="V49" s="558"/>
      <c r="W49" s="558"/>
      <c r="X49" s="558"/>
      <c r="Y49" s="558"/>
      <c r="Z49" s="558"/>
      <c r="AA49" s="558"/>
      <c r="AB49" s="558"/>
      <c r="AC49" s="558"/>
      <c r="AD49" s="558"/>
      <c r="AE49" s="558"/>
      <c r="AF49" s="423"/>
    </row>
    <row r="50" spans="1:33" x14ac:dyDescent="0.35">
      <c r="A50" s="553" t="s">
        <v>31</v>
      </c>
      <c r="B50" s="551">
        <f>B51</f>
        <v>22</v>
      </c>
      <c r="C50" s="551">
        <f>C51</f>
        <v>22</v>
      </c>
      <c r="D50" s="551">
        <f>D51</f>
        <v>0</v>
      </c>
      <c r="E50" s="551">
        <f>E51</f>
        <v>0</v>
      </c>
      <c r="F50" s="562">
        <f>E50/B50</f>
        <v>0</v>
      </c>
      <c r="G50" s="562">
        <f>E50/C50</f>
        <v>0</v>
      </c>
      <c r="H50" s="552">
        <f>H51</f>
        <v>0</v>
      </c>
      <c r="I50" s="552">
        <f t="shared" ref="I50:AE50" si="21">I51</f>
        <v>0</v>
      </c>
      <c r="J50" s="552">
        <f t="shared" si="21"/>
        <v>0</v>
      </c>
      <c r="K50" s="552">
        <f t="shared" si="21"/>
        <v>0</v>
      </c>
      <c r="L50" s="552">
        <f t="shared" si="21"/>
        <v>0</v>
      </c>
      <c r="M50" s="552">
        <f t="shared" si="21"/>
        <v>0</v>
      </c>
      <c r="N50" s="552">
        <f t="shared" si="21"/>
        <v>22</v>
      </c>
      <c r="O50" s="552">
        <f t="shared" si="21"/>
        <v>0</v>
      </c>
      <c r="P50" s="552">
        <f t="shared" si="21"/>
        <v>0</v>
      </c>
      <c r="Q50" s="552">
        <f t="shared" si="21"/>
        <v>0</v>
      </c>
      <c r="R50" s="552">
        <f t="shared" si="21"/>
        <v>0</v>
      </c>
      <c r="S50" s="552">
        <f t="shared" si="21"/>
        <v>0</v>
      </c>
      <c r="T50" s="552">
        <f t="shared" si="21"/>
        <v>0</v>
      </c>
      <c r="U50" s="552">
        <f t="shared" si="21"/>
        <v>0</v>
      </c>
      <c r="V50" s="552">
        <f t="shared" si="21"/>
        <v>0</v>
      </c>
      <c r="W50" s="552">
        <f t="shared" si="21"/>
        <v>0</v>
      </c>
      <c r="X50" s="552">
        <f t="shared" si="21"/>
        <v>0</v>
      </c>
      <c r="Y50" s="552">
        <f t="shared" si="21"/>
        <v>0</v>
      </c>
      <c r="Z50" s="552">
        <f t="shared" si="21"/>
        <v>0</v>
      </c>
      <c r="AA50" s="552">
        <f t="shared" si="21"/>
        <v>0</v>
      </c>
      <c r="AB50" s="552">
        <f t="shared" si="21"/>
        <v>0</v>
      </c>
      <c r="AC50" s="552">
        <f t="shared" si="21"/>
        <v>0</v>
      </c>
      <c r="AD50" s="552">
        <f t="shared" si="21"/>
        <v>0</v>
      </c>
      <c r="AE50" s="527">
        <f t="shared" si="21"/>
        <v>0</v>
      </c>
      <c r="AF50" s="423"/>
      <c r="AG50" s="565">
        <f t="shared" si="20"/>
        <v>22</v>
      </c>
    </row>
    <row r="51" spans="1:33" x14ac:dyDescent="0.35">
      <c r="A51" s="406" t="s">
        <v>33</v>
      </c>
      <c r="B51" s="525">
        <f>H51+J51+L51+N51+P51+R51+T51+V51+X51+Z51+AB51+AD51</f>
        <v>22</v>
      </c>
      <c r="C51" s="404">
        <f>H51+J51+L51+N51</f>
        <v>22</v>
      </c>
      <c r="D51" s="404"/>
      <c r="E51" s="525">
        <f>I51+K51+M51+O51+Q51+S51+U51+W51+Y51+AA51+AC51+AE51</f>
        <v>0</v>
      </c>
      <c r="F51" s="563">
        <f>E51/B51</f>
        <v>0</v>
      </c>
      <c r="G51" s="563">
        <f>E51/C51</f>
        <v>0</v>
      </c>
      <c r="H51" s="419"/>
      <c r="I51" s="419"/>
      <c r="J51" s="419"/>
      <c r="K51" s="419"/>
      <c r="L51" s="419"/>
      <c r="M51" s="419"/>
      <c r="N51" s="419">
        <v>22</v>
      </c>
      <c r="O51" s="419">
        <v>0</v>
      </c>
      <c r="P51" s="419"/>
      <c r="Q51" s="419"/>
      <c r="R51" s="419"/>
      <c r="S51" s="419"/>
      <c r="T51" s="419"/>
      <c r="U51" s="419"/>
      <c r="V51" s="419"/>
      <c r="W51" s="419"/>
      <c r="X51" s="419"/>
      <c r="Y51" s="419"/>
      <c r="Z51" s="419"/>
      <c r="AA51" s="419"/>
      <c r="AB51" s="419"/>
      <c r="AC51" s="419"/>
      <c r="AD51" s="419"/>
      <c r="AE51" s="419"/>
      <c r="AF51" s="423"/>
      <c r="AG51" s="565">
        <f t="shared" si="20"/>
        <v>22</v>
      </c>
    </row>
    <row r="52" spans="1:33" x14ac:dyDescent="0.35">
      <c r="A52" s="407" t="s">
        <v>35</v>
      </c>
      <c r="B52" s="532"/>
      <c r="C52" s="532"/>
      <c r="D52" s="532"/>
      <c r="E52" s="532"/>
      <c r="F52" s="533"/>
      <c r="G52" s="533"/>
      <c r="H52" s="534"/>
      <c r="I52" s="534"/>
      <c r="J52" s="534"/>
      <c r="K52" s="534"/>
      <c r="L52" s="534"/>
      <c r="M52" s="534"/>
      <c r="N52" s="534"/>
      <c r="O52" s="534"/>
      <c r="P52" s="534"/>
      <c r="Q52" s="534"/>
      <c r="R52" s="534"/>
      <c r="S52" s="534"/>
      <c r="T52" s="534"/>
      <c r="U52" s="534"/>
      <c r="V52" s="534"/>
      <c r="W52" s="534"/>
      <c r="X52" s="534"/>
      <c r="Y52" s="534"/>
      <c r="Z52" s="534"/>
      <c r="AA52" s="534"/>
      <c r="AB52" s="534"/>
      <c r="AC52" s="534"/>
      <c r="AD52" s="534"/>
      <c r="AE52" s="534"/>
      <c r="AF52" s="423"/>
    </row>
    <row r="53" spans="1:33" x14ac:dyDescent="0.35">
      <c r="A53" s="553" t="s">
        <v>31</v>
      </c>
      <c r="B53" s="551">
        <f>B54+B55</f>
        <v>4080.1000000000004</v>
      </c>
      <c r="C53" s="551">
        <f>C54+C55</f>
        <v>1673.3193000000001</v>
      </c>
      <c r="D53" s="551">
        <f>D54+D55</f>
        <v>1147.90652</v>
      </c>
      <c r="E53" s="551">
        <f>E54+E55</f>
        <v>1147.89669</v>
      </c>
      <c r="F53" s="562">
        <f>E53/B53</f>
        <v>0.28134033234479544</v>
      </c>
      <c r="G53" s="562">
        <f>E53/C53</f>
        <v>0.6859997909544221</v>
      </c>
      <c r="H53" s="552">
        <f t="shared" ref="H53:AE53" si="22">H54+H55</f>
        <v>538.10130000000004</v>
      </c>
      <c r="I53" s="552">
        <f t="shared" si="22"/>
        <v>256.75177000000002</v>
      </c>
      <c r="J53" s="552">
        <f t="shared" si="22"/>
        <v>315.94600000000003</v>
      </c>
      <c r="K53" s="552">
        <f t="shared" si="22"/>
        <v>375.87491999999997</v>
      </c>
      <c r="L53" s="552">
        <f t="shared" si="22"/>
        <v>252.583</v>
      </c>
      <c r="M53" s="552">
        <f t="shared" si="22"/>
        <v>221.87</v>
      </c>
      <c r="N53" s="552">
        <f t="shared" si="22"/>
        <v>566.68899999999996</v>
      </c>
      <c r="O53" s="552">
        <f t="shared" si="22"/>
        <v>293.39999999999998</v>
      </c>
      <c r="P53" s="552">
        <f t="shared" si="22"/>
        <v>294.02600000000001</v>
      </c>
      <c r="Q53" s="552">
        <f t="shared" si="22"/>
        <v>0</v>
      </c>
      <c r="R53" s="552">
        <f t="shared" si="22"/>
        <v>252.583</v>
      </c>
      <c r="S53" s="552">
        <f t="shared" si="22"/>
        <v>0</v>
      </c>
      <c r="T53" s="552">
        <f t="shared" si="22"/>
        <v>390.779</v>
      </c>
      <c r="U53" s="552">
        <f t="shared" si="22"/>
        <v>0</v>
      </c>
      <c r="V53" s="552">
        <f t="shared" si="22"/>
        <v>287.51600000000002</v>
      </c>
      <c r="W53" s="552">
        <f t="shared" si="22"/>
        <v>0</v>
      </c>
      <c r="X53" s="552">
        <f t="shared" si="22"/>
        <v>252.57300000000001</v>
      </c>
      <c r="Y53" s="552">
        <f t="shared" si="22"/>
        <v>0</v>
      </c>
      <c r="Z53" s="552">
        <f t="shared" si="22"/>
        <v>391.27800000000002</v>
      </c>
      <c r="AA53" s="552">
        <f t="shared" si="22"/>
        <v>0</v>
      </c>
      <c r="AB53" s="552">
        <f t="shared" si="22"/>
        <v>287.56560000000002</v>
      </c>
      <c r="AC53" s="552">
        <f t="shared" si="22"/>
        <v>0</v>
      </c>
      <c r="AD53" s="552">
        <f t="shared" si="22"/>
        <v>250.46010000000001</v>
      </c>
      <c r="AE53" s="552">
        <f t="shared" si="22"/>
        <v>0</v>
      </c>
      <c r="AF53" s="423"/>
      <c r="AG53" s="567">
        <f t="shared" si="20"/>
        <v>525.42261000000008</v>
      </c>
    </row>
    <row r="54" spans="1:33" x14ac:dyDescent="0.35">
      <c r="A54" s="524" t="s">
        <v>32</v>
      </c>
      <c r="B54" s="525">
        <f>B48</f>
        <v>4058.1000000000004</v>
      </c>
      <c r="C54" s="525">
        <f>C48</f>
        <v>1651.3193000000001</v>
      </c>
      <c r="D54" s="525">
        <f>D48</f>
        <v>1147.90652</v>
      </c>
      <c r="E54" s="525">
        <f>E48</f>
        <v>1147.89669</v>
      </c>
      <c r="F54" s="563">
        <f>E54/B54</f>
        <v>0.28286555038072003</v>
      </c>
      <c r="G54" s="563">
        <f>E54/C54</f>
        <v>0.69513914722609971</v>
      </c>
      <c r="H54" s="527">
        <f>H48</f>
        <v>538.10130000000004</v>
      </c>
      <c r="I54" s="527">
        <f>I48</f>
        <v>256.75177000000002</v>
      </c>
      <c r="J54" s="527">
        <f>J48</f>
        <v>315.94600000000003</v>
      </c>
      <c r="K54" s="527">
        <f>K48</f>
        <v>375.87491999999997</v>
      </c>
      <c r="L54" s="527">
        <f t="shared" ref="L54:AE54" si="23">L48</f>
        <v>252.583</v>
      </c>
      <c r="M54" s="527">
        <f t="shared" si="23"/>
        <v>221.87</v>
      </c>
      <c r="N54" s="527">
        <f t="shared" si="23"/>
        <v>544.68899999999996</v>
      </c>
      <c r="O54" s="527">
        <f t="shared" si="23"/>
        <v>293.39999999999998</v>
      </c>
      <c r="P54" s="527">
        <f t="shared" si="23"/>
        <v>294.02600000000001</v>
      </c>
      <c r="Q54" s="527">
        <f t="shared" si="23"/>
        <v>0</v>
      </c>
      <c r="R54" s="527">
        <f t="shared" si="23"/>
        <v>252.583</v>
      </c>
      <c r="S54" s="527">
        <f t="shared" si="23"/>
        <v>0</v>
      </c>
      <c r="T54" s="527">
        <f t="shared" si="23"/>
        <v>390.779</v>
      </c>
      <c r="U54" s="527">
        <f t="shared" si="23"/>
        <v>0</v>
      </c>
      <c r="V54" s="527">
        <f t="shared" si="23"/>
        <v>287.51600000000002</v>
      </c>
      <c r="W54" s="527">
        <f t="shared" si="23"/>
        <v>0</v>
      </c>
      <c r="X54" s="527">
        <f t="shared" si="23"/>
        <v>252.57300000000001</v>
      </c>
      <c r="Y54" s="527">
        <f t="shared" si="23"/>
        <v>0</v>
      </c>
      <c r="Z54" s="527">
        <f t="shared" si="23"/>
        <v>391.27800000000002</v>
      </c>
      <c r="AA54" s="527">
        <f t="shared" si="23"/>
        <v>0</v>
      </c>
      <c r="AB54" s="527">
        <f t="shared" si="23"/>
        <v>287.56560000000002</v>
      </c>
      <c r="AC54" s="527">
        <f t="shared" si="23"/>
        <v>0</v>
      </c>
      <c r="AD54" s="527">
        <f t="shared" si="23"/>
        <v>250.46010000000001</v>
      </c>
      <c r="AE54" s="527">
        <f t="shared" si="23"/>
        <v>0</v>
      </c>
      <c r="AF54" s="423"/>
      <c r="AG54" s="565">
        <f t="shared" si="20"/>
        <v>503.42261000000008</v>
      </c>
    </row>
    <row r="55" spans="1:33" x14ac:dyDescent="0.35">
      <c r="A55" s="524" t="s">
        <v>33</v>
      </c>
      <c r="B55" s="525">
        <f>B51</f>
        <v>22</v>
      </c>
      <c r="C55" s="525">
        <f>C51</f>
        <v>22</v>
      </c>
      <c r="D55" s="525">
        <f>D51</f>
        <v>0</v>
      </c>
      <c r="E55" s="525">
        <f>E51</f>
        <v>0</v>
      </c>
      <c r="F55" s="563">
        <f>E55/B55</f>
        <v>0</v>
      </c>
      <c r="G55" s="563">
        <f>E55/C55</f>
        <v>0</v>
      </c>
      <c r="H55" s="527">
        <f>H51</f>
        <v>0</v>
      </c>
      <c r="I55" s="527">
        <f>I51</f>
        <v>0</v>
      </c>
      <c r="J55" s="527">
        <f>J51</f>
        <v>0</v>
      </c>
      <c r="K55" s="527">
        <f>K51</f>
        <v>0</v>
      </c>
      <c r="L55" s="527">
        <f t="shared" ref="L55:AE55" si="24">L51</f>
        <v>0</v>
      </c>
      <c r="M55" s="527">
        <f t="shared" si="24"/>
        <v>0</v>
      </c>
      <c r="N55" s="527">
        <f t="shared" si="24"/>
        <v>22</v>
      </c>
      <c r="O55" s="527">
        <f t="shared" si="24"/>
        <v>0</v>
      </c>
      <c r="P55" s="527">
        <f t="shared" si="24"/>
        <v>0</v>
      </c>
      <c r="Q55" s="527">
        <f t="shared" si="24"/>
        <v>0</v>
      </c>
      <c r="R55" s="527">
        <f t="shared" si="24"/>
        <v>0</v>
      </c>
      <c r="S55" s="527">
        <f t="shared" si="24"/>
        <v>0</v>
      </c>
      <c r="T55" s="527">
        <f t="shared" si="24"/>
        <v>0</v>
      </c>
      <c r="U55" s="527">
        <f t="shared" si="24"/>
        <v>0</v>
      </c>
      <c r="V55" s="527">
        <f t="shared" si="24"/>
        <v>0</v>
      </c>
      <c r="W55" s="527">
        <f t="shared" si="24"/>
        <v>0</v>
      </c>
      <c r="X55" s="527">
        <f t="shared" si="24"/>
        <v>0</v>
      </c>
      <c r="Y55" s="527">
        <f t="shared" si="24"/>
        <v>0</v>
      </c>
      <c r="Z55" s="527">
        <f t="shared" si="24"/>
        <v>0</v>
      </c>
      <c r="AA55" s="527">
        <f t="shared" si="24"/>
        <v>0</v>
      </c>
      <c r="AB55" s="527">
        <f t="shared" si="24"/>
        <v>0</v>
      </c>
      <c r="AC55" s="527">
        <f t="shared" si="24"/>
        <v>0</v>
      </c>
      <c r="AD55" s="527">
        <f t="shared" si="24"/>
        <v>0</v>
      </c>
      <c r="AE55" s="527">
        <f t="shared" si="24"/>
        <v>0</v>
      </c>
      <c r="AF55" s="423"/>
      <c r="AG55" s="565">
        <f t="shared" si="20"/>
        <v>22</v>
      </c>
    </row>
    <row r="56" spans="1:33" ht="38.25" x14ac:dyDescent="0.35">
      <c r="A56" s="524" t="s">
        <v>73</v>
      </c>
      <c r="B56" s="525"/>
      <c r="C56" s="525"/>
      <c r="D56" s="525"/>
      <c r="E56" s="525"/>
      <c r="F56" s="525"/>
      <c r="G56" s="525"/>
      <c r="H56" s="527"/>
      <c r="I56" s="527"/>
      <c r="J56" s="527"/>
      <c r="K56" s="527"/>
      <c r="L56" s="527"/>
      <c r="M56" s="527"/>
      <c r="N56" s="527"/>
      <c r="O56" s="527"/>
      <c r="P56" s="527"/>
      <c r="Q56" s="527"/>
      <c r="R56" s="527"/>
      <c r="S56" s="527"/>
      <c r="T56" s="527"/>
      <c r="U56" s="527"/>
      <c r="V56" s="527"/>
      <c r="W56" s="527"/>
      <c r="X56" s="527"/>
      <c r="Y56" s="527"/>
      <c r="Z56" s="527"/>
      <c r="AA56" s="527"/>
      <c r="AB56" s="527"/>
      <c r="AC56" s="527"/>
      <c r="AD56" s="527"/>
      <c r="AE56" s="527"/>
      <c r="AF56" s="423"/>
    </row>
    <row r="57" spans="1:33" x14ac:dyDescent="0.35">
      <c r="A57" s="553" t="s">
        <v>31</v>
      </c>
      <c r="B57" s="551">
        <f>B58+B59</f>
        <v>4080.1000000000004</v>
      </c>
      <c r="C57" s="551">
        <f>C58+C59</f>
        <v>1673.3193000000001</v>
      </c>
      <c r="D57" s="551">
        <f>D58+D59</f>
        <v>1147.90652</v>
      </c>
      <c r="E57" s="551">
        <f>E58+E59</f>
        <v>1147.89669</v>
      </c>
      <c r="F57" s="562">
        <f>E57/B57</f>
        <v>0.28134033234479544</v>
      </c>
      <c r="G57" s="562">
        <f>E57/C57</f>
        <v>0.6859997909544221</v>
      </c>
      <c r="H57" s="552">
        <f>H58+H59</f>
        <v>538.10130000000004</v>
      </c>
      <c r="I57" s="552">
        <f t="shared" ref="I57:AE57" si="25">I58+I59</f>
        <v>256.75177000000002</v>
      </c>
      <c r="J57" s="552">
        <f t="shared" si="25"/>
        <v>315.94600000000003</v>
      </c>
      <c r="K57" s="552">
        <f t="shared" si="25"/>
        <v>375.87491999999997</v>
      </c>
      <c r="L57" s="552">
        <f t="shared" si="25"/>
        <v>252.583</v>
      </c>
      <c r="M57" s="552">
        <f t="shared" si="25"/>
        <v>221.87</v>
      </c>
      <c r="N57" s="552">
        <f t="shared" si="25"/>
        <v>566.68899999999996</v>
      </c>
      <c r="O57" s="552">
        <f t="shared" si="25"/>
        <v>293.39999999999998</v>
      </c>
      <c r="P57" s="552">
        <f t="shared" si="25"/>
        <v>294.02600000000001</v>
      </c>
      <c r="Q57" s="552">
        <f t="shared" si="25"/>
        <v>0</v>
      </c>
      <c r="R57" s="552">
        <f t="shared" si="25"/>
        <v>252.583</v>
      </c>
      <c r="S57" s="552">
        <f t="shared" si="25"/>
        <v>0</v>
      </c>
      <c r="T57" s="552">
        <f t="shared" si="25"/>
        <v>390.779</v>
      </c>
      <c r="U57" s="552">
        <f t="shared" si="25"/>
        <v>0</v>
      </c>
      <c r="V57" s="552">
        <f t="shared" si="25"/>
        <v>287.51600000000002</v>
      </c>
      <c r="W57" s="552">
        <f t="shared" si="25"/>
        <v>0</v>
      </c>
      <c r="X57" s="552">
        <f t="shared" si="25"/>
        <v>252.57300000000001</v>
      </c>
      <c r="Y57" s="552">
        <f t="shared" si="25"/>
        <v>0</v>
      </c>
      <c r="Z57" s="552">
        <f t="shared" si="25"/>
        <v>391.27800000000002</v>
      </c>
      <c r="AA57" s="552">
        <f t="shared" si="25"/>
        <v>0</v>
      </c>
      <c r="AB57" s="552">
        <f t="shared" si="25"/>
        <v>287.56560000000002</v>
      </c>
      <c r="AC57" s="552">
        <f t="shared" si="25"/>
        <v>0</v>
      </c>
      <c r="AD57" s="552">
        <f t="shared" si="25"/>
        <v>250.46010000000001</v>
      </c>
      <c r="AE57" s="552">
        <f t="shared" si="25"/>
        <v>0</v>
      </c>
      <c r="AF57" s="423"/>
    </row>
    <row r="58" spans="1:33" x14ac:dyDescent="0.35">
      <c r="A58" s="524" t="s">
        <v>32</v>
      </c>
      <c r="B58" s="525">
        <f t="shared" ref="B58:E59" si="26">B54</f>
        <v>4058.1000000000004</v>
      </c>
      <c r="C58" s="525">
        <f t="shared" si="26"/>
        <v>1651.3193000000001</v>
      </c>
      <c r="D58" s="525">
        <f t="shared" si="26"/>
        <v>1147.90652</v>
      </c>
      <c r="E58" s="525">
        <f t="shared" si="26"/>
        <v>1147.89669</v>
      </c>
      <c r="F58" s="563">
        <f>E58/B58</f>
        <v>0.28286555038072003</v>
      </c>
      <c r="G58" s="563">
        <f>E58/C58</f>
        <v>0.69513914722609971</v>
      </c>
      <c r="H58" s="527">
        <f>H54</f>
        <v>538.10130000000004</v>
      </c>
      <c r="I58" s="527">
        <f t="shared" ref="I58:AE58" si="27">I54</f>
        <v>256.75177000000002</v>
      </c>
      <c r="J58" s="527">
        <f t="shared" si="27"/>
        <v>315.94600000000003</v>
      </c>
      <c r="K58" s="527">
        <f t="shared" si="27"/>
        <v>375.87491999999997</v>
      </c>
      <c r="L58" s="527">
        <f t="shared" si="27"/>
        <v>252.583</v>
      </c>
      <c r="M58" s="527">
        <f t="shared" si="27"/>
        <v>221.87</v>
      </c>
      <c r="N58" s="527">
        <f t="shared" si="27"/>
        <v>544.68899999999996</v>
      </c>
      <c r="O58" s="527">
        <f t="shared" si="27"/>
        <v>293.39999999999998</v>
      </c>
      <c r="P58" s="527">
        <f t="shared" si="27"/>
        <v>294.02600000000001</v>
      </c>
      <c r="Q58" s="527">
        <f t="shared" si="27"/>
        <v>0</v>
      </c>
      <c r="R58" s="527">
        <f t="shared" si="27"/>
        <v>252.583</v>
      </c>
      <c r="S58" s="527">
        <f t="shared" si="27"/>
        <v>0</v>
      </c>
      <c r="T58" s="527">
        <f t="shared" si="27"/>
        <v>390.779</v>
      </c>
      <c r="U58" s="527">
        <f t="shared" si="27"/>
        <v>0</v>
      </c>
      <c r="V58" s="527">
        <f t="shared" si="27"/>
        <v>287.51600000000002</v>
      </c>
      <c r="W58" s="527">
        <f t="shared" si="27"/>
        <v>0</v>
      </c>
      <c r="X58" s="527">
        <f t="shared" si="27"/>
        <v>252.57300000000001</v>
      </c>
      <c r="Y58" s="527">
        <f t="shared" si="27"/>
        <v>0</v>
      </c>
      <c r="Z58" s="527">
        <f t="shared" si="27"/>
        <v>391.27800000000002</v>
      </c>
      <c r="AA58" s="527">
        <f t="shared" si="27"/>
        <v>0</v>
      </c>
      <c r="AB58" s="527">
        <f t="shared" si="27"/>
        <v>287.56560000000002</v>
      </c>
      <c r="AC58" s="527">
        <f t="shared" si="27"/>
        <v>0</v>
      </c>
      <c r="AD58" s="527">
        <f t="shared" si="27"/>
        <v>250.46010000000001</v>
      </c>
      <c r="AE58" s="527">
        <f t="shared" si="27"/>
        <v>0</v>
      </c>
      <c r="AF58" s="423"/>
    </row>
    <row r="59" spans="1:33" x14ac:dyDescent="0.35">
      <c r="A59" s="524" t="s">
        <v>33</v>
      </c>
      <c r="B59" s="525">
        <f t="shared" si="26"/>
        <v>22</v>
      </c>
      <c r="C59" s="525">
        <f t="shared" si="26"/>
        <v>22</v>
      </c>
      <c r="D59" s="525">
        <f t="shared" si="26"/>
        <v>0</v>
      </c>
      <c r="E59" s="525">
        <f t="shared" si="26"/>
        <v>0</v>
      </c>
      <c r="F59" s="563">
        <f>E59/B59</f>
        <v>0</v>
      </c>
      <c r="G59" s="563">
        <f>E59/C59</f>
        <v>0</v>
      </c>
      <c r="H59" s="527">
        <f>H55</f>
        <v>0</v>
      </c>
      <c r="I59" s="527">
        <f t="shared" ref="I59:AE59" si="28">I55</f>
        <v>0</v>
      </c>
      <c r="J59" s="527">
        <f t="shared" si="28"/>
        <v>0</v>
      </c>
      <c r="K59" s="527">
        <f t="shared" si="28"/>
        <v>0</v>
      </c>
      <c r="L59" s="527">
        <f t="shared" si="28"/>
        <v>0</v>
      </c>
      <c r="M59" s="527">
        <f t="shared" si="28"/>
        <v>0</v>
      </c>
      <c r="N59" s="527">
        <f t="shared" si="28"/>
        <v>22</v>
      </c>
      <c r="O59" s="527">
        <f t="shared" si="28"/>
        <v>0</v>
      </c>
      <c r="P59" s="527">
        <f t="shared" si="28"/>
        <v>0</v>
      </c>
      <c r="Q59" s="527">
        <f t="shared" si="28"/>
        <v>0</v>
      </c>
      <c r="R59" s="527">
        <f t="shared" si="28"/>
        <v>0</v>
      </c>
      <c r="S59" s="527">
        <f t="shared" si="28"/>
        <v>0</v>
      </c>
      <c r="T59" s="527">
        <f t="shared" si="28"/>
        <v>0</v>
      </c>
      <c r="U59" s="527">
        <f t="shared" si="28"/>
        <v>0</v>
      </c>
      <c r="V59" s="527">
        <f t="shared" si="28"/>
        <v>0</v>
      </c>
      <c r="W59" s="527">
        <f t="shared" si="28"/>
        <v>0</v>
      </c>
      <c r="X59" s="527">
        <f t="shared" si="28"/>
        <v>0</v>
      </c>
      <c r="Y59" s="527">
        <f t="shared" si="28"/>
        <v>0</v>
      </c>
      <c r="Z59" s="527">
        <f t="shared" si="28"/>
        <v>0</v>
      </c>
      <c r="AA59" s="527">
        <f t="shared" si="28"/>
        <v>0</v>
      </c>
      <c r="AB59" s="527">
        <f t="shared" si="28"/>
        <v>0</v>
      </c>
      <c r="AC59" s="527">
        <f t="shared" si="28"/>
        <v>0</v>
      </c>
      <c r="AD59" s="527">
        <f t="shared" si="28"/>
        <v>0</v>
      </c>
      <c r="AE59" s="527">
        <f t="shared" si="28"/>
        <v>0</v>
      </c>
      <c r="AF59" s="423"/>
    </row>
    <row r="60" spans="1:33" x14ac:dyDescent="0.35">
      <c r="A60" s="408" t="s">
        <v>66</v>
      </c>
      <c r="B60" s="532"/>
      <c r="C60" s="533"/>
      <c r="D60" s="533"/>
      <c r="E60" s="533"/>
      <c r="F60" s="533"/>
      <c r="G60" s="533"/>
      <c r="H60" s="535"/>
      <c r="I60" s="535"/>
      <c r="J60" s="535"/>
      <c r="K60" s="535"/>
      <c r="L60" s="535"/>
      <c r="M60" s="535"/>
      <c r="N60" s="535"/>
      <c r="O60" s="535"/>
      <c r="P60" s="535"/>
      <c r="Q60" s="535"/>
      <c r="R60" s="535"/>
      <c r="S60" s="535"/>
      <c r="T60" s="535"/>
      <c r="U60" s="535"/>
      <c r="V60" s="535"/>
      <c r="W60" s="535"/>
      <c r="X60" s="535"/>
      <c r="Y60" s="535"/>
      <c r="Z60" s="535"/>
      <c r="AA60" s="535"/>
      <c r="AB60" s="535"/>
      <c r="AC60" s="535"/>
      <c r="AD60" s="535"/>
      <c r="AE60" s="535"/>
      <c r="AF60" s="423"/>
    </row>
    <row r="61" spans="1:33" x14ac:dyDescent="0.35">
      <c r="A61" s="553" t="s">
        <v>31</v>
      </c>
      <c r="B61" s="551">
        <f>B62+B63</f>
        <v>33380.600000000006</v>
      </c>
      <c r="C61" s="551">
        <f>C62+C63</f>
        <v>4969.3892599999999</v>
      </c>
      <c r="D61" s="551">
        <f>D62+D63</f>
        <v>4386.2244099999998</v>
      </c>
      <c r="E61" s="551">
        <f>E62+E63</f>
        <v>3490.8878199999999</v>
      </c>
      <c r="F61" s="562">
        <f>E61/B61</f>
        <v>0.10457834251032035</v>
      </c>
      <c r="G61" s="562">
        <f>E61/C61</f>
        <v>0.70247823975053225</v>
      </c>
      <c r="H61" s="552">
        <f>H62+H63</f>
        <v>584.71630000000005</v>
      </c>
      <c r="I61" s="552">
        <f t="shared" ref="I61:AE61" si="29">I62+I63</f>
        <v>269.75177000000002</v>
      </c>
      <c r="J61" s="552">
        <f t="shared" si="29"/>
        <v>1521.7508600000001</v>
      </c>
      <c r="K61" s="552">
        <f t="shared" si="29"/>
        <v>1190.29105</v>
      </c>
      <c r="L61" s="552">
        <f t="shared" si="29"/>
        <v>992.32229000000007</v>
      </c>
      <c r="M61" s="552">
        <f t="shared" si="29"/>
        <v>964.05500000000006</v>
      </c>
      <c r="N61" s="552">
        <f t="shared" si="29"/>
        <v>1870.5998099999999</v>
      </c>
      <c r="O61" s="552">
        <f t="shared" si="29"/>
        <v>1066.79</v>
      </c>
      <c r="P61" s="552">
        <f t="shared" si="29"/>
        <v>1057.6452899999999</v>
      </c>
      <c r="Q61" s="552">
        <f t="shared" si="29"/>
        <v>0</v>
      </c>
      <c r="R61" s="552">
        <f t="shared" si="29"/>
        <v>10837.934670000001</v>
      </c>
      <c r="S61" s="552">
        <f t="shared" si="29"/>
        <v>0</v>
      </c>
      <c r="T61" s="552">
        <f t="shared" si="29"/>
        <v>7789.0316700000003</v>
      </c>
      <c r="U61" s="552">
        <f t="shared" si="29"/>
        <v>0</v>
      </c>
      <c r="V61" s="552">
        <f t="shared" si="29"/>
        <v>5121.2345700000005</v>
      </c>
      <c r="W61" s="552">
        <f t="shared" si="29"/>
        <v>0</v>
      </c>
      <c r="X61" s="552">
        <f t="shared" si="29"/>
        <v>899.11229000000003</v>
      </c>
      <c r="Y61" s="552">
        <f t="shared" si="29"/>
        <v>0</v>
      </c>
      <c r="Z61" s="552">
        <f t="shared" si="29"/>
        <v>1098.39229</v>
      </c>
      <c r="AA61" s="552">
        <f t="shared" si="29"/>
        <v>0</v>
      </c>
      <c r="AB61" s="552">
        <f t="shared" si="29"/>
        <v>1014.17986</v>
      </c>
      <c r="AC61" s="552">
        <f t="shared" si="29"/>
        <v>0</v>
      </c>
      <c r="AD61" s="552">
        <f t="shared" si="29"/>
        <v>593.68010000000004</v>
      </c>
      <c r="AE61" s="552">
        <f t="shared" si="29"/>
        <v>0</v>
      </c>
      <c r="AF61" s="423"/>
      <c r="AG61" s="567">
        <f>C61-E61</f>
        <v>1478.50144</v>
      </c>
    </row>
    <row r="62" spans="1:33" x14ac:dyDescent="0.35">
      <c r="A62" s="545" t="s">
        <v>32</v>
      </c>
      <c r="B62" s="525">
        <f>B37+B54</f>
        <v>12755.300000000001</v>
      </c>
      <c r="C62" s="525">
        <f>C37+C54</f>
        <v>2472.9193</v>
      </c>
      <c r="D62" s="525">
        <f>D37+D54</f>
        <v>1945.7344499999999</v>
      </c>
      <c r="E62" s="525">
        <f>E37+E54</f>
        <v>1945.72982</v>
      </c>
      <c r="F62" s="563">
        <f>E62/B62</f>
        <v>0.15254285042296142</v>
      </c>
      <c r="G62" s="563">
        <f>E62/C62</f>
        <v>0.78681492760398608</v>
      </c>
      <c r="H62" s="527">
        <f>H37+H54</f>
        <v>553.10130000000004</v>
      </c>
      <c r="I62" s="527">
        <f t="shared" ref="I62:AE62" si="30">I37+I54</f>
        <v>256.75177000000002</v>
      </c>
      <c r="J62" s="527">
        <f t="shared" si="30"/>
        <v>592.346</v>
      </c>
      <c r="K62" s="527">
        <f t="shared" si="30"/>
        <v>646.42804999999998</v>
      </c>
      <c r="L62" s="527">
        <f t="shared" si="30"/>
        <v>517.68299999999999</v>
      </c>
      <c r="M62" s="527">
        <f t="shared" si="30"/>
        <v>481.2</v>
      </c>
      <c r="N62" s="527">
        <f t="shared" si="30"/>
        <v>809.78899999999999</v>
      </c>
      <c r="O62" s="527">
        <f t="shared" si="30"/>
        <v>561.34999999999991</v>
      </c>
      <c r="P62" s="527">
        <f t="shared" si="30"/>
        <v>559.12599999999998</v>
      </c>
      <c r="Q62" s="527">
        <f t="shared" si="30"/>
        <v>0</v>
      </c>
      <c r="R62" s="527">
        <f t="shared" si="30"/>
        <v>2767.683</v>
      </c>
      <c r="S62" s="527">
        <f t="shared" si="30"/>
        <v>0</v>
      </c>
      <c r="T62" s="527">
        <f t="shared" si="30"/>
        <v>2505.8789999999999</v>
      </c>
      <c r="U62" s="527">
        <f t="shared" si="30"/>
        <v>0</v>
      </c>
      <c r="V62" s="527">
        <f t="shared" si="30"/>
        <v>2344.5160000000001</v>
      </c>
      <c r="W62" s="527">
        <f t="shared" si="30"/>
        <v>0</v>
      </c>
      <c r="X62" s="527">
        <f t="shared" si="30"/>
        <v>476.27300000000002</v>
      </c>
      <c r="Y62" s="527">
        <f t="shared" si="30"/>
        <v>0</v>
      </c>
      <c r="Z62" s="527">
        <f t="shared" si="30"/>
        <v>657.37800000000004</v>
      </c>
      <c r="AA62" s="527">
        <f t="shared" si="30"/>
        <v>0</v>
      </c>
      <c r="AB62" s="527">
        <f t="shared" si="30"/>
        <v>552.96559999999999</v>
      </c>
      <c r="AC62" s="527">
        <f t="shared" si="30"/>
        <v>0</v>
      </c>
      <c r="AD62" s="527">
        <f t="shared" si="30"/>
        <v>418.56010000000003</v>
      </c>
      <c r="AE62" s="552">
        <f t="shared" si="30"/>
        <v>0</v>
      </c>
      <c r="AF62" s="423"/>
      <c r="AG62" s="565">
        <f>C62-E62</f>
        <v>527.18948</v>
      </c>
    </row>
    <row r="63" spans="1:33" x14ac:dyDescent="0.35">
      <c r="A63" s="545" t="s">
        <v>33</v>
      </c>
      <c r="B63" s="525">
        <f>B38+B55</f>
        <v>20625.300000000003</v>
      </c>
      <c r="C63" s="525">
        <f>C38+C55</f>
        <v>2496.4699599999999</v>
      </c>
      <c r="D63" s="525">
        <f>D38</f>
        <v>2440.4899599999999</v>
      </c>
      <c r="E63" s="525">
        <f>E38</f>
        <v>1545.1580000000001</v>
      </c>
      <c r="F63" s="563">
        <f>E63/B63</f>
        <v>7.4915661832797575E-2</v>
      </c>
      <c r="G63" s="563">
        <f>E63/C63</f>
        <v>0.618937149157605</v>
      </c>
      <c r="H63" s="527">
        <f>H38+H55</f>
        <v>31.614999999999998</v>
      </c>
      <c r="I63" s="527">
        <f t="shared" ref="I63:AE63" si="31">I38+I55</f>
        <v>13</v>
      </c>
      <c r="J63" s="527">
        <f t="shared" si="31"/>
        <v>929.40485999999999</v>
      </c>
      <c r="K63" s="527">
        <f t="shared" si="31"/>
        <v>543.86300000000006</v>
      </c>
      <c r="L63" s="527">
        <f t="shared" si="31"/>
        <v>474.63929000000002</v>
      </c>
      <c r="M63" s="527">
        <f t="shared" si="31"/>
        <v>482.85500000000002</v>
      </c>
      <c r="N63" s="527">
        <f t="shared" si="31"/>
        <v>1060.8108099999999</v>
      </c>
      <c r="O63" s="527">
        <f t="shared" si="31"/>
        <v>505.44</v>
      </c>
      <c r="P63" s="527">
        <f t="shared" si="31"/>
        <v>498.51928999999996</v>
      </c>
      <c r="Q63" s="527">
        <f t="shared" si="31"/>
        <v>0</v>
      </c>
      <c r="R63" s="527">
        <f t="shared" si="31"/>
        <v>8070.2516700000006</v>
      </c>
      <c r="S63" s="527">
        <f t="shared" si="31"/>
        <v>0</v>
      </c>
      <c r="T63" s="527">
        <f t="shared" si="31"/>
        <v>5283.1526700000004</v>
      </c>
      <c r="U63" s="527">
        <f t="shared" si="31"/>
        <v>0</v>
      </c>
      <c r="V63" s="527">
        <f t="shared" si="31"/>
        <v>2776.71857</v>
      </c>
      <c r="W63" s="527">
        <f t="shared" si="31"/>
        <v>0</v>
      </c>
      <c r="X63" s="527">
        <f t="shared" si="31"/>
        <v>422.83929000000001</v>
      </c>
      <c r="Y63" s="527">
        <f t="shared" si="31"/>
        <v>0</v>
      </c>
      <c r="Z63" s="527">
        <f t="shared" si="31"/>
        <v>441.01429000000002</v>
      </c>
      <c r="AA63" s="527">
        <f t="shared" si="31"/>
        <v>0</v>
      </c>
      <c r="AB63" s="527">
        <f t="shared" si="31"/>
        <v>461.21426000000002</v>
      </c>
      <c r="AC63" s="527">
        <f t="shared" si="31"/>
        <v>0</v>
      </c>
      <c r="AD63" s="527">
        <f t="shared" si="31"/>
        <v>175.12</v>
      </c>
      <c r="AE63" s="552">
        <f t="shared" si="31"/>
        <v>0</v>
      </c>
      <c r="AF63" s="423"/>
      <c r="AG63" s="565">
        <f>C63-E63</f>
        <v>951.31195999999977</v>
      </c>
    </row>
    <row r="64" spans="1:33" s="410" customFormat="1" ht="37.5" x14ac:dyDescent="0.3">
      <c r="A64" s="545" t="s">
        <v>67</v>
      </c>
      <c r="B64" s="548"/>
      <c r="C64" s="548"/>
      <c r="D64" s="548"/>
      <c r="E64" s="548"/>
      <c r="F64" s="525"/>
      <c r="G64" s="525"/>
      <c r="H64" s="549"/>
      <c r="I64" s="549"/>
      <c r="J64" s="549"/>
      <c r="K64" s="549"/>
      <c r="L64" s="549"/>
      <c r="M64" s="549"/>
      <c r="N64" s="549"/>
      <c r="O64" s="549"/>
      <c r="P64" s="549"/>
      <c r="Q64" s="549"/>
      <c r="R64" s="549"/>
      <c r="S64" s="549"/>
      <c r="T64" s="549"/>
      <c r="U64" s="549"/>
      <c r="V64" s="549"/>
      <c r="W64" s="549"/>
      <c r="X64" s="549"/>
      <c r="Y64" s="549"/>
      <c r="Z64" s="549"/>
      <c r="AA64" s="549"/>
      <c r="AB64" s="549"/>
      <c r="AC64" s="549"/>
      <c r="AD64" s="549"/>
      <c r="AE64" s="549"/>
      <c r="AF64" s="421"/>
      <c r="AG64" s="566"/>
    </row>
    <row r="65" spans="1:33" s="410" customFormat="1" ht="20.25" x14ac:dyDescent="0.3">
      <c r="A65" s="553" t="s">
        <v>31</v>
      </c>
      <c r="B65" s="559">
        <f>B66+B67</f>
        <v>33380.600000000006</v>
      </c>
      <c r="C65" s="559">
        <f>C66+C67</f>
        <v>4969.3892599999999</v>
      </c>
      <c r="D65" s="559">
        <f>D66+D67</f>
        <v>4386.2244099999998</v>
      </c>
      <c r="E65" s="559">
        <f>E66+E67</f>
        <v>3490.8878199999999</v>
      </c>
      <c r="F65" s="562">
        <f>E65/B65</f>
        <v>0.10457834251032035</v>
      </c>
      <c r="G65" s="562">
        <f>E65/C65</f>
        <v>0.70247823975053225</v>
      </c>
      <c r="H65" s="560">
        <f>H66+H67</f>
        <v>584.71630000000005</v>
      </c>
      <c r="I65" s="560">
        <f t="shared" ref="I65:AE65" si="32">I66+I67</f>
        <v>269.75177000000002</v>
      </c>
      <c r="J65" s="560">
        <f t="shared" si="32"/>
        <v>1521.7508600000001</v>
      </c>
      <c r="K65" s="560">
        <f t="shared" si="32"/>
        <v>1190.29105</v>
      </c>
      <c r="L65" s="560">
        <f t="shared" si="32"/>
        <v>992.32229000000007</v>
      </c>
      <c r="M65" s="560">
        <f t="shared" si="32"/>
        <v>964.05500000000006</v>
      </c>
      <c r="N65" s="560">
        <f t="shared" si="32"/>
        <v>1870.5998099999999</v>
      </c>
      <c r="O65" s="560">
        <f t="shared" si="32"/>
        <v>1066.79</v>
      </c>
      <c r="P65" s="560">
        <f t="shared" si="32"/>
        <v>1057.6452899999999</v>
      </c>
      <c r="Q65" s="560">
        <f t="shared" si="32"/>
        <v>0</v>
      </c>
      <c r="R65" s="560">
        <f t="shared" si="32"/>
        <v>10837.934670000001</v>
      </c>
      <c r="S65" s="560">
        <f t="shared" si="32"/>
        <v>0</v>
      </c>
      <c r="T65" s="560">
        <f t="shared" si="32"/>
        <v>7789.0316700000003</v>
      </c>
      <c r="U65" s="560">
        <f t="shared" si="32"/>
        <v>0</v>
      </c>
      <c r="V65" s="560">
        <f t="shared" si="32"/>
        <v>5121.2345700000005</v>
      </c>
      <c r="W65" s="560">
        <f t="shared" si="32"/>
        <v>0</v>
      </c>
      <c r="X65" s="560">
        <f t="shared" si="32"/>
        <v>899.11229000000003</v>
      </c>
      <c r="Y65" s="560">
        <f t="shared" si="32"/>
        <v>0</v>
      </c>
      <c r="Z65" s="560">
        <f t="shared" si="32"/>
        <v>1098.39229</v>
      </c>
      <c r="AA65" s="560">
        <f t="shared" si="32"/>
        <v>0</v>
      </c>
      <c r="AB65" s="560">
        <f t="shared" si="32"/>
        <v>1014.17986</v>
      </c>
      <c r="AC65" s="560">
        <f t="shared" si="32"/>
        <v>0</v>
      </c>
      <c r="AD65" s="560">
        <f t="shared" si="32"/>
        <v>593.68010000000004</v>
      </c>
      <c r="AE65" s="560">
        <f t="shared" si="32"/>
        <v>0</v>
      </c>
      <c r="AF65" s="421"/>
      <c r="AG65" s="566"/>
    </row>
    <row r="66" spans="1:33" s="410" customFormat="1" ht="20.25" x14ac:dyDescent="0.3">
      <c r="A66" s="524" t="s">
        <v>32</v>
      </c>
      <c r="B66" s="546">
        <f t="shared" ref="B66:E67" si="33">B62</f>
        <v>12755.300000000001</v>
      </c>
      <c r="C66" s="546">
        <f t="shared" si="33"/>
        <v>2472.9193</v>
      </c>
      <c r="D66" s="546">
        <f t="shared" si="33"/>
        <v>1945.7344499999999</v>
      </c>
      <c r="E66" s="546">
        <f t="shared" si="33"/>
        <v>1945.72982</v>
      </c>
      <c r="F66" s="563">
        <f>E66/B66</f>
        <v>0.15254285042296142</v>
      </c>
      <c r="G66" s="563">
        <f>E66/C66</f>
        <v>0.78681492760398608</v>
      </c>
      <c r="H66" s="547">
        <f>H62</f>
        <v>553.10130000000004</v>
      </c>
      <c r="I66" s="547">
        <f t="shared" ref="I66:AE66" si="34">I62</f>
        <v>256.75177000000002</v>
      </c>
      <c r="J66" s="547">
        <f t="shared" si="34"/>
        <v>592.346</v>
      </c>
      <c r="K66" s="547">
        <f t="shared" si="34"/>
        <v>646.42804999999998</v>
      </c>
      <c r="L66" s="547">
        <f t="shared" si="34"/>
        <v>517.68299999999999</v>
      </c>
      <c r="M66" s="547">
        <f t="shared" si="34"/>
        <v>481.2</v>
      </c>
      <c r="N66" s="547">
        <f t="shared" si="34"/>
        <v>809.78899999999999</v>
      </c>
      <c r="O66" s="547">
        <f t="shared" si="34"/>
        <v>561.34999999999991</v>
      </c>
      <c r="P66" s="547">
        <f t="shared" si="34"/>
        <v>559.12599999999998</v>
      </c>
      <c r="Q66" s="547">
        <f t="shared" si="34"/>
        <v>0</v>
      </c>
      <c r="R66" s="547">
        <f t="shared" si="34"/>
        <v>2767.683</v>
      </c>
      <c r="S66" s="547">
        <f t="shared" si="34"/>
        <v>0</v>
      </c>
      <c r="T66" s="547">
        <f t="shared" si="34"/>
        <v>2505.8789999999999</v>
      </c>
      <c r="U66" s="547">
        <f t="shared" si="34"/>
        <v>0</v>
      </c>
      <c r="V66" s="547">
        <f t="shared" si="34"/>
        <v>2344.5160000000001</v>
      </c>
      <c r="W66" s="547">
        <f t="shared" si="34"/>
        <v>0</v>
      </c>
      <c r="X66" s="547">
        <f t="shared" si="34"/>
        <v>476.27300000000002</v>
      </c>
      <c r="Y66" s="547">
        <f t="shared" si="34"/>
        <v>0</v>
      </c>
      <c r="Z66" s="547">
        <f t="shared" si="34"/>
        <v>657.37800000000004</v>
      </c>
      <c r="AA66" s="547">
        <f t="shared" si="34"/>
        <v>0</v>
      </c>
      <c r="AB66" s="547">
        <f t="shared" si="34"/>
        <v>552.96559999999999</v>
      </c>
      <c r="AC66" s="547">
        <f t="shared" si="34"/>
        <v>0</v>
      </c>
      <c r="AD66" s="547">
        <f t="shared" si="34"/>
        <v>418.56010000000003</v>
      </c>
      <c r="AE66" s="547">
        <f t="shared" si="34"/>
        <v>0</v>
      </c>
      <c r="AF66" s="421"/>
      <c r="AG66" s="566"/>
    </row>
    <row r="67" spans="1:33" s="410" customFormat="1" ht="20.25" x14ac:dyDescent="0.3">
      <c r="A67" s="524" t="s">
        <v>33</v>
      </c>
      <c r="B67" s="546">
        <f t="shared" si="33"/>
        <v>20625.300000000003</v>
      </c>
      <c r="C67" s="546">
        <f t="shared" si="33"/>
        <v>2496.4699599999999</v>
      </c>
      <c r="D67" s="546">
        <f t="shared" si="33"/>
        <v>2440.4899599999999</v>
      </c>
      <c r="E67" s="546">
        <f t="shared" si="33"/>
        <v>1545.1580000000001</v>
      </c>
      <c r="F67" s="563">
        <f>E67/B67</f>
        <v>7.4915661832797575E-2</v>
      </c>
      <c r="G67" s="563">
        <f>E67/C67</f>
        <v>0.618937149157605</v>
      </c>
      <c r="H67" s="547">
        <f>H63</f>
        <v>31.614999999999998</v>
      </c>
      <c r="I67" s="547">
        <f t="shared" ref="I67:AE67" si="35">I63</f>
        <v>13</v>
      </c>
      <c r="J67" s="547">
        <f t="shared" si="35"/>
        <v>929.40485999999999</v>
      </c>
      <c r="K67" s="547">
        <f t="shared" si="35"/>
        <v>543.86300000000006</v>
      </c>
      <c r="L67" s="547">
        <f t="shared" si="35"/>
        <v>474.63929000000002</v>
      </c>
      <c r="M67" s="547">
        <f t="shared" si="35"/>
        <v>482.85500000000002</v>
      </c>
      <c r="N67" s="547">
        <f t="shared" si="35"/>
        <v>1060.8108099999999</v>
      </c>
      <c r="O67" s="547">
        <f t="shared" si="35"/>
        <v>505.44</v>
      </c>
      <c r="P67" s="547">
        <f t="shared" si="35"/>
        <v>498.51928999999996</v>
      </c>
      <c r="Q67" s="547">
        <f t="shared" si="35"/>
        <v>0</v>
      </c>
      <c r="R67" s="547">
        <f t="shared" si="35"/>
        <v>8070.2516700000006</v>
      </c>
      <c r="S67" s="547">
        <f t="shared" si="35"/>
        <v>0</v>
      </c>
      <c r="T67" s="547">
        <f t="shared" si="35"/>
        <v>5283.1526700000004</v>
      </c>
      <c r="U67" s="547">
        <f t="shared" si="35"/>
        <v>0</v>
      </c>
      <c r="V67" s="547">
        <f t="shared" si="35"/>
        <v>2776.71857</v>
      </c>
      <c r="W67" s="547">
        <f t="shared" si="35"/>
        <v>0</v>
      </c>
      <c r="X67" s="547">
        <f t="shared" si="35"/>
        <v>422.83929000000001</v>
      </c>
      <c r="Y67" s="547">
        <f t="shared" si="35"/>
        <v>0</v>
      </c>
      <c r="Z67" s="547">
        <f t="shared" si="35"/>
        <v>441.01429000000002</v>
      </c>
      <c r="AA67" s="547">
        <f t="shared" si="35"/>
        <v>0</v>
      </c>
      <c r="AB67" s="547">
        <f t="shared" si="35"/>
        <v>461.21426000000002</v>
      </c>
      <c r="AC67" s="547">
        <f t="shared" si="35"/>
        <v>0</v>
      </c>
      <c r="AD67" s="547">
        <f t="shared" si="35"/>
        <v>175.12</v>
      </c>
      <c r="AE67" s="547">
        <f t="shared" si="35"/>
        <v>0</v>
      </c>
      <c r="AF67" s="421"/>
      <c r="AG67" s="566"/>
    </row>
    <row r="68" spans="1:33" s="410" customFormat="1" ht="20.25" x14ac:dyDescent="0.3">
      <c r="F68" s="411"/>
      <c r="G68" s="411"/>
      <c r="P68" s="561"/>
      <c r="Q68" s="561"/>
      <c r="R68" s="561"/>
      <c r="S68" s="561"/>
      <c r="T68" s="561"/>
      <c r="U68" s="561"/>
      <c r="V68" s="561"/>
      <c r="AG68" s="566"/>
    </row>
    <row r="69" spans="1:33" hidden="1" x14ac:dyDescent="0.35"/>
    <row r="70" spans="1:33" hidden="1" x14ac:dyDescent="0.35"/>
    <row r="71" spans="1:33" hidden="1" x14ac:dyDescent="0.35"/>
    <row r="72" spans="1:33" hidden="1" x14ac:dyDescent="0.35"/>
    <row r="73" spans="1:33" hidden="1" x14ac:dyDescent="0.35"/>
    <row r="74" spans="1:33" ht="23.25" x14ac:dyDescent="0.35">
      <c r="E74" s="716"/>
    </row>
    <row r="75" spans="1:33" ht="38.25" x14ac:dyDescent="0.35">
      <c r="A75" s="412" t="s">
        <v>479</v>
      </c>
      <c r="B75" s="413"/>
      <c r="C75" s="413"/>
      <c r="D75" s="414" t="s">
        <v>480</v>
      </c>
      <c r="E75" s="414"/>
    </row>
    <row r="76" spans="1:33" x14ac:dyDescent="0.35">
      <c r="A76" s="412"/>
      <c r="B76" s="415" t="s">
        <v>68</v>
      </c>
      <c r="C76" s="415"/>
      <c r="D76" s="416"/>
    </row>
    <row r="77" spans="1:33" ht="37.5" x14ac:dyDescent="0.35">
      <c r="A77" s="417" t="s">
        <v>481</v>
      </c>
      <c r="B77" s="417"/>
      <c r="C77" s="417"/>
      <c r="D77" s="412"/>
    </row>
  </sheetData>
  <customSheetViews>
    <customSheetView guid="{7C130984-112A-4861-AA43-E2940708E3DC}" scale="60" hiddenRows="1" state="hidden">
      <pane xSplit="1" ySplit="6" topLeftCell="F53" activePane="bottomRight" state="frozen"/>
      <selection pane="bottomRight" activeCell="AB88" sqref="AB88"/>
      <pageMargins left="0.7" right="0.7" top="0.75" bottom="0.75" header="0.3" footer="0.3"/>
      <pageSetup paperSize="9" orientation="portrait" r:id="rId1"/>
    </customSheetView>
    <customSheetView guid="{4F41B9CC-959D-442C-80B0-1F0DB2C76D27}" scale="85" hiddenRows="1">
      <pane xSplit="1" ySplit="5" topLeftCell="B53" activePane="bottomRight" state="frozen"/>
      <selection pane="bottomRight" activeCell="E61" sqref="E61"/>
      <pageMargins left="0.7" right="0.7" top="0.75" bottom="0.75" header="0.3" footer="0.3"/>
      <pageSetup paperSize="9" orientation="portrait" r:id="rId2"/>
    </customSheetView>
    <customSheetView guid="{391AB76E-B386-49C1-800F-016A48AA1A46}" scale="85" hiddenRows="1">
      <pane xSplit="1" ySplit="6" topLeftCell="B53" activePane="bottomRight" state="frozen"/>
      <selection pane="bottomRight" activeCell="E61" sqref="E61"/>
      <pageMargins left="0.7" right="0.7" top="0.75" bottom="0.75" header="0.3" footer="0.3"/>
      <pageSetup paperSize="9" orientation="portrait" r:id="rId3"/>
    </customSheetView>
    <customSheetView guid="{D01FA037-9AEC-4167-ADB8-2F327C01ECE6}" scale="85" hiddenRows="1">
      <pane xSplit="1" ySplit="6" topLeftCell="B53" activePane="bottomRight" state="frozen"/>
      <selection pane="bottomRight" activeCell="E61" sqref="E61"/>
      <pageMargins left="0.7" right="0.7" top="0.75" bottom="0.75" header="0.3" footer="0.3"/>
      <pageSetup paperSize="9" orientation="portrait" r:id="rId4"/>
    </customSheetView>
    <customSheetView guid="{6A602CB8-B24C-4ED4-B378-B27354BE0A1A}" scale="85" hiddenRows="1">
      <pane xSplit="1" ySplit="6" topLeftCell="B53" activePane="bottomRight" state="frozen"/>
      <selection pane="bottomRight" activeCell="E61" sqref="E61"/>
      <pageMargins left="0.7" right="0.7" top="0.75" bottom="0.75" header="0.3" footer="0.3"/>
      <pageSetup paperSize="9" orientation="portrait" r:id="rId5"/>
    </customSheetView>
    <customSheetView guid="{DAA8A688-7558-4B5B-8DBD-E2629BD9E9A8}" scale="85" hiddenRows="1">
      <pane xSplit="1" ySplit="6" topLeftCell="B53" activePane="bottomRight" state="frozen"/>
      <selection pane="bottomRight" activeCell="E61" sqref="E61"/>
      <pageMargins left="0.7" right="0.7" top="0.75" bottom="0.75" header="0.3" footer="0.3"/>
      <pageSetup paperSize="9" orientation="portrait" r:id="rId6"/>
    </customSheetView>
    <customSheetView guid="{0C2B9C2A-7B94-41EF-A2E6-F8AC9A67DE25}" scale="85" hiddenRows="1">
      <pane xSplit="1" ySplit="6" topLeftCell="B53" activePane="bottomRight" state="frozen"/>
      <selection pane="bottomRight" activeCell="E61" sqref="E61"/>
      <pageMargins left="0.7" right="0.7" top="0.75" bottom="0.75" header="0.3" footer="0.3"/>
      <pageSetup paperSize="9" orientation="portrait" r:id="rId7"/>
    </customSheetView>
    <customSheetView guid="{87218168-6C8E-4D5B-A5E5-DCCC26803AA3}" scale="85" hiddenRows="1">
      <pane xSplit="1" ySplit="6" topLeftCell="B53" activePane="bottomRight" state="frozen"/>
      <selection pane="bottomRight" activeCell="E61" sqref="E61"/>
      <pageMargins left="0.7" right="0.7" top="0.75" bottom="0.75" header="0.3" footer="0.3"/>
      <pageSetup paperSize="9" orientation="portrait" r:id="rId8"/>
    </customSheetView>
    <customSheetView guid="{533DC55B-6AD4-4674-9488-685EF2039F3E}" scale="85" hiddenRows="1">
      <pane xSplit="1" ySplit="6" topLeftCell="B62" activePane="bottomRight" state="frozen"/>
      <selection pane="bottomRight" activeCell="H78" sqref="H78"/>
      <pageMargins left="0.7" right="0.7" top="0.75" bottom="0.75" header="0.3" footer="0.3"/>
      <pageSetup paperSize="9" orientation="portrait" r:id="rId9"/>
    </customSheetView>
    <customSheetView guid="{69DABE6F-6182-4403-A4A2-969F10F1C13A}" scale="85" hiddenRows="1">
      <pane xSplit="1" ySplit="6" topLeftCell="B62" activePane="bottomRight" state="frozen"/>
      <selection pane="bottomRight" activeCell="H78" sqref="H78"/>
      <pageMargins left="0.7" right="0.7" top="0.75" bottom="0.75" header="0.3" footer="0.3"/>
      <pageSetup paperSize="9" orientation="portrait" r:id="rId10"/>
    </customSheetView>
    <customSheetView guid="{84867370-1F3E-4368-AF79-FBCE46FFFE92}" scale="85" hiddenRows="1">
      <pane xSplit="1" ySplit="6" topLeftCell="W13" activePane="bottomRight" state="frozen"/>
      <selection pane="bottomRight" activeCell="AI13" sqref="AI13"/>
      <pageMargins left="0.7" right="0.7" top="0.75" bottom="0.75" header="0.3" footer="0.3"/>
      <pageSetup paperSize="9" orientation="portrait" r:id="rId11"/>
    </customSheetView>
    <customSheetView guid="{47B983AB-FE5F-4725-860C-A2F29420596D}" scale="50" hiddenRows="1">
      <pane xSplit="1" ySplit="6" topLeftCell="B49" activePane="bottomRight" state="frozen"/>
      <selection pane="bottomRight" activeCell="E75" sqref="E75"/>
      <pageMargins left="0.7" right="0.7" top="0.75" bottom="0.75" header="0.3" footer="0.3"/>
      <pageSetup paperSize="9" orientation="portrait" r:id="rId12"/>
    </customSheetView>
    <customSheetView guid="{959E901C-5DDE-42EE-AE94-AB8976B5E00B}" scale="50" hiddenRows="1">
      <pane xSplit="1" ySplit="6" topLeftCell="B49" activePane="bottomRight" state="frozen"/>
      <selection pane="bottomRight" activeCell="E75" sqref="E75"/>
      <pageMargins left="0.7" right="0.7" top="0.75" bottom="0.75" header="0.3" footer="0.3"/>
      <pageSetup paperSize="9" orientation="portrait" r:id="rId13"/>
    </customSheetView>
    <customSheetView guid="{F679EF4A-C5FD-4B86-B87B-D85968E0F2CA}" scale="50" hiddenRows="1">
      <pane xSplit="1" ySplit="6" topLeftCell="B49" activePane="bottomRight" state="frozen"/>
      <selection pane="bottomRight" activeCell="E75" sqref="E75"/>
      <pageMargins left="0.7" right="0.7" top="0.75" bottom="0.75" header="0.3" footer="0.3"/>
      <pageSetup paperSize="9" orientation="portrait" r:id="rId14"/>
    </customSheetView>
    <customSheetView guid="{009B3074-D8EC-4952-BF50-43CD64449612}" scale="85" hiddenRows="1">
      <pane xSplit="1" ySplit="6" topLeftCell="P36" activePane="bottomRight" state="frozen"/>
      <selection pane="bottomRight" activeCell="Y39" sqref="Y39"/>
      <pageMargins left="0.7" right="0.7" top="0.75" bottom="0.75" header="0.3" footer="0.3"/>
      <pageSetup paperSize="9" orientation="portrait" r:id="rId15"/>
    </customSheetView>
    <customSheetView guid="{770624BF-07F3-44B6-94C3-4CC447CDD45C}" scale="85" hiddenRows="1">
      <pane xSplit="1" ySplit="6" topLeftCell="P36" activePane="bottomRight" state="frozen"/>
      <selection pane="bottomRight" activeCell="Y39" sqref="Y39"/>
      <pageMargins left="0.7" right="0.7" top="0.75" bottom="0.75" header="0.3" footer="0.3"/>
      <pageSetup paperSize="9" orientation="portrait" r:id="rId16"/>
    </customSheetView>
    <customSheetView guid="{B82BA08A-1A30-4F4D-A478-74A6BD09EA97}" scale="85" hiddenRows="1">
      <pane xSplit="1" ySplit="6" topLeftCell="B45" activePane="bottomRight" state="frozen"/>
      <selection pane="bottomRight" activeCell="I48" sqref="I48"/>
      <pageMargins left="0.7" right="0.7" top="0.75" bottom="0.75" header="0.3" footer="0.3"/>
      <pageSetup paperSize="9" orientation="portrait" r:id="rId17"/>
    </customSheetView>
    <customSheetView guid="{874882D1-E741-4CCA-BF0D-E72FA60B771D}" scale="85" hiddenRows="1">
      <pane xSplit="1" ySplit="6" topLeftCell="B45" activePane="bottomRight" state="frozen"/>
      <selection pane="bottomRight" activeCell="I48" sqref="I48"/>
      <pageMargins left="0.7" right="0.7" top="0.75" bottom="0.75" header="0.3" footer="0.3"/>
      <pageSetup paperSize="9" orientation="portrait" r:id="rId18"/>
    </customSheetView>
    <customSheetView guid="{C236B307-BD63-48C4-A75F-B3F3717BF55C}" scale="85" hiddenRows="1">
      <pane xSplit="1" ySplit="6" topLeftCell="B45" activePane="bottomRight" state="frozen"/>
      <selection pane="bottomRight" activeCell="I48" sqref="I48"/>
      <pageMargins left="0.7" right="0.7" top="0.75" bottom="0.75" header="0.3" footer="0.3"/>
      <pageSetup paperSize="9" orientation="portrait" r:id="rId19"/>
    </customSheetView>
    <customSheetView guid="{BCD82A82-B724-4763-8580-D765356E09BA}" scale="60">
      <pane xSplit="1" ySplit="6" topLeftCell="B7" activePane="bottomRight" state="frozen"/>
      <selection pane="bottomRight" activeCell="O23" sqref="O23"/>
      <pageMargins left="0.7" right="0.7" top="0.75" bottom="0.75" header="0.3" footer="0.3"/>
      <pageSetup paperSize="9" orientation="portrait" r:id="rId20"/>
    </customSheetView>
    <customSheetView guid="{B1BF08D1-D416-4B47-ADD0-4F59132DC9E8}" scale="50" hiddenRows="1">
      <pane xSplit="1" ySplit="6" topLeftCell="B49" activePane="bottomRight" state="frozen"/>
      <selection pane="bottomRight" activeCell="E75" sqref="E75"/>
      <pageMargins left="0.7" right="0.7" top="0.75" bottom="0.75" header="0.3" footer="0.3"/>
      <pageSetup paperSize="9" orientation="portrait" r:id="rId21"/>
    </customSheetView>
    <customSheetView guid="{85F4575B-DBC5-482A-9916-255D8F0BC94E}" scale="50" hiddenRows="1">
      <pane xSplit="1" ySplit="6" topLeftCell="B49" activePane="bottomRight" state="frozen"/>
      <selection pane="bottomRight" activeCell="E75" sqref="E75"/>
      <pageMargins left="0.7" right="0.7" top="0.75" bottom="0.75" header="0.3" footer="0.3"/>
      <pageSetup paperSize="9" orientation="portrait" r:id="rId22"/>
    </customSheetView>
    <customSheetView guid="{74870EE6-26B9-40F7-9DC9-260EF16D8959}" scale="85" hiddenRows="1">
      <pane xSplit="1" ySplit="6" topLeftCell="B53" activePane="bottomRight" state="frozen"/>
      <selection pane="bottomRight" activeCell="E61" sqref="E61"/>
      <pageMargins left="0.7" right="0.7" top="0.75" bottom="0.75" header="0.3" footer="0.3"/>
      <pageSetup paperSize="9" orientation="portrait" r:id="rId23"/>
    </customSheetView>
    <customSheetView guid="{E508E171-4ED9-4B07-84DF-DA28C60E1969}" scale="85" hiddenRows="1">
      <pane xSplit="1" ySplit="6" topLeftCell="B53" activePane="bottomRight" state="frozen"/>
      <selection pane="bottomRight" activeCell="E61" sqref="E61"/>
      <pageMargins left="0.7" right="0.7" top="0.75" bottom="0.75" header="0.3" footer="0.3"/>
      <pageSetup paperSize="9" orientation="portrait" r:id="rId24"/>
    </customSheetView>
    <customSheetView guid="{4D0DFB57-2CBA-42F2-9A97-C453A6851FBA}" scale="85" hiddenRows="1">
      <pane xSplit="1" ySplit="6" topLeftCell="B53" activePane="bottomRight" state="frozen"/>
      <selection pane="bottomRight" activeCell="E61" sqref="E61"/>
      <pageMargins left="0.7" right="0.7" top="0.75" bottom="0.75" header="0.3" footer="0.3"/>
      <pageSetup paperSize="9" orientation="portrait" r:id="rId25"/>
    </customSheetView>
    <customSheetView guid="{CE1CCA00-200D-4EAA-9FBE-F8EE7C5F82FE}" scale="85" hiddenRows="1">
      <pane xSplit="1" ySplit="6" topLeftCell="B53" activePane="bottomRight" state="frozen"/>
      <selection pane="bottomRight" activeCell="E61" sqref="E61"/>
      <pageMargins left="0.7" right="0.7" top="0.75" bottom="0.75" header="0.3" footer="0.3"/>
      <pageSetup paperSize="9" orientation="portrait" r:id="rId26"/>
    </customSheetView>
    <customSheetView guid="{442F2C94-DD1B-4A01-8694-513D4D6F3BD9}" scale="85" hiddenRows="1">
      <pane xSplit="1" ySplit="6" topLeftCell="B53" activePane="bottomRight" state="frozen"/>
      <selection pane="bottomRight" activeCell="E61" sqref="E61"/>
      <pageMargins left="0.7" right="0.7" top="0.75" bottom="0.75" header="0.3" footer="0.3"/>
      <pageSetup paperSize="9" orientation="portrait" r:id="rId27"/>
    </customSheetView>
    <customSheetView guid="{AC2D5927-4079-4C74-AF69-1BFAC505648F}" scale="85" hiddenRows="1">
      <pane xSplit="1" ySplit="6" topLeftCell="B53" activePane="bottomRight" state="frozen"/>
      <selection pane="bottomRight" activeCell="E61" sqref="E61"/>
      <pageMargins left="0.7" right="0.7" top="0.75" bottom="0.75" header="0.3" footer="0.3"/>
      <pageSetup paperSize="9" orientation="portrait" r:id="rId28"/>
    </customSheetView>
    <customSheetView guid="{602C8EDB-B9EF-4C85-B0D5-0558C3A0ABAB}" scale="85" hiddenRows="1">
      <pane xSplit="1" ySplit="6" topLeftCell="B53" activePane="bottomRight" state="frozen"/>
      <selection pane="bottomRight" activeCell="E61" sqref="E61"/>
      <pageMargins left="0.7" right="0.7" top="0.75" bottom="0.75" header="0.3" footer="0.3"/>
      <pageSetup paperSize="9" orientation="portrait" r:id="rId29"/>
    </customSheetView>
    <customSheetView guid="{09C3E205-981E-4A4E-BE89-8B7044192060}" scale="85" hiddenRows="1">
      <pane xSplit="1" ySplit="6" topLeftCell="B23" activePane="bottomRight" state="frozen"/>
      <selection pane="bottomRight" activeCell="C49" sqref="C49"/>
      <pageMargins left="0.7" right="0.7" top="0.75" bottom="0.75" header="0.3" footer="0.3"/>
      <pageSetup paperSize="9" orientation="portrait" r:id="rId30"/>
    </customSheetView>
  </customSheetViews>
  <mergeCells count="21">
    <mergeCell ref="B3:B4"/>
    <mergeCell ref="C3:C4"/>
    <mergeCell ref="D3:D4"/>
    <mergeCell ref="E3:E4"/>
    <mergeCell ref="F3:G4"/>
    <mergeCell ref="A1:AF1"/>
    <mergeCell ref="A2:AE2"/>
    <mergeCell ref="A3:A4"/>
    <mergeCell ref="AF3:AF5"/>
    <mergeCell ref="T3:U4"/>
    <mergeCell ref="V3:W4"/>
    <mergeCell ref="X3:Y4"/>
    <mergeCell ref="Z3:AA4"/>
    <mergeCell ref="AB3:AC4"/>
    <mergeCell ref="AD3:AE4"/>
    <mergeCell ref="H3:I4"/>
    <mergeCell ref="J3:K4"/>
    <mergeCell ref="L3:M4"/>
    <mergeCell ref="N3:O4"/>
    <mergeCell ref="P3:Q4"/>
    <mergeCell ref="R3:S4"/>
  </mergeCells>
  <hyperlinks>
    <hyperlink ref="A2:AE2" location="Оглавление!A1" display=" &quot;Содействие занятости населения города Когалыма&quot;"/>
  </hyperlinks>
  <pageMargins left="0.7" right="0.7" top="0.75" bottom="0.75" header="0.3" footer="0.3"/>
  <pageSetup paperSize="9" orientation="portrait" r:id="rId31"/>
  <extLst>
    <ext xmlns:x14="http://schemas.microsoft.com/office/spreadsheetml/2009/9/main" uri="{CCE6A557-97BC-4b89-ADB6-D9C93CAAB3DF}">
      <x14:dataValidations xmlns:xm="http://schemas.microsoft.com/office/excel/2006/main" count="1">
        <x14:dataValidation type="list" allowBlank="1" showInputMessage="1" showErrorMessage="1">
          <x14:formula1>
            <xm:f>Оглавление!$B$22:$B$33</xm:f>
          </x14:formula1>
          <xm:sqref>C5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81"/>
  <sheetViews>
    <sheetView topLeftCell="K1" zoomScale="75" zoomScaleNormal="75" workbookViewId="0">
      <pane ySplit="4" topLeftCell="A53" activePane="bottomLeft" state="frozen"/>
      <selection pane="bottomLeft" activeCell="A53" sqref="A53"/>
    </sheetView>
  </sheetViews>
  <sheetFormatPr defaultColWidth="9.140625" defaultRowHeight="15" x14ac:dyDescent="0.25"/>
  <cols>
    <col min="1" max="1" width="34.42578125" style="226" customWidth="1"/>
    <col min="2" max="5" width="14.85546875" style="226" customWidth="1"/>
    <col min="6" max="6" width="11.140625" style="226" customWidth="1"/>
    <col min="7" max="7" width="11.85546875" style="226" customWidth="1"/>
    <col min="8" max="11" width="10.5703125" style="226" customWidth="1"/>
    <col min="12" max="12" width="12.5703125" style="226" customWidth="1"/>
    <col min="13" max="22" width="10.5703125" style="226" customWidth="1"/>
    <col min="23" max="27" width="9.140625" style="226"/>
    <col min="28" max="28" width="12" style="226" customWidth="1"/>
    <col min="29" max="29" width="9.140625" style="226"/>
    <col min="30" max="30" width="13.42578125" style="226" customWidth="1"/>
    <col min="31" max="31" width="9.140625" style="226"/>
    <col min="32" max="32" width="44.140625" style="226" customWidth="1"/>
    <col min="33" max="16384" width="9.140625" style="226"/>
  </cols>
  <sheetData>
    <row r="1" spans="1:32" ht="36.75" customHeight="1" x14ac:dyDescent="0.3">
      <c r="A1" s="1113" t="s">
        <v>382</v>
      </c>
      <c r="B1" s="1113"/>
      <c r="C1" s="1113"/>
      <c r="D1" s="1113"/>
      <c r="E1" s="1113"/>
      <c r="F1" s="1113"/>
      <c r="G1" s="1113"/>
      <c r="H1" s="1113"/>
      <c r="I1" s="1113"/>
      <c r="J1" s="1113"/>
      <c r="K1" s="1113"/>
      <c r="L1" s="1113"/>
      <c r="M1" s="1113"/>
      <c r="N1" s="1113"/>
      <c r="O1" s="1113"/>
      <c r="P1" s="1113"/>
      <c r="Q1" s="1113"/>
      <c r="R1" s="1113"/>
      <c r="S1" s="1113"/>
      <c r="T1" s="1113"/>
      <c r="U1" s="1113"/>
      <c r="V1" s="1113"/>
      <c r="W1" s="1113"/>
      <c r="X1" s="1113"/>
      <c r="Y1" s="1113"/>
      <c r="Z1" s="1113"/>
      <c r="AA1" s="1113"/>
      <c r="AB1" s="1113"/>
      <c r="AC1" s="1113"/>
      <c r="AD1" s="1113"/>
      <c r="AE1" s="274"/>
      <c r="AF1" s="274"/>
    </row>
    <row r="2" spans="1:32" ht="15.75" x14ac:dyDescent="0.25">
      <c r="A2" s="1114" t="s">
        <v>383</v>
      </c>
      <c r="B2" s="1114" t="s">
        <v>384</v>
      </c>
      <c r="C2" s="1114" t="s">
        <v>597</v>
      </c>
      <c r="D2" s="1114" t="s">
        <v>596</v>
      </c>
      <c r="E2" s="1114" t="s">
        <v>600</v>
      </c>
      <c r="F2" s="1116" t="s">
        <v>385</v>
      </c>
      <c r="G2" s="1117"/>
      <c r="H2" s="1118" t="s">
        <v>7</v>
      </c>
      <c r="I2" s="1119"/>
      <c r="J2" s="1118" t="s">
        <v>8</v>
      </c>
      <c r="K2" s="1119"/>
      <c r="L2" s="1118" t="s">
        <v>9</v>
      </c>
      <c r="M2" s="1119"/>
      <c r="N2" s="1118" t="s">
        <v>10</v>
      </c>
      <c r="O2" s="1119"/>
      <c r="P2" s="1118" t="s">
        <v>11</v>
      </c>
      <c r="Q2" s="1119"/>
      <c r="R2" s="1118" t="s">
        <v>12</v>
      </c>
      <c r="S2" s="1119"/>
      <c r="T2" s="1118" t="s">
        <v>13</v>
      </c>
      <c r="U2" s="1119"/>
      <c r="V2" s="1118" t="s">
        <v>14</v>
      </c>
      <c r="W2" s="1119"/>
      <c r="X2" s="1118" t="s">
        <v>15</v>
      </c>
      <c r="Y2" s="1119"/>
      <c r="Z2" s="1118" t="s">
        <v>16</v>
      </c>
      <c r="AA2" s="1119"/>
      <c r="AB2" s="1118" t="s">
        <v>17</v>
      </c>
      <c r="AC2" s="1119"/>
      <c r="AD2" s="1118" t="s">
        <v>18</v>
      </c>
      <c r="AE2" s="1119"/>
      <c r="AF2" s="1120" t="s">
        <v>19</v>
      </c>
    </row>
    <row r="3" spans="1:32" ht="47.25" x14ac:dyDescent="0.25">
      <c r="A3" s="1115"/>
      <c r="B3" s="1115"/>
      <c r="C3" s="1115"/>
      <c r="D3" s="1115"/>
      <c r="E3" s="1115"/>
      <c r="F3" s="275" t="s">
        <v>386</v>
      </c>
      <c r="G3" s="275" t="s">
        <v>21</v>
      </c>
      <c r="H3" s="276" t="s">
        <v>165</v>
      </c>
      <c r="I3" s="276" t="s">
        <v>23</v>
      </c>
      <c r="J3" s="276" t="s">
        <v>165</v>
      </c>
      <c r="K3" s="276" t="s">
        <v>23</v>
      </c>
      <c r="L3" s="276" t="s">
        <v>165</v>
      </c>
      <c r="M3" s="276" t="s">
        <v>23</v>
      </c>
      <c r="N3" s="276" t="s">
        <v>165</v>
      </c>
      <c r="O3" s="276" t="s">
        <v>23</v>
      </c>
      <c r="P3" s="276" t="s">
        <v>165</v>
      </c>
      <c r="Q3" s="276" t="s">
        <v>23</v>
      </c>
      <c r="R3" s="276" t="s">
        <v>165</v>
      </c>
      <c r="S3" s="276" t="s">
        <v>23</v>
      </c>
      <c r="T3" s="276" t="s">
        <v>165</v>
      </c>
      <c r="U3" s="276" t="s">
        <v>23</v>
      </c>
      <c r="V3" s="276" t="s">
        <v>165</v>
      </c>
      <c r="W3" s="276" t="s">
        <v>23</v>
      </c>
      <c r="X3" s="276" t="s">
        <v>165</v>
      </c>
      <c r="Y3" s="276" t="s">
        <v>23</v>
      </c>
      <c r="Z3" s="276" t="s">
        <v>165</v>
      </c>
      <c r="AA3" s="276" t="s">
        <v>23</v>
      </c>
      <c r="AB3" s="276" t="s">
        <v>165</v>
      </c>
      <c r="AC3" s="276" t="s">
        <v>23</v>
      </c>
      <c r="AD3" s="276" t="s">
        <v>165</v>
      </c>
      <c r="AE3" s="276" t="s">
        <v>23</v>
      </c>
      <c r="AF3" s="1120"/>
    </row>
    <row r="4" spans="1:32" ht="15.75" x14ac:dyDescent="0.25">
      <c r="A4" s="277">
        <v>1</v>
      </c>
      <c r="B4" s="277">
        <v>2</v>
      </c>
      <c r="C4" s="277">
        <v>3</v>
      </c>
      <c r="D4" s="277">
        <v>4</v>
      </c>
      <c r="E4" s="277">
        <v>5</v>
      </c>
      <c r="F4" s="277">
        <v>6</v>
      </c>
      <c r="G4" s="277">
        <v>7</v>
      </c>
      <c r="H4" s="276">
        <v>8</v>
      </c>
      <c r="I4" s="276">
        <v>9</v>
      </c>
      <c r="J4" s="276">
        <v>10</v>
      </c>
      <c r="K4" s="276">
        <v>11</v>
      </c>
      <c r="L4" s="276">
        <v>12</v>
      </c>
      <c r="M4" s="276">
        <v>13</v>
      </c>
      <c r="N4" s="276">
        <v>14</v>
      </c>
      <c r="O4" s="276">
        <v>15</v>
      </c>
      <c r="P4" s="276">
        <v>16</v>
      </c>
      <c r="Q4" s="276">
        <v>17</v>
      </c>
      <c r="R4" s="276">
        <v>18</v>
      </c>
      <c r="S4" s="276">
        <v>19</v>
      </c>
      <c r="T4" s="276">
        <v>20</v>
      </c>
      <c r="U4" s="276">
        <v>21</v>
      </c>
      <c r="V4" s="276">
        <v>22</v>
      </c>
      <c r="W4" s="276">
        <v>23</v>
      </c>
      <c r="X4" s="276">
        <v>24</v>
      </c>
      <c r="Y4" s="276">
        <v>25</v>
      </c>
      <c r="Z4" s="276">
        <v>26</v>
      </c>
      <c r="AA4" s="276">
        <v>27</v>
      </c>
      <c r="AB4" s="276">
        <v>28</v>
      </c>
      <c r="AC4" s="276">
        <v>29</v>
      </c>
      <c r="AD4" s="276">
        <v>30</v>
      </c>
      <c r="AE4" s="276">
        <v>31</v>
      </c>
      <c r="AF4" s="276">
        <v>32</v>
      </c>
    </row>
    <row r="5" spans="1:32" ht="15.75" x14ac:dyDescent="0.25">
      <c r="A5" s="1121" t="s">
        <v>387</v>
      </c>
      <c r="B5" s="1121"/>
      <c r="C5" s="1121"/>
      <c r="D5" s="1121"/>
      <c r="E5" s="1121"/>
      <c r="F5" s="1121"/>
      <c r="G5" s="1121"/>
      <c r="H5" s="1121"/>
      <c r="I5" s="1121"/>
      <c r="J5" s="1121"/>
      <c r="K5" s="1121"/>
      <c r="L5" s="1121"/>
      <c r="M5" s="1121"/>
      <c r="N5" s="1121"/>
      <c r="O5" s="1121"/>
      <c r="P5" s="1121"/>
      <c r="Q5" s="1121"/>
      <c r="R5" s="1121"/>
      <c r="S5" s="1121"/>
      <c r="T5" s="1121"/>
      <c r="U5" s="1121"/>
      <c r="V5" s="1121"/>
      <c r="W5" s="1121"/>
      <c r="X5" s="1121"/>
      <c r="Y5" s="1121"/>
      <c r="Z5" s="1121"/>
      <c r="AA5" s="1121"/>
      <c r="AB5" s="1121"/>
      <c r="AC5" s="1121"/>
      <c r="AD5" s="1122"/>
      <c r="AE5" s="278"/>
      <c r="AF5" s="278"/>
    </row>
    <row r="6" spans="1:32" ht="15.75" x14ac:dyDescent="0.25">
      <c r="A6" s="1123" t="s">
        <v>54</v>
      </c>
      <c r="B6" s="1123"/>
      <c r="C6" s="1123"/>
      <c r="D6" s="1123"/>
      <c r="E6" s="1123"/>
      <c r="F6" s="1123"/>
      <c r="G6" s="1123"/>
      <c r="H6" s="1123"/>
      <c r="I6" s="1123"/>
      <c r="J6" s="1123"/>
      <c r="K6" s="1123"/>
      <c r="L6" s="1123"/>
      <c r="M6" s="1123"/>
      <c r="N6" s="1123"/>
      <c r="O6" s="1123"/>
      <c r="P6" s="1123"/>
      <c r="Q6" s="1123"/>
      <c r="R6" s="1123"/>
      <c r="S6" s="1123"/>
      <c r="T6" s="1123"/>
      <c r="U6" s="1123"/>
      <c r="V6" s="1123"/>
      <c r="W6" s="1123"/>
      <c r="X6" s="1123"/>
      <c r="Y6" s="1123"/>
      <c r="Z6" s="1123"/>
      <c r="AA6" s="1123"/>
      <c r="AB6" s="1123"/>
      <c r="AC6" s="1123"/>
      <c r="AD6" s="1123"/>
      <c r="AE6" s="1124"/>
      <c r="AF6" s="278"/>
    </row>
    <row r="7" spans="1:32" ht="15.75" x14ac:dyDescent="0.25">
      <c r="A7" s="279" t="s">
        <v>388</v>
      </c>
      <c r="B7" s="279"/>
      <c r="C7" s="279"/>
      <c r="D7" s="279"/>
      <c r="E7" s="279"/>
      <c r="F7" s="279"/>
      <c r="G7" s="279"/>
      <c r="H7" s="279"/>
      <c r="I7" s="279"/>
      <c r="J7" s="279"/>
      <c r="K7" s="279"/>
      <c r="L7" s="279"/>
      <c r="M7" s="279"/>
      <c r="N7" s="279"/>
      <c r="O7" s="279"/>
      <c r="P7" s="279"/>
      <c r="Q7" s="279"/>
      <c r="R7" s="279"/>
      <c r="S7" s="279"/>
      <c r="T7" s="279"/>
      <c r="U7" s="279"/>
      <c r="V7" s="279"/>
      <c r="W7" s="279"/>
      <c r="X7" s="279"/>
      <c r="Y7" s="279"/>
      <c r="Z7" s="279"/>
      <c r="AA7" s="279"/>
      <c r="AB7" s="279"/>
      <c r="AC7" s="279"/>
      <c r="AD7" s="280"/>
      <c r="AE7" s="278"/>
      <c r="AF7" s="278"/>
    </row>
    <row r="8" spans="1:32" ht="15.75" x14ac:dyDescent="0.25">
      <c r="A8" s="281" t="s">
        <v>31</v>
      </c>
      <c r="B8" s="282">
        <f>B9</f>
        <v>3453.3</v>
      </c>
      <c r="C8" s="282">
        <f>C9</f>
        <v>0</v>
      </c>
      <c r="D8" s="282">
        <f>D9</f>
        <v>0</v>
      </c>
      <c r="E8" s="282">
        <f>E9</f>
        <v>0</v>
      </c>
      <c r="F8" s="282">
        <f t="shared" ref="F8:F18" si="0">IFERROR(E8/B8*100,0)</f>
        <v>0</v>
      </c>
      <c r="G8" s="282">
        <f t="shared" ref="G8:G18" si="1">IFERROR(E8/C8*100,0)</f>
        <v>0</v>
      </c>
      <c r="H8" s="282">
        <f>H9</f>
        <v>0</v>
      </c>
      <c r="I8" s="282">
        <f t="shared" ref="I8:AE8" si="2">I9</f>
        <v>0</v>
      </c>
      <c r="J8" s="282">
        <f t="shared" si="2"/>
        <v>0</v>
      </c>
      <c r="K8" s="282">
        <f t="shared" si="2"/>
        <v>0</v>
      </c>
      <c r="L8" s="282">
        <f t="shared" si="2"/>
        <v>0</v>
      </c>
      <c r="M8" s="282">
        <f t="shared" si="2"/>
        <v>0</v>
      </c>
      <c r="N8" s="282">
        <f t="shared" si="2"/>
        <v>0</v>
      </c>
      <c r="O8" s="282">
        <f t="shared" si="2"/>
        <v>0</v>
      </c>
      <c r="P8" s="282">
        <f t="shared" si="2"/>
        <v>0</v>
      </c>
      <c r="Q8" s="282">
        <f t="shared" si="2"/>
        <v>0</v>
      </c>
      <c r="R8" s="282">
        <f t="shared" si="2"/>
        <v>0</v>
      </c>
      <c r="S8" s="282">
        <f t="shared" si="2"/>
        <v>0</v>
      </c>
      <c r="T8" s="282">
        <f t="shared" si="2"/>
        <v>0</v>
      </c>
      <c r="U8" s="282">
        <f t="shared" si="2"/>
        <v>0</v>
      </c>
      <c r="V8" s="282">
        <f t="shared" si="2"/>
        <v>0</v>
      </c>
      <c r="W8" s="282">
        <f t="shared" si="2"/>
        <v>0</v>
      </c>
      <c r="X8" s="282">
        <f t="shared" si="2"/>
        <v>0</v>
      </c>
      <c r="Y8" s="282">
        <f t="shared" si="2"/>
        <v>0</v>
      </c>
      <c r="Z8" s="282">
        <f t="shared" si="2"/>
        <v>0</v>
      </c>
      <c r="AA8" s="282">
        <f t="shared" si="2"/>
        <v>0</v>
      </c>
      <c r="AB8" s="282">
        <f t="shared" si="2"/>
        <v>2992.4</v>
      </c>
      <c r="AC8" s="282">
        <f t="shared" si="2"/>
        <v>0</v>
      </c>
      <c r="AD8" s="282">
        <f t="shared" si="2"/>
        <v>460.9</v>
      </c>
      <c r="AE8" s="282">
        <f t="shared" si="2"/>
        <v>0</v>
      </c>
      <c r="AF8" s="283"/>
    </row>
    <row r="9" spans="1:32" ht="15.75" x14ac:dyDescent="0.25">
      <c r="A9" s="284" t="s">
        <v>33</v>
      </c>
      <c r="B9" s="285">
        <f>H9+J9+L9+N9+P9+R9+T9+V9+X9+Z9+AB9+AD9</f>
        <v>3453.3</v>
      </c>
      <c r="C9" s="285">
        <f>H9+J9+L9+N9</f>
        <v>0</v>
      </c>
      <c r="D9" s="285">
        <f>I9+K9+M9+O9</f>
        <v>0</v>
      </c>
      <c r="E9" s="285">
        <f>I9+K9+M9+O9+Q9+S9+U9+W9+Y9+AA9+AC9+AE9</f>
        <v>0</v>
      </c>
      <c r="F9" s="285">
        <f t="shared" si="0"/>
        <v>0</v>
      </c>
      <c r="G9" s="285">
        <f t="shared" si="1"/>
        <v>0</v>
      </c>
      <c r="H9" s="285">
        <f>H12+H15</f>
        <v>0</v>
      </c>
      <c r="I9" s="285">
        <f t="shared" ref="I9:AE9" si="3">I12+I15</f>
        <v>0</v>
      </c>
      <c r="J9" s="285">
        <f>J12+J15</f>
        <v>0</v>
      </c>
      <c r="K9" s="285">
        <f t="shared" si="3"/>
        <v>0</v>
      </c>
      <c r="L9" s="285">
        <f t="shared" si="3"/>
        <v>0</v>
      </c>
      <c r="M9" s="285">
        <f t="shared" si="3"/>
        <v>0</v>
      </c>
      <c r="N9" s="285">
        <f t="shared" si="3"/>
        <v>0</v>
      </c>
      <c r="O9" s="285">
        <f t="shared" si="3"/>
        <v>0</v>
      </c>
      <c r="P9" s="285">
        <f t="shared" si="3"/>
        <v>0</v>
      </c>
      <c r="Q9" s="285">
        <f t="shared" si="3"/>
        <v>0</v>
      </c>
      <c r="R9" s="285">
        <f t="shared" si="3"/>
        <v>0</v>
      </c>
      <c r="S9" s="285">
        <f t="shared" si="3"/>
        <v>0</v>
      </c>
      <c r="T9" s="285">
        <f t="shared" si="3"/>
        <v>0</v>
      </c>
      <c r="U9" s="285">
        <f t="shared" si="3"/>
        <v>0</v>
      </c>
      <c r="V9" s="285">
        <f t="shared" si="3"/>
        <v>0</v>
      </c>
      <c r="W9" s="285">
        <f t="shared" si="3"/>
        <v>0</v>
      </c>
      <c r="X9" s="285">
        <f t="shared" si="3"/>
        <v>0</v>
      </c>
      <c r="Y9" s="285">
        <f t="shared" si="3"/>
        <v>0</v>
      </c>
      <c r="Z9" s="285">
        <f t="shared" si="3"/>
        <v>0</v>
      </c>
      <c r="AA9" s="285">
        <f t="shared" si="3"/>
        <v>0</v>
      </c>
      <c r="AB9" s="285">
        <f t="shared" si="3"/>
        <v>2992.4</v>
      </c>
      <c r="AC9" s="285">
        <f t="shared" si="3"/>
        <v>0</v>
      </c>
      <c r="AD9" s="285">
        <f t="shared" si="3"/>
        <v>460.9</v>
      </c>
      <c r="AE9" s="285">
        <f t="shared" si="3"/>
        <v>0</v>
      </c>
      <c r="AF9" s="286"/>
    </row>
    <row r="10" spans="1:32" ht="15.75" x14ac:dyDescent="0.25">
      <c r="A10" s="279" t="s">
        <v>389</v>
      </c>
      <c r="B10" s="285"/>
      <c r="C10" s="285"/>
      <c r="D10" s="285"/>
      <c r="E10" s="285"/>
      <c r="F10" s="285"/>
      <c r="G10" s="285"/>
      <c r="H10" s="285"/>
      <c r="I10" s="285"/>
      <c r="J10" s="285"/>
      <c r="K10" s="285"/>
      <c r="L10" s="285"/>
      <c r="M10" s="285"/>
      <c r="N10" s="285"/>
      <c r="O10" s="285"/>
      <c r="P10" s="285"/>
      <c r="Q10" s="285"/>
      <c r="R10" s="285"/>
      <c r="S10" s="285"/>
      <c r="T10" s="285"/>
      <c r="U10" s="285"/>
      <c r="V10" s="285"/>
      <c r="W10" s="285"/>
      <c r="X10" s="285"/>
      <c r="Y10" s="285"/>
      <c r="Z10" s="285"/>
      <c r="AA10" s="285"/>
      <c r="AB10" s="285"/>
      <c r="AC10" s="285"/>
      <c r="AD10" s="285"/>
      <c r="AE10" s="285"/>
      <c r="AF10" s="286"/>
    </row>
    <row r="11" spans="1:32" ht="15.75" x14ac:dyDescent="0.25">
      <c r="A11" s="281" t="s">
        <v>31</v>
      </c>
      <c r="B11" s="282">
        <f>B12</f>
        <v>460.9</v>
      </c>
      <c r="C11" s="282">
        <f>C12</f>
        <v>0</v>
      </c>
      <c r="D11" s="282">
        <f>D12</f>
        <v>0</v>
      </c>
      <c r="E11" s="282">
        <f>E12</f>
        <v>0</v>
      </c>
      <c r="F11" s="282">
        <f t="shared" si="0"/>
        <v>0</v>
      </c>
      <c r="G11" s="282">
        <f t="shared" si="1"/>
        <v>0</v>
      </c>
      <c r="H11" s="282">
        <f>H12</f>
        <v>0</v>
      </c>
      <c r="I11" s="282">
        <f t="shared" ref="I11:AE11" si="4">I12</f>
        <v>0</v>
      </c>
      <c r="J11" s="282">
        <f t="shared" si="4"/>
        <v>0</v>
      </c>
      <c r="K11" s="282">
        <f t="shared" si="4"/>
        <v>0</v>
      </c>
      <c r="L11" s="282">
        <f t="shared" si="4"/>
        <v>0</v>
      </c>
      <c r="M11" s="282">
        <f t="shared" si="4"/>
        <v>0</v>
      </c>
      <c r="N11" s="282">
        <f t="shared" si="4"/>
        <v>0</v>
      </c>
      <c r="O11" s="282">
        <f t="shared" si="4"/>
        <v>0</v>
      </c>
      <c r="P11" s="282">
        <f t="shared" si="4"/>
        <v>0</v>
      </c>
      <c r="Q11" s="282">
        <f t="shared" si="4"/>
        <v>0</v>
      </c>
      <c r="R11" s="282">
        <f t="shared" si="4"/>
        <v>0</v>
      </c>
      <c r="S11" s="282">
        <f t="shared" si="4"/>
        <v>0</v>
      </c>
      <c r="T11" s="282">
        <f t="shared" si="4"/>
        <v>0</v>
      </c>
      <c r="U11" s="282">
        <f t="shared" si="4"/>
        <v>0</v>
      </c>
      <c r="V11" s="282">
        <f t="shared" si="4"/>
        <v>0</v>
      </c>
      <c r="W11" s="282">
        <f t="shared" si="4"/>
        <v>0</v>
      </c>
      <c r="X11" s="282">
        <f t="shared" si="4"/>
        <v>0</v>
      </c>
      <c r="Y11" s="282">
        <f t="shared" si="4"/>
        <v>0</v>
      </c>
      <c r="Z11" s="282">
        <f t="shared" si="4"/>
        <v>0</v>
      </c>
      <c r="AA11" s="282">
        <f t="shared" si="4"/>
        <v>0</v>
      </c>
      <c r="AB11" s="282">
        <f t="shared" si="4"/>
        <v>0</v>
      </c>
      <c r="AC11" s="282">
        <f t="shared" si="4"/>
        <v>0</v>
      </c>
      <c r="AD11" s="282">
        <f t="shared" si="4"/>
        <v>460.9</v>
      </c>
      <c r="AE11" s="282">
        <f t="shared" si="4"/>
        <v>0</v>
      </c>
      <c r="AF11" s="287"/>
    </row>
    <row r="12" spans="1:32" ht="15.75" x14ac:dyDescent="0.25">
      <c r="A12" s="284" t="s">
        <v>33</v>
      </c>
      <c r="B12" s="285">
        <f>H12+J12+L12+N12+P12+R12+T12+V12+X12+Z12+AB12+AD12</f>
        <v>460.9</v>
      </c>
      <c r="C12" s="285">
        <f>H12+J12+L12+N12</f>
        <v>0</v>
      </c>
      <c r="D12" s="285">
        <f>I12+K12+M12+O12</f>
        <v>0</v>
      </c>
      <c r="E12" s="285">
        <f>I12+K12+M12+O12+Q12+S12+U12+W12+Y12+AA12+AC12+AE12</f>
        <v>0</v>
      </c>
      <c r="F12" s="285">
        <f t="shared" si="0"/>
        <v>0</v>
      </c>
      <c r="G12" s="285">
        <f t="shared" si="1"/>
        <v>0</v>
      </c>
      <c r="H12" s="288">
        <v>0</v>
      </c>
      <c r="I12" s="288">
        <v>0</v>
      </c>
      <c r="J12" s="288">
        <v>0</v>
      </c>
      <c r="K12" s="288">
        <v>0</v>
      </c>
      <c r="L12" s="288">
        <v>0</v>
      </c>
      <c r="M12" s="288">
        <v>0</v>
      </c>
      <c r="N12" s="288">
        <v>0</v>
      </c>
      <c r="O12" s="288">
        <v>0</v>
      </c>
      <c r="P12" s="288">
        <v>0</v>
      </c>
      <c r="Q12" s="288">
        <v>0</v>
      </c>
      <c r="R12" s="288">
        <v>0</v>
      </c>
      <c r="S12" s="288">
        <v>0</v>
      </c>
      <c r="T12" s="288">
        <v>0</v>
      </c>
      <c r="U12" s="288">
        <v>0</v>
      </c>
      <c r="V12" s="288">
        <v>0</v>
      </c>
      <c r="W12" s="288">
        <v>0</v>
      </c>
      <c r="X12" s="288">
        <v>0</v>
      </c>
      <c r="Y12" s="288">
        <v>0</v>
      </c>
      <c r="Z12" s="288">
        <v>0</v>
      </c>
      <c r="AA12" s="288">
        <v>0</v>
      </c>
      <c r="AB12" s="288">
        <v>0</v>
      </c>
      <c r="AC12" s="288">
        <v>0</v>
      </c>
      <c r="AD12" s="288">
        <v>460.9</v>
      </c>
      <c r="AE12" s="288">
        <v>0</v>
      </c>
      <c r="AF12" s="286"/>
    </row>
    <row r="13" spans="1:32" ht="15.75" x14ac:dyDescent="0.25">
      <c r="A13" s="279" t="s">
        <v>390</v>
      </c>
      <c r="B13" s="285"/>
      <c r="C13" s="285"/>
      <c r="D13" s="285"/>
      <c r="E13" s="285"/>
      <c r="F13" s="285"/>
      <c r="G13" s="285"/>
      <c r="H13" s="285"/>
      <c r="I13" s="285"/>
      <c r="J13" s="285"/>
      <c r="K13" s="285"/>
      <c r="L13" s="285"/>
      <c r="M13" s="285"/>
      <c r="N13" s="285"/>
      <c r="O13" s="285"/>
      <c r="P13" s="285"/>
      <c r="Q13" s="285"/>
      <c r="R13" s="285"/>
      <c r="S13" s="285"/>
      <c r="T13" s="285"/>
      <c r="U13" s="285"/>
      <c r="V13" s="285"/>
      <c r="W13" s="285"/>
      <c r="X13" s="285"/>
      <c r="Y13" s="285"/>
      <c r="Z13" s="285"/>
      <c r="AA13" s="285"/>
      <c r="AB13" s="285"/>
      <c r="AC13" s="285"/>
      <c r="AD13" s="285"/>
      <c r="AE13" s="285"/>
      <c r="AF13" s="286"/>
    </row>
    <row r="14" spans="1:32" ht="135" x14ac:dyDescent="0.25">
      <c r="A14" s="281" t="s">
        <v>31</v>
      </c>
      <c r="B14" s="282">
        <f>B15</f>
        <v>2992.4</v>
      </c>
      <c r="C14" s="282">
        <f>C15</f>
        <v>0</v>
      </c>
      <c r="D14" s="282">
        <f>D15</f>
        <v>0</v>
      </c>
      <c r="E14" s="282">
        <f>E15</f>
        <v>0</v>
      </c>
      <c r="F14" s="282">
        <f>IFERROR(E14/B14*100,0)</f>
        <v>0</v>
      </c>
      <c r="G14" s="282">
        <f>IFERROR(E14/C14*100,0)</f>
        <v>0</v>
      </c>
      <c r="H14" s="282">
        <f>H15</f>
        <v>0</v>
      </c>
      <c r="I14" s="282">
        <f t="shared" ref="I14:AE14" si="5">I15</f>
        <v>0</v>
      </c>
      <c r="J14" s="282">
        <f t="shared" si="5"/>
        <v>0</v>
      </c>
      <c r="K14" s="282">
        <f t="shared" si="5"/>
        <v>0</v>
      </c>
      <c r="L14" s="282">
        <f t="shared" si="5"/>
        <v>0</v>
      </c>
      <c r="M14" s="282">
        <f t="shared" si="5"/>
        <v>0</v>
      </c>
      <c r="N14" s="282">
        <f t="shared" si="5"/>
        <v>0</v>
      </c>
      <c r="O14" s="282">
        <f t="shared" si="5"/>
        <v>0</v>
      </c>
      <c r="P14" s="282">
        <f t="shared" si="5"/>
        <v>0</v>
      </c>
      <c r="Q14" s="282">
        <f t="shared" si="5"/>
        <v>0</v>
      </c>
      <c r="R14" s="282">
        <f t="shared" si="5"/>
        <v>0</v>
      </c>
      <c r="S14" s="282">
        <f t="shared" si="5"/>
        <v>0</v>
      </c>
      <c r="T14" s="282">
        <f t="shared" si="5"/>
        <v>0</v>
      </c>
      <c r="U14" s="282">
        <f t="shared" si="5"/>
        <v>0</v>
      </c>
      <c r="V14" s="282">
        <f t="shared" si="5"/>
        <v>0</v>
      </c>
      <c r="W14" s="282">
        <f t="shared" si="5"/>
        <v>0</v>
      </c>
      <c r="X14" s="282">
        <f t="shared" si="5"/>
        <v>0</v>
      </c>
      <c r="Y14" s="282">
        <f t="shared" si="5"/>
        <v>0</v>
      </c>
      <c r="Z14" s="282">
        <f t="shared" si="5"/>
        <v>0</v>
      </c>
      <c r="AA14" s="282">
        <f t="shared" si="5"/>
        <v>0</v>
      </c>
      <c r="AB14" s="282">
        <f t="shared" si="5"/>
        <v>2992.4</v>
      </c>
      <c r="AC14" s="282">
        <f t="shared" si="5"/>
        <v>0</v>
      </c>
      <c r="AD14" s="282">
        <f t="shared" si="5"/>
        <v>0</v>
      </c>
      <c r="AE14" s="282">
        <f t="shared" si="5"/>
        <v>0</v>
      </c>
      <c r="AF14" s="957" t="s">
        <v>610</v>
      </c>
    </row>
    <row r="15" spans="1:32" ht="15.75" x14ac:dyDescent="0.25">
      <c r="A15" s="284" t="s">
        <v>33</v>
      </c>
      <c r="B15" s="285">
        <f>H15+J15+L15+N15+P15+R15+T15+V15+X15+Z15+AB15+AD15</f>
        <v>2992.4</v>
      </c>
      <c r="C15" s="285">
        <f>H15+J15+L15+N15</f>
        <v>0</v>
      </c>
      <c r="D15" s="285">
        <f>I15+K15+M15</f>
        <v>0</v>
      </c>
      <c r="E15" s="285">
        <f>I15+K15+M15+O15+Q15+S15+U15+W15+Y15+AA15+AC15+AE15</f>
        <v>0</v>
      </c>
      <c r="F15" s="285">
        <f>IFERROR(E15/B15*100,0)</f>
        <v>0</v>
      </c>
      <c r="G15" s="285">
        <f>IFERROR(E15/C15*100,0)</f>
        <v>0</v>
      </c>
      <c r="H15" s="288">
        <v>0</v>
      </c>
      <c r="I15" s="288">
        <v>0</v>
      </c>
      <c r="J15" s="288">
        <v>0</v>
      </c>
      <c r="K15" s="288">
        <v>0</v>
      </c>
      <c r="L15" s="288">
        <v>0</v>
      </c>
      <c r="M15" s="288">
        <v>0</v>
      </c>
      <c r="N15" s="288">
        <v>0</v>
      </c>
      <c r="O15" s="288">
        <v>0</v>
      </c>
      <c r="P15" s="288">
        <v>0</v>
      </c>
      <c r="Q15" s="288">
        <v>0</v>
      </c>
      <c r="R15" s="288">
        <v>0</v>
      </c>
      <c r="S15" s="288">
        <v>0</v>
      </c>
      <c r="T15" s="288">
        <v>0</v>
      </c>
      <c r="U15" s="288">
        <v>0</v>
      </c>
      <c r="V15" s="288">
        <v>0</v>
      </c>
      <c r="W15" s="288">
        <v>0</v>
      </c>
      <c r="X15" s="288">
        <v>0</v>
      </c>
      <c r="Y15" s="288">
        <v>0</v>
      </c>
      <c r="Z15" s="288">
        <v>0</v>
      </c>
      <c r="AA15" s="288">
        <v>0</v>
      </c>
      <c r="AB15" s="288">
        <v>2992.4</v>
      </c>
      <c r="AC15" s="288">
        <v>0</v>
      </c>
      <c r="AD15" s="288">
        <v>0</v>
      </c>
      <c r="AE15" s="288">
        <v>0</v>
      </c>
      <c r="AF15" s="286" t="s">
        <v>611</v>
      </c>
    </row>
    <row r="16" spans="1:32" ht="31.5" x14ac:dyDescent="0.25">
      <c r="A16" s="289" t="s">
        <v>53</v>
      </c>
      <c r="B16" s="285"/>
      <c r="C16" s="285"/>
      <c r="D16" s="285"/>
      <c r="E16" s="285"/>
      <c r="F16" s="285"/>
      <c r="G16" s="285"/>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958" t="s">
        <v>612</v>
      </c>
    </row>
    <row r="17" spans="1:32" ht="15.75" x14ac:dyDescent="0.25">
      <c r="A17" s="290" t="s">
        <v>31</v>
      </c>
      <c r="B17" s="282">
        <f>B18</f>
        <v>3453.3</v>
      </c>
      <c r="C17" s="282">
        <f>C18</f>
        <v>0</v>
      </c>
      <c r="D17" s="282">
        <f>D18</f>
        <v>0</v>
      </c>
      <c r="E17" s="282">
        <f>E18</f>
        <v>0</v>
      </c>
      <c r="F17" s="282">
        <f t="shared" si="0"/>
        <v>0</v>
      </c>
      <c r="G17" s="282">
        <f t="shared" si="1"/>
        <v>0</v>
      </c>
      <c r="H17" s="282">
        <f>H18</f>
        <v>0</v>
      </c>
      <c r="I17" s="282">
        <f t="shared" ref="I17:AE17" si="6">I18</f>
        <v>0</v>
      </c>
      <c r="J17" s="282">
        <f t="shared" si="6"/>
        <v>0</v>
      </c>
      <c r="K17" s="282">
        <f t="shared" si="6"/>
        <v>0</v>
      </c>
      <c r="L17" s="282">
        <f t="shared" si="6"/>
        <v>0</v>
      </c>
      <c r="M17" s="282">
        <f t="shared" si="6"/>
        <v>0</v>
      </c>
      <c r="N17" s="282">
        <f t="shared" si="6"/>
        <v>0</v>
      </c>
      <c r="O17" s="282">
        <f t="shared" si="6"/>
        <v>0</v>
      </c>
      <c r="P17" s="282">
        <f t="shared" si="6"/>
        <v>0</v>
      </c>
      <c r="Q17" s="282">
        <f t="shared" si="6"/>
        <v>0</v>
      </c>
      <c r="R17" s="282">
        <f t="shared" si="6"/>
        <v>0</v>
      </c>
      <c r="S17" s="282">
        <f t="shared" si="6"/>
        <v>0</v>
      </c>
      <c r="T17" s="282">
        <f t="shared" si="6"/>
        <v>0</v>
      </c>
      <c r="U17" s="282">
        <f t="shared" si="6"/>
        <v>0</v>
      </c>
      <c r="V17" s="282">
        <f t="shared" si="6"/>
        <v>0</v>
      </c>
      <c r="W17" s="282">
        <f t="shared" si="6"/>
        <v>0</v>
      </c>
      <c r="X17" s="282">
        <f t="shared" si="6"/>
        <v>0</v>
      </c>
      <c r="Y17" s="282">
        <f t="shared" si="6"/>
        <v>0</v>
      </c>
      <c r="Z17" s="282">
        <f t="shared" si="6"/>
        <v>0</v>
      </c>
      <c r="AA17" s="282">
        <f t="shared" si="6"/>
        <v>0</v>
      </c>
      <c r="AB17" s="282">
        <f t="shared" si="6"/>
        <v>2992.4</v>
      </c>
      <c r="AC17" s="282">
        <f t="shared" si="6"/>
        <v>0</v>
      </c>
      <c r="AD17" s="282">
        <f t="shared" si="6"/>
        <v>460.9</v>
      </c>
      <c r="AE17" s="282">
        <f t="shared" si="6"/>
        <v>0</v>
      </c>
      <c r="AF17" s="283"/>
    </row>
    <row r="18" spans="1:32" ht="15.75" x14ac:dyDescent="0.25">
      <c r="A18" s="291" t="s">
        <v>33</v>
      </c>
      <c r="B18" s="285">
        <f>H18+J18+L18+N18+P18+R18+T18+V18+X18+Z18+AB18+AD18</f>
        <v>3453.3</v>
      </c>
      <c r="C18" s="285">
        <f>H18+J18+L18+N18</f>
        <v>0</v>
      </c>
      <c r="D18" s="285">
        <f>I18+K18+M18</f>
        <v>0</v>
      </c>
      <c r="E18" s="285">
        <f>I18+K18+M18+O18+Q18+S18+U18+W18+Y18+AA18+AC18+AE18</f>
        <v>0</v>
      </c>
      <c r="F18" s="285">
        <f t="shared" si="0"/>
        <v>0</v>
      </c>
      <c r="G18" s="285">
        <f t="shared" si="1"/>
        <v>0</v>
      </c>
      <c r="H18" s="288">
        <f t="shared" ref="H18:AE18" si="7">H9</f>
        <v>0</v>
      </c>
      <c r="I18" s="288">
        <f t="shared" si="7"/>
        <v>0</v>
      </c>
      <c r="J18" s="288">
        <f t="shared" si="7"/>
        <v>0</v>
      </c>
      <c r="K18" s="288">
        <f t="shared" si="7"/>
        <v>0</v>
      </c>
      <c r="L18" s="288">
        <f t="shared" si="7"/>
        <v>0</v>
      </c>
      <c r="M18" s="288">
        <f t="shared" si="7"/>
        <v>0</v>
      </c>
      <c r="N18" s="288">
        <f t="shared" si="7"/>
        <v>0</v>
      </c>
      <c r="O18" s="288">
        <f t="shared" si="7"/>
        <v>0</v>
      </c>
      <c r="P18" s="288">
        <f t="shared" si="7"/>
        <v>0</v>
      </c>
      <c r="Q18" s="288">
        <f t="shared" si="7"/>
        <v>0</v>
      </c>
      <c r="R18" s="288">
        <f t="shared" si="7"/>
        <v>0</v>
      </c>
      <c r="S18" s="288">
        <f t="shared" si="7"/>
        <v>0</v>
      </c>
      <c r="T18" s="288">
        <f t="shared" si="7"/>
        <v>0</v>
      </c>
      <c r="U18" s="288">
        <f t="shared" si="7"/>
        <v>0</v>
      </c>
      <c r="V18" s="288">
        <f t="shared" si="7"/>
        <v>0</v>
      </c>
      <c r="W18" s="288">
        <f t="shared" si="7"/>
        <v>0</v>
      </c>
      <c r="X18" s="288">
        <f t="shared" si="7"/>
        <v>0</v>
      </c>
      <c r="Y18" s="288">
        <f t="shared" si="7"/>
        <v>0</v>
      </c>
      <c r="Z18" s="288">
        <f t="shared" si="7"/>
        <v>0</v>
      </c>
      <c r="AA18" s="288">
        <f t="shared" si="7"/>
        <v>0</v>
      </c>
      <c r="AB18" s="288">
        <f t="shared" si="7"/>
        <v>2992.4</v>
      </c>
      <c r="AC18" s="288">
        <f t="shared" si="7"/>
        <v>0</v>
      </c>
      <c r="AD18" s="288">
        <f t="shared" si="7"/>
        <v>460.9</v>
      </c>
      <c r="AE18" s="288">
        <f t="shared" si="7"/>
        <v>0</v>
      </c>
      <c r="AF18" s="286"/>
    </row>
    <row r="19" spans="1:32" ht="15.75" x14ac:dyDescent="0.25">
      <c r="A19" s="1121" t="s">
        <v>391</v>
      </c>
      <c r="B19" s="1121"/>
      <c r="C19" s="1121"/>
      <c r="D19" s="1121"/>
      <c r="E19" s="1121"/>
      <c r="F19" s="1121"/>
      <c r="G19" s="1121"/>
      <c r="H19" s="1121"/>
      <c r="I19" s="1121"/>
      <c r="J19" s="1121"/>
      <c r="K19" s="1121"/>
      <c r="L19" s="1121"/>
      <c r="M19" s="1121"/>
      <c r="N19" s="1121"/>
      <c r="O19" s="1121"/>
      <c r="P19" s="1121"/>
      <c r="Q19" s="1121"/>
      <c r="R19" s="1121"/>
      <c r="S19" s="1121"/>
      <c r="T19" s="1121"/>
      <c r="U19" s="1121"/>
      <c r="V19" s="1121"/>
      <c r="W19" s="1121"/>
      <c r="X19" s="1121"/>
      <c r="Y19" s="1121"/>
      <c r="Z19" s="1121"/>
      <c r="AA19" s="1121"/>
      <c r="AB19" s="1121"/>
      <c r="AC19" s="1121"/>
      <c r="AD19" s="1122"/>
      <c r="AE19" s="292"/>
      <c r="AF19" s="292"/>
    </row>
    <row r="20" spans="1:32" ht="15.75" x14ac:dyDescent="0.25">
      <c r="A20" s="1123" t="s">
        <v>54</v>
      </c>
      <c r="B20" s="1123"/>
      <c r="C20" s="1123"/>
      <c r="D20" s="1123"/>
      <c r="E20" s="1123"/>
      <c r="F20" s="1123"/>
      <c r="G20" s="1123"/>
      <c r="H20" s="1123"/>
      <c r="I20" s="1123"/>
      <c r="J20" s="1123"/>
      <c r="K20" s="1123"/>
      <c r="L20" s="1123"/>
      <c r="M20" s="1123"/>
      <c r="N20" s="1123"/>
      <c r="O20" s="1123"/>
      <c r="P20" s="1123"/>
      <c r="Q20" s="1123"/>
      <c r="R20" s="1123"/>
      <c r="S20" s="1123"/>
      <c r="T20" s="1123"/>
      <c r="U20" s="1123"/>
      <c r="V20" s="1123"/>
      <c r="W20" s="1123"/>
      <c r="X20" s="1123"/>
      <c r="Y20" s="1123"/>
      <c r="Z20" s="1123"/>
      <c r="AA20" s="1123"/>
      <c r="AB20" s="1123"/>
      <c r="AC20" s="1123"/>
      <c r="AD20" s="1123"/>
      <c r="AE20" s="1124"/>
      <c r="AF20" s="292"/>
    </row>
    <row r="21" spans="1:32" ht="15.75" x14ac:dyDescent="0.25">
      <c r="A21" s="279" t="s">
        <v>392</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4"/>
      <c r="AF21" s="283"/>
    </row>
    <row r="22" spans="1:32" ht="15.75" x14ac:dyDescent="0.25">
      <c r="A22" s="295" t="s">
        <v>31</v>
      </c>
      <c r="B22" s="282">
        <f>B23+B24+B26</f>
        <v>57990.5</v>
      </c>
      <c r="C22" s="282">
        <f>C23+C24+C26</f>
        <v>0</v>
      </c>
      <c r="D22" s="282">
        <f>D23+D24+D26</f>
        <v>0</v>
      </c>
      <c r="E22" s="282">
        <f>E23+E24+E26</f>
        <v>0</v>
      </c>
      <c r="F22" s="282">
        <f>IFERROR(E22/B22*100,0)</f>
        <v>0</v>
      </c>
      <c r="G22" s="282">
        <f>IFERROR(E22/C22*100,0)</f>
        <v>0</v>
      </c>
      <c r="H22" s="282">
        <f>H23+H24+H26</f>
        <v>0</v>
      </c>
      <c r="I22" s="282">
        <f t="shared" ref="I22:AE22" si="8">I23+I24+I26</f>
        <v>0</v>
      </c>
      <c r="J22" s="282">
        <f t="shared" si="8"/>
        <v>0</v>
      </c>
      <c r="K22" s="282">
        <f t="shared" si="8"/>
        <v>0</v>
      </c>
      <c r="L22" s="282">
        <f t="shared" si="8"/>
        <v>0</v>
      </c>
      <c r="M22" s="282">
        <f t="shared" si="8"/>
        <v>0</v>
      </c>
      <c r="N22" s="282">
        <f t="shared" si="8"/>
        <v>0</v>
      </c>
      <c r="O22" s="282">
        <f t="shared" si="8"/>
        <v>0</v>
      </c>
      <c r="P22" s="282">
        <f t="shared" si="8"/>
        <v>0</v>
      </c>
      <c r="Q22" s="282">
        <f t="shared" si="8"/>
        <v>0</v>
      </c>
      <c r="R22" s="282">
        <f t="shared" si="8"/>
        <v>0</v>
      </c>
      <c r="S22" s="282">
        <f t="shared" si="8"/>
        <v>0</v>
      </c>
      <c r="T22" s="282">
        <f t="shared" si="8"/>
        <v>0</v>
      </c>
      <c r="U22" s="282">
        <f t="shared" si="8"/>
        <v>0</v>
      </c>
      <c r="V22" s="282">
        <f t="shared" si="8"/>
        <v>0</v>
      </c>
      <c r="W22" s="282">
        <f t="shared" si="8"/>
        <v>0</v>
      </c>
      <c r="X22" s="282">
        <f t="shared" si="8"/>
        <v>0</v>
      </c>
      <c r="Y22" s="282">
        <f t="shared" si="8"/>
        <v>0</v>
      </c>
      <c r="Z22" s="282">
        <f t="shared" si="8"/>
        <v>0</v>
      </c>
      <c r="AA22" s="282">
        <f t="shared" si="8"/>
        <v>0</v>
      </c>
      <c r="AB22" s="282">
        <f t="shared" si="8"/>
        <v>0</v>
      </c>
      <c r="AC22" s="282">
        <f t="shared" si="8"/>
        <v>0</v>
      </c>
      <c r="AD22" s="282">
        <f t="shared" si="8"/>
        <v>57990.5</v>
      </c>
      <c r="AE22" s="282">
        <f t="shared" si="8"/>
        <v>0</v>
      </c>
      <c r="AF22" s="283"/>
    </row>
    <row r="23" spans="1:32" ht="15.75" x14ac:dyDescent="0.25">
      <c r="A23" s="284" t="s">
        <v>32</v>
      </c>
      <c r="B23" s="288">
        <f>B29</f>
        <v>46392.4</v>
      </c>
      <c r="C23" s="285">
        <f t="shared" ref="C23:D26" si="9">H23+J23+L23+N23</f>
        <v>0</v>
      </c>
      <c r="D23" s="285">
        <f t="shared" si="9"/>
        <v>0</v>
      </c>
      <c r="E23" s="285">
        <f>I23+K23+M23+O23+Q23+S23+U23+W23+Y23+AA23+AC23+AE23</f>
        <v>0</v>
      </c>
      <c r="F23" s="285">
        <f t="shared" ref="F23:F38" si="10">IFERROR(E23/B23*100,0)</f>
        <v>0</v>
      </c>
      <c r="G23" s="285">
        <f t="shared" ref="G23:G38" si="11">IFERROR(E23/C23*100,0)</f>
        <v>0</v>
      </c>
      <c r="H23" s="288">
        <f>H29</f>
        <v>0</v>
      </c>
      <c r="I23" s="288">
        <f t="shared" ref="I23:AE26" si="12">I29</f>
        <v>0</v>
      </c>
      <c r="J23" s="288">
        <f t="shared" si="12"/>
        <v>0</v>
      </c>
      <c r="K23" s="288">
        <f t="shared" si="12"/>
        <v>0</v>
      </c>
      <c r="L23" s="288">
        <f t="shared" si="12"/>
        <v>0</v>
      </c>
      <c r="M23" s="288">
        <f t="shared" si="12"/>
        <v>0</v>
      </c>
      <c r="N23" s="288">
        <f t="shared" si="12"/>
        <v>0</v>
      </c>
      <c r="O23" s="288">
        <f t="shared" si="12"/>
        <v>0</v>
      </c>
      <c r="P23" s="288">
        <f t="shared" si="12"/>
        <v>0</v>
      </c>
      <c r="Q23" s="288">
        <f t="shared" si="12"/>
        <v>0</v>
      </c>
      <c r="R23" s="288">
        <f t="shared" si="12"/>
        <v>0</v>
      </c>
      <c r="S23" s="288">
        <f t="shared" si="12"/>
        <v>0</v>
      </c>
      <c r="T23" s="288">
        <f t="shared" si="12"/>
        <v>0</v>
      </c>
      <c r="U23" s="288">
        <f t="shared" si="12"/>
        <v>0</v>
      </c>
      <c r="V23" s="288">
        <f t="shared" si="12"/>
        <v>0</v>
      </c>
      <c r="W23" s="288">
        <f t="shared" si="12"/>
        <v>0</v>
      </c>
      <c r="X23" s="288">
        <f t="shared" si="12"/>
        <v>0</v>
      </c>
      <c r="Y23" s="288">
        <f t="shared" si="12"/>
        <v>0</v>
      </c>
      <c r="Z23" s="288">
        <f t="shared" si="12"/>
        <v>0</v>
      </c>
      <c r="AA23" s="288">
        <f t="shared" si="12"/>
        <v>0</v>
      </c>
      <c r="AB23" s="288">
        <f t="shared" si="12"/>
        <v>0</v>
      </c>
      <c r="AC23" s="288">
        <f t="shared" si="12"/>
        <v>0</v>
      </c>
      <c r="AD23" s="288">
        <f t="shared" si="12"/>
        <v>46392.4</v>
      </c>
      <c r="AE23" s="288">
        <f t="shared" si="12"/>
        <v>0</v>
      </c>
      <c r="AF23" s="286"/>
    </row>
    <row r="24" spans="1:32" ht="15.75" x14ac:dyDescent="0.25">
      <c r="A24" s="284" t="s">
        <v>33</v>
      </c>
      <c r="B24" s="288">
        <f>B30</f>
        <v>11598.1</v>
      </c>
      <c r="C24" s="285">
        <f t="shared" si="9"/>
        <v>0</v>
      </c>
      <c r="D24" s="285">
        <f t="shared" si="9"/>
        <v>0</v>
      </c>
      <c r="E24" s="285">
        <f>I24+K24+M24+O24+Q24+S24+U24+W24+Y24+AA24+AC24+AE24</f>
        <v>0</v>
      </c>
      <c r="F24" s="285">
        <f t="shared" si="10"/>
        <v>0</v>
      </c>
      <c r="G24" s="285">
        <f t="shared" si="11"/>
        <v>0</v>
      </c>
      <c r="H24" s="288">
        <f>H30</f>
        <v>0</v>
      </c>
      <c r="I24" s="288">
        <f t="shared" si="12"/>
        <v>0</v>
      </c>
      <c r="J24" s="288">
        <f t="shared" si="12"/>
        <v>0</v>
      </c>
      <c r="K24" s="288">
        <f t="shared" si="12"/>
        <v>0</v>
      </c>
      <c r="L24" s="288">
        <f t="shared" si="12"/>
        <v>0</v>
      </c>
      <c r="M24" s="288">
        <f t="shared" si="12"/>
        <v>0</v>
      </c>
      <c r="N24" s="288">
        <f t="shared" si="12"/>
        <v>0</v>
      </c>
      <c r="O24" s="288">
        <f t="shared" si="12"/>
        <v>0</v>
      </c>
      <c r="P24" s="288">
        <f t="shared" si="12"/>
        <v>0</v>
      </c>
      <c r="Q24" s="288">
        <f t="shared" si="12"/>
        <v>0</v>
      </c>
      <c r="R24" s="288">
        <f t="shared" si="12"/>
        <v>0</v>
      </c>
      <c r="S24" s="288">
        <f t="shared" si="12"/>
        <v>0</v>
      </c>
      <c r="T24" s="288">
        <f t="shared" si="12"/>
        <v>0</v>
      </c>
      <c r="U24" s="288">
        <f t="shared" si="12"/>
        <v>0</v>
      </c>
      <c r="V24" s="288">
        <f t="shared" si="12"/>
        <v>0</v>
      </c>
      <c r="W24" s="288">
        <f t="shared" si="12"/>
        <v>0</v>
      </c>
      <c r="X24" s="288">
        <f t="shared" si="12"/>
        <v>0</v>
      </c>
      <c r="Y24" s="288">
        <f t="shared" si="12"/>
        <v>0</v>
      </c>
      <c r="Z24" s="288">
        <f t="shared" si="12"/>
        <v>0</v>
      </c>
      <c r="AA24" s="288">
        <f t="shared" si="12"/>
        <v>0</v>
      </c>
      <c r="AB24" s="288">
        <f t="shared" si="12"/>
        <v>0</v>
      </c>
      <c r="AC24" s="288">
        <f t="shared" si="12"/>
        <v>0</v>
      </c>
      <c r="AD24" s="288">
        <f t="shared" si="12"/>
        <v>11598.1</v>
      </c>
      <c r="AE24" s="288">
        <f t="shared" si="12"/>
        <v>0</v>
      </c>
      <c r="AF24" s="286"/>
    </row>
    <row r="25" spans="1:32" ht="31.5" x14ac:dyDescent="0.25">
      <c r="A25" s="296" t="s">
        <v>174</v>
      </c>
      <c r="B25" s="288">
        <f>B31</f>
        <v>11598.1</v>
      </c>
      <c r="C25" s="285">
        <f t="shared" si="9"/>
        <v>0</v>
      </c>
      <c r="D25" s="285">
        <f t="shared" si="9"/>
        <v>0</v>
      </c>
      <c r="E25" s="285">
        <f>I25+K25+M25+O25+Q25+S25+U25+W25+Y25+AA25+AC25+AE25</f>
        <v>0</v>
      </c>
      <c r="F25" s="285">
        <f t="shared" si="10"/>
        <v>0</v>
      </c>
      <c r="G25" s="285">
        <f t="shared" si="11"/>
        <v>0</v>
      </c>
      <c r="H25" s="285">
        <f>H31</f>
        <v>0</v>
      </c>
      <c r="I25" s="285">
        <f t="shared" si="12"/>
        <v>0</v>
      </c>
      <c r="J25" s="285">
        <f t="shared" si="12"/>
        <v>0</v>
      </c>
      <c r="K25" s="285">
        <f t="shared" si="12"/>
        <v>0</v>
      </c>
      <c r="L25" s="285">
        <f t="shared" si="12"/>
        <v>0</v>
      </c>
      <c r="M25" s="285">
        <f t="shared" si="12"/>
        <v>0</v>
      </c>
      <c r="N25" s="285">
        <f t="shared" si="12"/>
        <v>0</v>
      </c>
      <c r="O25" s="285">
        <f t="shared" si="12"/>
        <v>0</v>
      </c>
      <c r="P25" s="285">
        <f t="shared" si="12"/>
        <v>0</v>
      </c>
      <c r="Q25" s="285">
        <f t="shared" si="12"/>
        <v>0</v>
      </c>
      <c r="R25" s="285">
        <f t="shared" si="12"/>
        <v>0</v>
      </c>
      <c r="S25" s="285">
        <f t="shared" si="12"/>
        <v>0</v>
      </c>
      <c r="T25" s="285">
        <f t="shared" si="12"/>
        <v>0</v>
      </c>
      <c r="U25" s="285">
        <f t="shared" si="12"/>
        <v>0</v>
      </c>
      <c r="V25" s="285">
        <f t="shared" si="12"/>
        <v>0</v>
      </c>
      <c r="W25" s="285">
        <f t="shared" si="12"/>
        <v>0</v>
      </c>
      <c r="X25" s="285">
        <f t="shared" si="12"/>
        <v>0</v>
      </c>
      <c r="Y25" s="285">
        <f t="shared" si="12"/>
        <v>0</v>
      </c>
      <c r="Z25" s="285">
        <f t="shared" si="12"/>
        <v>0</v>
      </c>
      <c r="AA25" s="285">
        <f t="shared" si="12"/>
        <v>0</v>
      </c>
      <c r="AB25" s="285">
        <f t="shared" si="12"/>
        <v>0</v>
      </c>
      <c r="AC25" s="285">
        <f t="shared" si="12"/>
        <v>0</v>
      </c>
      <c r="AD25" s="285">
        <f t="shared" si="12"/>
        <v>11598.1</v>
      </c>
      <c r="AE25" s="285">
        <f t="shared" si="12"/>
        <v>0</v>
      </c>
      <c r="AF25" s="286"/>
    </row>
    <row r="26" spans="1:32" ht="31.5" x14ac:dyDescent="0.25">
      <c r="A26" s="284" t="s">
        <v>374</v>
      </c>
      <c r="B26" s="288">
        <f>B32</f>
        <v>0</v>
      </c>
      <c r="C26" s="285">
        <f t="shared" si="9"/>
        <v>0</v>
      </c>
      <c r="D26" s="285">
        <f t="shared" si="9"/>
        <v>0</v>
      </c>
      <c r="E26" s="285">
        <f>I26+K26+M26+O26+Q26+S26+U26+W26+Y26+AA26+AC26+AE26</f>
        <v>0</v>
      </c>
      <c r="F26" s="285">
        <f t="shared" si="10"/>
        <v>0</v>
      </c>
      <c r="G26" s="285">
        <f t="shared" si="11"/>
        <v>0</v>
      </c>
      <c r="H26" s="285">
        <f>H32</f>
        <v>0</v>
      </c>
      <c r="I26" s="285">
        <f t="shared" si="12"/>
        <v>0</v>
      </c>
      <c r="J26" s="285">
        <f t="shared" si="12"/>
        <v>0</v>
      </c>
      <c r="K26" s="285">
        <f t="shared" si="12"/>
        <v>0</v>
      </c>
      <c r="L26" s="285">
        <f t="shared" si="12"/>
        <v>0</v>
      </c>
      <c r="M26" s="285">
        <f t="shared" si="12"/>
        <v>0</v>
      </c>
      <c r="N26" s="285">
        <f t="shared" si="12"/>
        <v>0</v>
      </c>
      <c r="O26" s="285">
        <f t="shared" si="12"/>
        <v>0</v>
      </c>
      <c r="P26" s="285">
        <f t="shared" si="12"/>
        <v>0</v>
      </c>
      <c r="Q26" s="285">
        <f t="shared" si="12"/>
        <v>0</v>
      </c>
      <c r="R26" s="285">
        <f t="shared" si="12"/>
        <v>0</v>
      </c>
      <c r="S26" s="285">
        <f t="shared" si="12"/>
        <v>0</v>
      </c>
      <c r="T26" s="285">
        <f t="shared" si="12"/>
        <v>0</v>
      </c>
      <c r="U26" s="285">
        <f t="shared" si="12"/>
        <v>0</v>
      </c>
      <c r="V26" s="285">
        <f t="shared" si="12"/>
        <v>0</v>
      </c>
      <c r="W26" s="285">
        <f t="shared" si="12"/>
        <v>0</v>
      </c>
      <c r="X26" s="285">
        <f t="shared" si="12"/>
        <v>0</v>
      </c>
      <c r="Y26" s="285">
        <f t="shared" si="12"/>
        <v>0</v>
      </c>
      <c r="Z26" s="285">
        <f t="shared" si="12"/>
        <v>0</v>
      </c>
      <c r="AA26" s="285">
        <f t="shared" si="12"/>
        <v>0</v>
      </c>
      <c r="AB26" s="285">
        <f t="shared" si="12"/>
        <v>0</v>
      </c>
      <c r="AC26" s="285">
        <f t="shared" si="12"/>
        <v>0</v>
      </c>
      <c r="AD26" s="285">
        <f t="shared" si="12"/>
        <v>0</v>
      </c>
      <c r="AE26" s="285">
        <f t="shared" si="12"/>
        <v>0</v>
      </c>
      <c r="AF26" s="286"/>
    </row>
    <row r="27" spans="1:32" ht="15.75" x14ac:dyDescent="0.25">
      <c r="A27" s="279" t="s">
        <v>393</v>
      </c>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c r="AA27" s="285"/>
      <c r="AB27" s="285"/>
      <c r="AC27" s="285"/>
      <c r="AD27" s="285"/>
      <c r="AE27" s="285"/>
      <c r="AF27" s="297"/>
    </row>
    <row r="28" spans="1:32" ht="15.75" x14ac:dyDescent="0.25">
      <c r="A28" s="295" t="s">
        <v>31</v>
      </c>
      <c r="B28" s="282">
        <f>B29+B30+B32</f>
        <v>57990.5</v>
      </c>
      <c r="C28" s="282">
        <f>C29+C30+C32</f>
        <v>0</v>
      </c>
      <c r="D28" s="282">
        <f>D29+D30+D32</f>
        <v>0</v>
      </c>
      <c r="E28" s="282">
        <f>E29+E30+E32</f>
        <v>0</v>
      </c>
      <c r="F28" s="282">
        <f t="shared" si="10"/>
        <v>0</v>
      </c>
      <c r="G28" s="282">
        <f t="shared" si="11"/>
        <v>0</v>
      </c>
      <c r="H28" s="282">
        <f>H29+H30+H32</f>
        <v>0</v>
      </c>
      <c r="I28" s="282">
        <f t="shared" ref="I28:AE28" si="13">I29+I30+I32</f>
        <v>0</v>
      </c>
      <c r="J28" s="282">
        <f t="shared" si="13"/>
        <v>0</v>
      </c>
      <c r="K28" s="282">
        <f t="shared" si="13"/>
        <v>0</v>
      </c>
      <c r="L28" s="282">
        <f t="shared" si="13"/>
        <v>0</v>
      </c>
      <c r="M28" s="282">
        <f t="shared" si="13"/>
        <v>0</v>
      </c>
      <c r="N28" s="282">
        <f t="shared" si="13"/>
        <v>0</v>
      </c>
      <c r="O28" s="282">
        <f t="shared" si="13"/>
        <v>0</v>
      </c>
      <c r="P28" s="282">
        <f t="shared" si="13"/>
        <v>0</v>
      </c>
      <c r="Q28" s="282">
        <f t="shared" si="13"/>
        <v>0</v>
      </c>
      <c r="R28" s="282">
        <f t="shared" si="13"/>
        <v>0</v>
      </c>
      <c r="S28" s="282">
        <f t="shared" si="13"/>
        <v>0</v>
      </c>
      <c r="T28" s="282">
        <f t="shared" si="13"/>
        <v>0</v>
      </c>
      <c r="U28" s="282">
        <f t="shared" si="13"/>
        <v>0</v>
      </c>
      <c r="V28" s="282">
        <f t="shared" si="13"/>
        <v>0</v>
      </c>
      <c r="W28" s="282">
        <f t="shared" si="13"/>
        <v>0</v>
      </c>
      <c r="X28" s="282">
        <f t="shared" si="13"/>
        <v>0</v>
      </c>
      <c r="Y28" s="282">
        <f t="shared" si="13"/>
        <v>0</v>
      </c>
      <c r="Z28" s="282">
        <f t="shared" si="13"/>
        <v>0</v>
      </c>
      <c r="AA28" s="282">
        <f t="shared" si="13"/>
        <v>0</v>
      </c>
      <c r="AB28" s="282">
        <f t="shared" si="13"/>
        <v>0</v>
      </c>
      <c r="AC28" s="282">
        <f t="shared" si="13"/>
        <v>0</v>
      </c>
      <c r="AD28" s="282">
        <f t="shared" si="13"/>
        <v>57990.5</v>
      </c>
      <c r="AE28" s="282">
        <f t="shared" si="13"/>
        <v>0</v>
      </c>
      <c r="AF28" s="1110" t="s">
        <v>394</v>
      </c>
    </row>
    <row r="29" spans="1:32" ht="15.75" x14ac:dyDescent="0.25">
      <c r="A29" s="284" t="s">
        <v>32</v>
      </c>
      <c r="B29" s="285">
        <f>H29+J29+L29+N29+P29+R29+T29+V29+X29+Z29+AB29+AD29</f>
        <v>46392.4</v>
      </c>
      <c r="C29" s="285">
        <f t="shared" ref="C29:D32" si="14">H29+J29+L29+N29</f>
        <v>0</v>
      </c>
      <c r="D29" s="285">
        <f t="shared" si="14"/>
        <v>0</v>
      </c>
      <c r="E29" s="285">
        <f>I29+K29+M29+O29+Q29+S29+U29+W29+Y29+AA29+AC29+AE29</f>
        <v>0</v>
      </c>
      <c r="F29" s="285">
        <f t="shared" si="10"/>
        <v>0</v>
      </c>
      <c r="G29" s="285">
        <f t="shared" si="11"/>
        <v>0</v>
      </c>
      <c r="H29" s="288">
        <v>0</v>
      </c>
      <c r="I29" s="288">
        <v>0</v>
      </c>
      <c r="J29" s="288">
        <v>0</v>
      </c>
      <c r="K29" s="288">
        <v>0</v>
      </c>
      <c r="L29" s="288">
        <v>0</v>
      </c>
      <c r="M29" s="288">
        <v>0</v>
      </c>
      <c r="N29" s="288">
        <v>0</v>
      </c>
      <c r="O29" s="288">
        <v>0</v>
      </c>
      <c r="P29" s="288">
        <v>0</v>
      </c>
      <c r="Q29" s="288">
        <v>0</v>
      </c>
      <c r="R29" s="288">
        <v>0</v>
      </c>
      <c r="S29" s="288">
        <v>0</v>
      </c>
      <c r="T29" s="288">
        <v>0</v>
      </c>
      <c r="U29" s="288">
        <v>0</v>
      </c>
      <c r="V29" s="288">
        <v>0</v>
      </c>
      <c r="W29" s="288">
        <v>0</v>
      </c>
      <c r="X29" s="288">
        <v>0</v>
      </c>
      <c r="Y29" s="288">
        <v>0</v>
      </c>
      <c r="Z29" s="288">
        <v>0</v>
      </c>
      <c r="AA29" s="288">
        <v>0</v>
      </c>
      <c r="AB29" s="288">
        <v>0</v>
      </c>
      <c r="AC29" s="288">
        <v>0</v>
      </c>
      <c r="AD29" s="288">
        <v>46392.4</v>
      </c>
      <c r="AE29" s="288">
        <v>0</v>
      </c>
      <c r="AF29" s="1111"/>
    </row>
    <row r="30" spans="1:32" ht="15.75" x14ac:dyDescent="0.25">
      <c r="A30" s="284" t="s">
        <v>33</v>
      </c>
      <c r="B30" s="285">
        <f>H30+J30+L30+N30+P30+R30+T30+V30+X30+Z30+AB30+AD30</f>
        <v>11598.1</v>
      </c>
      <c r="C30" s="285">
        <f t="shared" si="14"/>
        <v>0</v>
      </c>
      <c r="D30" s="285">
        <f t="shared" si="14"/>
        <v>0</v>
      </c>
      <c r="E30" s="285">
        <f>I30+K30+M30+O30+Q30+S30+U30+W30+Y30+AA30+AC30+AE30</f>
        <v>0</v>
      </c>
      <c r="F30" s="285">
        <f t="shared" si="10"/>
        <v>0</v>
      </c>
      <c r="G30" s="285">
        <f t="shared" si="11"/>
        <v>0</v>
      </c>
      <c r="H30" s="285">
        <v>0</v>
      </c>
      <c r="I30" s="285">
        <v>0</v>
      </c>
      <c r="J30" s="285">
        <v>0</v>
      </c>
      <c r="K30" s="285">
        <v>0</v>
      </c>
      <c r="L30" s="285">
        <v>0</v>
      </c>
      <c r="M30" s="285">
        <v>0</v>
      </c>
      <c r="N30" s="285">
        <v>0</v>
      </c>
      <c r="O30" s="285">
        <v>0</v>
      </c>
      <c r="P30" s="285">
        <v>0</v>
      </c>
      <c r="Q30" s="285">
        <v>0</v>
      </c>
      <c r="R30" s="285">
        <v>0</v>
      </c>
      <c r="S30" s="285">
        <v>0</v>
      </c>
      <c r="T30" s="285">
        <v>0</v>
      </c>
      <c r="U30" s="285">
        <v>0</v>
      </c>
      <c r="V30" s="285">
        <v>0</v>
      </c>
      <c r="W30" s="285">
        <v>0</v>
      </c>
      <c r="X30" s="285">
        <v>0</v>
      </c>
      <c r="Y30" s="285">
        <v>0</v>
      </c>
      <c r="Z30" s="285">
        <v>0</v>
      </c>
      <c r="AA30" s="285">
        <v>0</v>
      </c>
      <c r="AB30" s="285">
        <v>0</v>
      </c>
      <c r="AC30" s="285">
        <v>0</v>
      </c>
      <c r="AD30" s="285">
        <v>11598.1</v>
      </c>
      <c r="AE30" s="285">
        <v>0</v>
      </c>
      <c r="AF30" s="1111"/>
    </row>
    <row r="31" spans="1:32" ht="31.5" x14ac:dyDescent="0.25">
      <c r="A31" s="296" t="s">
        <v>174</v>
      </c>
      <c r="B31" s="285">
        <f>H31+J31+L31+N31+P31+R31+T31+V31+X31+Z31+AB31+AD31</f>
        <v>11598.1</v>
      </c>
      <c r="C31" s="285">
        <f t="shared" si="14"/>
        <v>0</v>
      </c>
      <c r="D31" s="285">
        <f t="shared" si="14"/>
        <v>0</v>
      </c>
      <c r="E31" s="285">
        <f>I31+K31+M31+O31+Q31+S31+U31+W31+Y31+AA31+AC31+AE31</f>
        <v>0</v>
      </c>
      <c r="F31" s="285">
        <f t="shared" si="10"/>
        <v>0</v>
      </c>
      <c r="G31" s="285">
        <f t="shared" si="11"/>
        <v>0</v>
      </c>
      <c r="H31" s="285">
        <v>0</v>
      </c>
      <c r="I31" s="285">
        <v>0</v>
      </c>
      <c r="J31" s="285">
        <v>0</v>
      </c>
      <c r="K31" s="285">
        <v>0</v>
      </c>
      <c r="L31" s="285">
        <v>0</v>
      </c>
      <c r="M31" s="285">
        <v>0</v>
      </c>
      <c r="N31" s="285">
        <v>0</v>
      </c>
      <c r="O31" s="285">
        <v>0</v>
      </c>
      <c r="P31" s="285">
        <v>0</v>
      </c>
      <c r="Q31" s="285">
        <v>0</v>
      </c>
      <c r="R31" s="285">
        <v>0</v>
      </c>
      <c r="S31" s="285">
        <v>0</v>
      </c>
      <c r="T31" s="285">
        <v>0</v>
      </c>
      <c r="U31" s="285">
        <v>0</v>
      </c>
      <c r="V31" s="285">
        <v>0</v>
      </c>
      <c r="W31" s="285">
        <v>0</v>
      </c>
      <c r="X31" s="285">
        <v>0</v>
      </c>
      <c r="Y31" s="285">
        <v>0</v>
      </c>
      <c r="Z31" s="285">
        <v>0</v>
      </c>
      <c r="AA31" s="285">
        <v>0</v>
      </c>
      <c r="AB31" s="285">
        <v>0</v>
      </c>
      <c r="AC31" s="285">
        <v>0</v>
      </c>
      <c r="AD31" s="285">
        <v>11598.1</v>
      </c>
      <c r="AE31" s="285">
        <v>0</v>
      </c>
      <c r="AF31" s="1111"/>
    </row>
    <row r="32" spans="1:32" ht="31.5" x14ac:dyDescent="0.25">
      <c r="A32" s="284" t="s">
        <v>374</v>
      </c>
      <c r="B32" s="285">
        <f>H32+J32+L32+N32+P32+R32+T32+V32+X32+Z32+AB32+AD32</f>
        <v>0</v>
      </c>
      <c r="C32" s="285">
        <f t="shared" si="14"/>
        <v>0</v>
      </c>
      <c r="D32" s="285">
        <f t="shared" si="14"/>
        <v>0</v>
      </c>
      <c r="E32" s="285">
        <f>I32+K32+M32+O32+Q32+S32+U32+W32+Y32+AA32+AC32+AE32</f>
        <v>0</v>
      </c>
      <c r="F32" s="285">
        <f t="shared" si="10"/>
        <v>0</v>
      </c>
      <c r="G32" s="285">
        <f t="shared" si="11"/>
        <v>0</v>
      </c>
      <c r="H32" s="285">
        <v>0</v>
      </c>
      <c r="I32" s="285">
        <v>0</v>
      </c>
      <c r="J32" s="285">
        <v>0</v>
      </c>
      <c r="K32" s="285">
        <v>0</v>
      </c>
      <c r="L32" s="285">
        <v>0</v>
      </c>
      <c r="M32" s="285">
        <v>0</v>
      </c>
      <c r="N32" s="285">
        <v>0</v>
      </c>
      <c r="O32" s="285">
        <v>0</v>
      </c>
      <c r="P32" s="285">
        <v>0</v>
      </c>
      <c r="Q32" s="285">
        <v>0</v>
      </c>
      <c r="R32" s="285">
        <v>0</v>
      </c>
      <c r="S32" s="285">
        <v>0</v>
      </c>
      <c r="T32" s="285">
        <v>0</v>
      </c>
      <c r="U32" s="285">
        <v>0</v>
      </c>
      <c r="V32" s="285">
        <v>0</v>
      </c>
      <c r="W32" s="285">
        <v>0</v>
      </c>
      <c r="X32" s="285">
        <v>0</v>
      </c>
      <c r="Y32" s="285">
        <v>0</v>
      </c>
      <c r="Z32" s="285">
        <v>0</v>
      </c>
      <c r="AA32" s="285">
        <v>0</v>
      </c>
      <c r="AB32" s="285">
        <v>0</v>
      </c>
      <c r="AC32" s="285">
        <v>0</v>
      </c>
      <c r="AD32" s="285">
        <v>0</v>
      </c>
      <c r="AE32" s="285">
        <v>0</v>
      </c>
      <c r="AF32" s="1112"/>
    </row>
    <row r="33" spans="1:32" ht="15.75" x14ac:dyDescent="0.25">
      <c r="A33" s="289" t="s">
        <v>35</v>
      </c>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c r="AE33" s="285"/>
      <c r="AF33" s="298"/>
    </row>
    <row r="34" spans="1:32" ht="15.75" x14ac:dyDescent="0.25">
      <c r="A34" s="290" t="s">
        <v>31</v>
      </c>
      <c r="B34" s="282">
        <f>B35+B36+B38</f>
        <v>57990.5</v>
      </c>
      <c r="C34" s="282">
        <f>C35+C36+C38</f>
        <v>0</v>
      </c>
      <c r="D34" s="282">
        <f>D35+D36+D38</f>
        <v>0</v>
      </c>
      <c r="E34" s="282">
        <f>E35+E36+E38</f>
        <v>0</v>
      </c>
      <c r="F34" s="282">
        <f t="shared" si="10"/>
        <v>0</v>
      </c>
      <c r="G34" s="282">
        <f t="shared" si="11"/>
        <v>0</v>
      </c>
      <c r="H34" s="282">
        <f>H35+H36+H38</f>
        <v>0</v>
      </c>
      <c r="I34" s="282">
        <f t="shared" ref="I34:AE34" si="15">I35+I36+I38</f>
        <v>0</v>
      </c>
      <c r="J34" s="282">
        <f t="shared" si="15"/>
        <v>0</v>
      </c>
      <c r="K34" s="282">
        <f t="shared" si="15"/>
        <v>0</v>
      </c>
      <c r="L34" s="282">
        <f t="shared" si="15"/>
        <v>0</v>
      </c>
      <c r="M34" s="282">
        <f t="shared" si="15"/>
        <v>0</v>
      </c>
      <c r="N34" s="282">
        <f t="shared" si="15"/>
        <v>0</v>
      </c>
      <c r="O34" s="282">
        <f t="shared" si="15"/>
        <v>0</v>
      </c>
      <c r="P34" s="282">
        <f t="shared" si="15"/>
        <v>0</v>
      </c>
      <c r="Q34" s="282">
        <f t="shared" si="15"/>
        <v>0</v>
      </c>
      <c r="R34" s="282">
        <f t="shared" si="15"/>
        <v>0</v>
      </c>
      <c r="S34" s="282">
        <f t="shared" si="15"/>
        <v>0</v>
      </c>
      <c r="T34" s="282">
        <f t="shared" si="15"/>
        <v>0</v>
      </c>
      <c r="U34" s="282">
        <f t="shared" si="15"/>
        <v>0</v>
      </c>
      <c r="V34" s="282">
        <f t="shared" si="15"/>
        <v>0</v>
      </c>
      <c r="W34" s="282">
        <f t="shared" si="15"/>
        <v>0</v>
      </c>
      <c r="X34" s="282">
        <f t="shared" si="15"/>
        <v>0</v>
      </c>
      <c r="Y34" s="282">
        <f t="shared" si="15"/>
        <v>0</v>
      </c>
      <c r="Z34" s="282">
        <f t="shared" si="15"/>
        <v>0</v>
      </c>
      <c r="AA34" s="282">
        <f t="shared" si="15"/>
        <v>0</v>
      </c>
      <c r="AB34" s="282">
        <f t="shared" si="15"/>
        <v>0</v>
      </c>
      <c r="AC34" s="282">
        <f t="shared" si="15"/>
        <v>0</v>
      </c>
      <c r="AD34" s="282">
        <f t="shared" si="15"/>
        <v>57990.5</v>
      </c>
      <c r="AE34" s="282">
        <f t="shared" si="15"/>
        <v>0</v>
      </c>
      <c r="AF34" s="283"/>
    </row>
    <row r="35" spans="1:32" ht="15.75" x14ac:dyDescent="0.25">
      <c r="A35" s="291" t="s">
        <v>32</v>
      </c>
      <c r="B35" s="285">
        <f>H35+J35+L35+N35+P35+R35+T35+V35+X35+Z35+AB35+AD35</f>
        <v>46392.4</v>
      </c>
      <c r="C35" s="285">
        <f t="shared" ref="C35:D38" si="16">H35+J35+L35+N35</f>
        <v>0</v>
      </c>
      <c r="D35" s="285">
        <f t="shared" si="16"/>
        <v>0</v>
      </c>
      <c r="E35" s="285">
        <f>I35+K35+M35+O35+Q35+S35+U35+W35+Y35+AA35+AC35+AE35</f>
        <v>0</v>
      </c>
      <c r="F35" s="285">
        <f t="shared" si="10"/>
        <v>0</v>
      </c>
      <c r="G35" s="285">
        <f t="shared" si="11"/>
        <v>0</v>
      </c>
      <c r="H35" s="285">
        <f t="shared" ref="H35:AE38" si="17">H23</f>
        <v>0</v>
      </c>
      <c r="I35" s="285">
        <f t="shared" si="17"/>
        <v>0</v>
      </c>
      <c r="J35" s="285">
        <f t="shared" si="17"/>
        <v>0</v>
      </c>
      <c r="K35" s="285">
        <f t="shared" si="17"/>
        <v>0</v>
      </c>
      <c r="L35" s="285">
        <f t="shared" si="17"/>
        <v>0</v>
      </c>
      <c r="M35" s="285">
        <f t="shared" si="17"/>
        <v>0</v>
      </c>
      <c r="N35" s="285">
        <f t="shared" si="17"/>
        <v>0</v>
      </c>
      <c r="O35" s="285">
        <f t="shared" si="17"/>
        <v>0</v>
      </c>
      <c r="P35" s="285">
        <f t="shared" si="17"/>
        <v>0</v>
      </c>
      <c r="Q35" s="285">
        <f t="shared" si="17"/>
        <v>0</v>
      </c>
      <c r="R35" s="285">
        <f t="shared" si="17"/>
        <v>0</v>
      </c>
      <c r="S35" s="285">
        <f t="shared" si="17"/>
        <v>0</v>
      </c>
      <c r="T35" s="285">
        <f t="shared" si="17"/>
        <v>0</v>
      </c>
      <c r="U35" s="285">
        <f t="shared" si="17"/>
        <v>0</v>
      </c>
      <c r="V35" s="285">
        <f t="shared" si="17"/>
        <v>0</v>
      </c>
      <c r="W35" s="285">
        <f t="shared" si="17"/>
        <v>0</v>
      </c>
      <c r="X35" s="285">
        <f t="shared" si="17"/>
        <v>0</v>
      </c>
      <c r="Y35" s="285">
        <f t="shared" si="17"/>
        <v>0</v>
      </c>
      <c r="Z35" s="285">
        <f t="shared" si="17"/>
        <v>0</v>
      </c>
      <c r="AA35" s="285">
        <f t="shared" si="17"/>
        <v>0</v>
      </c>
      <c r="AB35" s="285">
        <f t="shared" si="17"/>
        <v>0</v>
      </c>
      <c r="AC35" s="285">
        <f t="shared" si="17"/>
        <v>0</v>
      </c>
      <c r="AD35" s="285">
        <f t="shared" si="17"/>
        <v>46392.4</v>
      </c>
      <c r="AE35" s="285">
        <f t="shared" si="17"/>
        <v>0</v>
      </c>
      <c r="AF35" s="286"/>
    </row>
    <row r="36" spans="1:32" ht="15.75" x14ac:dyDescent="0.25">
      <c r="A36" s="291" t="s">
        <v>33</v>
      </c>
      <c r="B36" s="285">
        <f>H36+J36+L36+N36+P36+R36+T36+V36+X36+Z36+AB36+AD36</f>
        <v>11598.1</v>
      </c>
      <c r="C36" s="285">
        <f t="shared" si="16"/>
        <v>0</v>
      </c>
      <c r="D36" s="285">
        <f t="shared" si="16"/>
        <v>0</v>
      </c>
      <c r="E36" s="285">
        <f>I36+K36+M36+O36+Q36+S36+U36+W36+Y36+AA36+AC36+AE36</f>
        <v>0</v>
      </c>
      <c r="F36" s="285">
        <f t="shared" si="10"/>
        <v>0</v>
      </c>
      <c r="G36" s="285">
        <f t="shared" si="11"/>
        <v>0</v>
      </c>
      <c r="H36" s="285">
        <f t="shared" si="17"/>
        <v>0</v>
      </c>
      <c r="I36" s="285">
        <f t="shared" si="17"/>
        <v>0</v>
      </c>
      <c r="J36" s="285">
        <f t="shared" si="17"/>
        <v>0</v>
      </c>
      <c r="K36" s="285">
        <f t="shared" si="17"/>
        <v>0</v>
      </c>
      <c r="L36" s="285">
        <f t="shared" si="17"/>
        <v>0</v>
      </c>
      <c r="M36" s="285">
        <f t="shared" si="17"/>
        <v>0</v>
      </c>
      <c r="N36" s="285">
        <f t="shared" si="17"/>
        <v>0</v>
      </c>
      <c r="O36" s="285">
        <f t="shared" si="17"/>
        <v>0</v>
      </c>
      <c r="P36" s="285">
        <f t="shared" si="17"/>
        <v>0</v>
      </c>
      <c r="Q36" s="285">
        <f t="shared" si="17"/>
        <v>0</v>
      </c>
      <c r="R36" s="285">
        <f t="shared" si="17"/>
        <v>0</v>
      </c>
      <c r="S36" s="285">
        <f t="shared" si="17"/>
        <v>0</v>
      </c>
      <c r="T36" s="285">
        <f t="shared" si="17"/>
        <v>0</v>
      </c>
      <c r="U36" s="285">
        <f t="shared" si="17"/>
        <v>0</v>
      </c>
      <c r="V36" s="285">
        <f t="shared" si="17"/>
        <v>0</v>
      </c>
      <c r="W36" s="285">
        <f t="shared" si="17"/>
        <v>0</v>
      </c>
      <c r="X36" s="285">
        <f t="shared" si="17"/>
        <v>0</v>
      </c>
      <c r="Y36" s="285">
        <f t="shared" si="17"/>
        <v>0</v>
      </c>
      <c r="Z36" s="285">
        <f t="shared" si="17"/>
        <v>0</v>
      </c>
      <c r="AA36" s="285">
        <f t="shared" si="17"/>
        <v>0</v>
      </c>
      <c r="AB36" s="285">
        <f t="shared" si="17"/>
        <v>0</v>
      </c>
      <c r="AC36" s="285">
        <f t="shared" si="17"/>
        <v>0</v>
      </c>
      <c r="AD36" s="285">
        <f t="shared" si="17"/>
        <v>11598.1</v>
      </c>
      <c r="AE36" s="285">
        <f t="shared" si="17"/>
        <v>0</v>
      </c>
      <c r="AF36" s="286"/>
    </row>
    <row r="37" spans="1:32" ht="31.5" x14ac:dyDescent="0.25">
      <c r="A37" s="299" t="s">
        <v>174</v>
      </c>
      <c r="B37" s="285">
        <f>H37+J37+L37+N37+P37+R37+T37+V37+X37+Z37+AB37+AD37</f>
        <v>11598.1</v>
      </c>
      <c r="C37" s="285">
        <f t="shared" si="16"/>
        <v>0</v>
      </c>
      <c r="D37" s="285">
        <f t="shared" si="16"/>
        <v>0</v>
      </c>
      <c r="E37" s="285">
        <f>I37+K37+M37+O37+Q37+S37+U37+W37+Y37+AA37+AC37+AE37</f>
        <v>0</v>
      </c>
      <c r="F37" s="285">
        <f t="shared" si="10"/>
        <v>0</v>
      </c>
      <c r="G37" s="285">
        <f t="shared" si="11"/>
        <v>0</v>
      </c>
      <c r="H37" s="285">
        <f t="shared" si="17"/>
        <v>0</v>
      </c>
      <c r="I37" s="285">
        <f t="shared" si="17"/>
        <v>0</v>
      </c>
      <c r="J37" s="285">
        <f t="shared" si="17"/>
        <v>0</v>
      </c>
      <c r="K37" s="285">
        <f t="shared" si="17"/>
        <v>0</v>
      </c>
      <c r="L37" s="285">
        <f t="shared" si="17"/>
        <v>0</v>
      </c>
      <c r="M37" s="285">
        <f t="shared" si="17"/>
        <v>0</v>
      </c>
      <c r="N37" s="285">
        <f t="shared" si="17"/>
        <v>0</v>
      </c>
      <c r="O37" s="285">
        <f t="shared" si="17"/>
        <v>0</v>
      </c>
      <c r="P37" s="285">
        <f t="shared" si="17"/>
        <v>0</v>
      </c>
      <c r="Q37" s="285">
        <f t="shared" si="17"/>
        <v>0</v>
      </c>
      <c r="R37" s="285">
        <f t="shared" si="17"/>
        <v>0</v>
      </c>
      <c r="S37" s="285">
        <f t="shared" si="17"/>
        <v>0</v>
      </c>
      <c r="T37" s="285">
        <f t="shared" si="17"/>
        <v>0</v>
      </c>
      <c r="U37" s="285">
        <f t="shared" si="17"/>
        <v>0</v>
      </c>
      <c r="V37" s="285">
        <f t="shared" si="17"/>
        <v>0</v>
      </c>
      <c r="W37" s="285">
        <f t="shared" si="17"/>
        <v>0</v>
      </c>
      <c r="X37" s="285">
        <f t="shared" si="17"/>
        <v>0</v>
      </c>
      <c r="Y37" s="285">
        <f t="shared" si="17"/>
        <v>0</v>
      </c>
      <c r="Z37" s="285">
        <f t="shared" si="17"/>
        <v>0</v>
      </c>
      <c r="AA37" s="285">
        <f t="shared" si="17"/>
        <v>0</v>
      </c>
      <c r="AB37" s="285">
        <f t="shared" si="17"/>
        <v>0</v>
      </c>
      <c r="AC37" s="285">
        <f t="shared" si="17"/>
        <v>0</v>
      </c>
      <c r="AD37" s="285">
        <f t="shared" si="17"/>
        <v>11598.1</v>
      </c>
      <c r="AE37" s="285">
        <f t="shared" si="17"/>
        <v>0</v>
      </c>
      <c r="AF37" s="286"/>
    </row>
    <row r="38" spans="1:32" ht="31.5" x14ac:dyDescent="0.25">
      <c r="A38" s="291" t="s">
        <v>374</v>
      </c>
      <c r="B38" s="285">
        <f>H38+J38+L38+N38+P38+R38+T38+V38+X38+Z38+AB38+AD38</f>
        <v>0</v>
      </c>
      <c r="C38" s="285">
        <f t="shared" si="16"/>
        <v>0</v>
      </c>
      <c r="D38" s="285">
        <f t="shared" si="16"/>
        <v>0</v>
      </c>
      <c r="E38" s="285">
        <f>I38+K38+M38+O38+Q38+S38+U38+W38+Y38+AA38+AC38+AE38</f>
        <v>0</v>
      </c>
      <c r="F38" s="285">
        <f t="shared" si="10"/>
        <v>0</v>
      </c>
      <c r="G38" s="285">
        <f t="shared" si="11"/>
        <v>0</v>
      </c>
      <c r="H38" s="285">
        <f t="shared" si="17"/>
        <v>0</v>
      </c>
      <c r="I38" s="285">
        <f t="shared" si="17"/>
        <v>0</v>
      </c>
      <c r="J38" s="285">
        <f t="shared" si="17"/>
        <v>0</v>
      </c>
      <c r="K38" s="285">
        <f t="shared" si="17"/>
        <v>0</v>
      </c>
      <c r="L38" s="285">
        <f t="shared" si="17"/>
        <v>0</v>
      </c>
      <c r="M38" s="285">
        <f t="shared" si="17"/>
        <v>0</v>
      </c>
      <c r="N38" s="285">
        <f t="shared" si="17"/>
        <v>0</v>
      </c>
      <c r="O38" s="285">
        <f t="shared" si="17"/>
        <v>0</v>
      </c>
      <c r="P38" s="285">
        <f t="shared" si="17"/>
        <v>0</v>
      </c>
      <c r="Q38" s="285">
        <f t="shared" si="17"/>
        <v>0</v>
      </c>
      <c r="R38" s="285">
        <f t="shared" si="17"/>
        <v>0</v>
      </c>
      <c r="S38" s="285">
        <f t="shared" si="17"/>
        <v>0</v>
      </c>
      <c r="T38" s="285">
        <f t="shared" si="17"/>
        <v>0</v>
      </c>
      <c r="U38" s="285">
        <f t="shared" si="17"/>
        <v>0</v>
      </c>
      <c r="V38" s="285">
        <f t="shared" si="17"/>
        <v>0</v>
      </c>
      <c r="W38" s="285">
        <f t="shared" si="17"/>
        <v>0</v>
      </c>
      <c r="X38" s="285">
        <f t="shared" si="17"/>
        <v>0</v>
      </c>
      <c r="Y38" s="285">
        <f t="shared" si="17"/>
        <v>0</v>
      </c>
      <c r="Z38" s="285">
        <f t="shared" si="17"/>
        <v>0</v>
      </c>
      <c r="AA38" s="285">
        <f t="shared" si="17"/>
        <v>0</v>
      </c>
      <c r="AB38" s="285">
        <f t="shared" si="17"/>
        <v>0</v>
      </c>
      <c r="AC38" s="285">
        <f t="shared" si="17"/>
        <v>0</v>
      </c>
      <c r="AD38" s="285">
        <f t="shared" si="17"/>
        <v>0</v>
      </c>
      <c r="AE38" s="285">
        <f t="shared" si="17"/>
        <v>0</v>
      </c>
      <c r="AF38" s="286"/>
    </row>
    <row r="39" spans="1:32" ht="15.75" x14ac:dyDescent="0.25">
      <c r="A39" s="1121" t="s">
        <v>499</v>
      </c>
      <c r="B39" s="1121"/>
      <c r="C39" s="1121"/>
      <c r="D39" s="1121"/>
      <c r="E39" s="1121"/>
      <c r="F39" s="1121"/>
      <c r="G39" s="1121"/>
      <c r="H39" s="1121"/>
      <c r="I39" s="1121"/>
      <c r="J39" s="1121"/>
      <c r="K39" s="1121"/>
      <c r="L39" s="1121"/>
      <c r="M39" s="1121"/>
      <c r="N39" s="1121"/>
      <c r="O39" s="1121"/>
      <c r="P39" s="1121"/>
      <c r="Q39" s="1121"/>
      <c r="R39" s="1121"/>
      <c r="S39" s="1121"/>
      <c r="T39" s="1121"/>
      <c r="U39" s="1121"/>
      <c r="V39" s="1121"/>
      <c r="W39" s="1121"/>
      <c r="X39" s="1121"/>
      <c r="Y39" s="1121"/>
      <c r="Z39" s="1121"/>
      <c r="AA39" s="1121"/>
      <c r="AB39" s="1121"/>
      <c r="AC39" s="1121"/>
      <c r="AD39" s="1122"/>
      <c r="AE39" s="292"/>
      <c r="AF39" s="292"/>
    </row>
    <row r="40" spans="1:32" ht="15.75" x14ac:dyDescent="0.25">
      <c r="A40" s="1123" t="s">
        <v>54</v>
      </c>
      <c r="B40" s="1123"/>
      <c r="C40" s="1123"/>
      <c r="D40" s="1123"/>
      <c r="E40" s="1123"/>
      <c r="F40" s="1123"/>
      <c r="G40" s="1123"/>
      <c r="H40" s="1123"/>
      <c r="I40" s="1123"/>
      <c r="J40" s="1123"/>
      <c r="K40" s="1123"/>
      <c r="L40" s="1123"/>
      <c r="M40" s="1123"/>
      <c r="N40" s="1123"/>
      <c r="O40" s="1123"/>
      <c r="P40" s="1123"/>
      <c r="Q40" s="1123"/>
      <c r="R40" s="1123"/>
      <c r="S40" s="1123"/>
      <c r="T40" s="1123"/>
      <c r="U40" s="1123"/>
      <c r="V40" s="1123"/>
      <c r="W40" s="1123"/>
      <c r="X40" s="1123"/>
      <c r="Y40" s="1123"/>
      <c r="Z40" s="1123"/>
      <c r="AA40" s="1123"/>
      <c r="AB40" s="1123"/>
      <c r="AC40" s="1123"/>
      <c r="AD40" s="1123"/>
      <c r="AE40" s="1124"/>
      <c r="AF40" s="292"/>
    </row>
    <row r="41" spans="1:32" ht="15.75" x14ac:dyDescent="0.25">
      <c r="A41" s="279" t="s">
        <v>395</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294"/>
      <c r="AF41" s="292"/>
    </row>
    <row r="42" spans="1:32" ht="15.75" x14ac:dyDescent="0.25">
      <c r="A42" s="281" t="s">
        <v>31</v>
      </c>
      <c r="B42" s="282">
        <f>B43+B44+B46</f>
        <v>146070.70300000001</v>
      </c>
      <c r="C42" s="282">
        <f>C43+C44+C46</f>
        <v>33401.334999999999</v>
      </c>
      <c r="D42" s="282">
        <f>D43+D44+D46</f>
        <v>0</v>
      </c>
      <c r="E42" s="282">
        <f>E43+E44+E46</f>
        <v>0</v>
      </c>
      <c r="F42" s="282">
        <f>IFERROR(E42/B42*100,0)</f>
        <v>0</v>
      </c>
      <c r="G42" s="282">
        <f>IFERROR(E42/C42*100,0)</f>
        <v>0</v>
      </c>
      <c r="H42" s="282">
        <f>H43+H44+H46</f>
        <v>0</v>
      </c>
      <c r="I42" s="282">
        <f t="shared" ref="I42:AE42" si="18">I43+I44+I46</f>
        <v>0</v>
      </c>
      <c r="J42" s="282">
        <f t="shared" si="18"/>
        <v>2609.3220000000001</v>
      </c>
      <c r="K42" s="282">
        <f t="shared" si="18"/>
        <v>0</v>
      </c>
      <c r="L42" s="282">
        <f t="shared" si="18"/>
        <v>30792.012999999999</v>
      </c>
      <c r="M42" s="282">
        <f t="shared" si="18"/>
        <v>0</v>
      </c>
      <c r="N42" s="282">
        <f t="shared" si="18"/>
        <v>0</v>
      </c>
      <c r="O42" s="282">
        <f t="shared" si="18"/>
        <v>0</v>
      </c>
      <c r="P42" s="282">
        <f t="shared" si="18"/>
        <v>0</v>
      </c>
      <c r="Q42" s="282">
        <f t="shared" si="18"/>
        <v>0</v>
      </c>
      <c r="R42" s="282">
        <f>R43+R44+R46</f>
        <v>1847.1479999999999</v>
      </c>
      <c r="S42" s="282">
        <f t="shared" si="18"/>
        <v>0</v>
      </c>
      <c r="T42" s="282">
        <f t="shared" si="18"/>
        <v>8060.7119400000001</v>
      </c>
      <c r="U42" s="282">
        <f t="shared" si="18"/>
        <v>0</v>
      </c>
      <c r="V42" s="282">
        <f t="shared" si="18"/>
        <v>0</v>
      </c>
      <c r="W42" s="282">
        <f t="shared" si="18"/>
        <v>0</v>
      </c>
      <c r="X42" s="282">
        <f t="shared" si="18"/>
        <v>118</v>
      </c>
      <c r="Y42" s="282">
        <f t="shared" si="18"/>
        <v>0</v>
      </c>
      <c r="Z42" s="282">
        <f t="shared" si="18"/>
        <v>0</v>
      </c>
      <c r="AA42" s="282">
        <f t="shared" si="18"/>
        <v>0</v>
      </c>
      <c r="AB42" s="282">
        <f t="shared" si="18"/>
        <v>76561.68806</v>
      </c>
      <c r="AC42" s="282">
        <f t="shared" si="18"/>
        <v>0</v>
      </c>
      <c r="AD42" s="282">
        <f t="shared" si="18"/>
        <v>26081.82</v>
      </c>
      <c r="AE42" s="282">
        <f t="shared" si="18"/>
        <v>0</v>
      </c>
      <c r="AF42" s="283"/>
    </row>
    <row r="43" spans="1:32" ht="15.75" x14ac:dyDescent="0.25">
      <c r="A43" s="284" t="s">
        <v>32</v>
      </c>
      <c r="B43" s="285">
        <f>H43+J43+L43+N43+P43+R43+T43+V43+X43+Z43+AB43+AD43</f>
        <v>80391.3</v>
      </c>
      <c r="C43" s="285">
        <f>H43+J43+L43+N43+P43</f>
        <v>0</v>
      </c>
      <c r="D43" s="285">
        <f>D49</f>
        <v>0</v>
      </c>
      <c r="E43" s="285">
        <f>E49</f>
        <v>0</v>
      </c>
      <c r="F43" s="285">
        <f>IFERROR(E43/B43*100,0)</f>
        <v>0</v>
      </c>
      <c r="G43" s="285">
        <f>IFERROR(E43/C43*100,0)</f>
        <v>0</v>
      </c>
      <c r="H43" s="285">
        <f t="shared" ref="H43:Q43" si="19">H49</f>
        <v>0</v>
      </c>
      <c r="I43" s="285">
        <f t="shared" si="19"/>
        <v>0</v>
      </c>
      <c r="J43" s="285">
        <f t="shared" si="19"/>
        <v>0</v>
      </c>
      <c r="K43" s="285">
        <f t="shared" si="19"/>
        <v>0</v>
      </c>
      <c r="L43" s="285">
        <f t="shared" si="19"/>
        <v>0</v>
      </c>
      <c r="M43" s="285">
        <f t="shared" si="19"/>
        <v>0</v>
      </c>
      <c r="N43" s="285">
        <f t="shared" si="19"/>
        <v>0</v>
      </c>
      <c r="O43" s="285">
        <f t="shared" si="19"/>
        <v>0</v>
      </c>
      <c r="P43" s="285">
        <f t="shared" si="19"/>
        <v>0</v>
      </c>
      <c r="Q43" s="285">
        <f t="shared" si="19"/>
        <v>0</v>
      </c>
      <c r="R43" s="285">
        <f>R49+R53+R61</f>
        <v>0</v>
      </c>
      <c r="S43" s="285">
        <f>S49+S53+S61</f>
        <v>0</v>
      </c>
      <c r="T43" s="285">
        <f>T49+T55+T61</f>
        <v>7657.67634</v>
      </c>
      <c r="U43" s="285">
        <f t="shared" ref="U43:AD44" si="20">U49+U55+U61</f>
        <v>0</v>
      </c>
      <c r="V43" s="285">
        <f t="shared" si="20"/>
        <v>0</v>
      </c>
      <c r="W43" s="285">
        <f t="shared" si="20"/>
        <v>0</v>
      </c>
      <c r="X43" s="285">
        <f t="shared" si="20"/>
        <v>0</v>
      </c>
      <c r="Y43" s="285">
        <f t="shared" si="20"/>
        <v>0</v>
      </c>
      <c r="Z43" s="285">
        <f t="shared" si="20"/>
        <v>0</v>
      </c>
      <c r="AA43" s="285">
        <f t="shared" si="20"/>
        <v>0</v>
      </c>
      <c r="AB43" s="285">
        <f t="shared" si="20"/>
        <v>72733.623659999997</v>
      </c>
      <c r="AC43" s="285">
        <f t="shared" si="20"/>
        <v>0</v>
      </c>
      <c r="AD43" s="285">
        <f t="shared" si="20"/>
        <v>0</v>
      </c>
      <c r="AE43" s="285">
        <f>AE49</f>
        <v>0</v>
      </c>
      <c r="AF43" s="286"/>
    </row>
    <row r="44" spans="1:32" ht="15.75" x14ac:dyDescent="0.25">
      <c r="A44" s="284" t="s">
        <v>33</v>
      </c>
      <c r="B44" s="285">
        <f>H44+J44+L44+N44+P44+R44+T44+V44+X44+Z44+AB44+AD44</f>
        <v>4456.8</v>
      </c>
      <c r="C44" s="285">
        <f>H44+J44+L44+N44+P44</f>
        <v>0</v>
      </c>
      <c r="D44" s="285">
        <v>0</v>
      </c>
      <c r="E44" s="285">
        <f t="shared" ref="D44:E46" si="21">E50</f>
        <v>0</v>
      </c>
      <c r="F44" s="285">
        <f>IFERROR(E44/B44*100,0)</f>
        <v>0</v>
      </c>
      <c r="G44" s="285">
        <f>IFERROR(E44/C44*100,0)</f>
        <v>0</v>
      </c>
      <c r="H44" s="285">
        <f t="shared" ref="H44:Q46" si="22">H50</f>
        <v>0</v>
      </c>
      <c r="I44" s="285">
        <f t="shared" si="22"/>
        <v>0</v>
      </c>
      <c r="J44" s="285">
        <f t="shared" si="22"/>
        <v>0</v>
      </c>
      <c r="K44" s="285">
        <f t="shared" si="22"/>
        <v>0</v>
      </c>
      <c r="L44" s="285">
        <f t="shared" si="22"/>
        <v>0</v>
      </c>
      <c r="M44" s="285">
        <f t="shared" si="22"/>
        <v>0</v>
      </c>
      <c r="N44" s="285">
        <f t="shared" si="22"/>
        <v>0</v>
      </c>
      <c r="O44" s="285">
        <f t="shared" si="22"/>
        <v>0</v>
      </c>
      <c r="P44" s="285">
        <f t="shared" si="22"/>
        <v>0</v>
      </c>
      <c r="Q44" s="285">
        <f t="shared" si="22"/>
        <v>0</v>
      </c>
      <c r="R44" s="285">
        <f>R50+R56+R62</f>
        <v>107.6</v>
      </c>
      <c r="S44" s="285">
        <f>S50+S56+S62</f>
        <v>0</v>
      </c>
      <c r="T44" s="285">
        <f>T50+T56+T62</f>
        <v>403.03559999999999</v>
      </c>
      <c r="U44" s="285">
        <f t="shared" si="20"/>
        <v>0</v>
      </c>
      <c r="V44" s="285">
        <f t="shared" si="20"/>
        <v>0</v>
      </c>
      <c r="W44" s="285">
        <f t="shared" si="20"/>
        <v>0</v>
      </c>
      <c r="X44" s="285">
        <f t="shared" si="20"/>
        <v>118</v>
      </c>
      <c r="Y44" s="285">
        <f t="shared" si="20"/>
        <v>0</v>
      </c>
      <c r="Z44" s="285">
        <f t="shared" si="20"/>
        <v>0</v>
      </c>
      <c r="AA44" s="285">
        <f t="shared" si="20"/>
        <v>0</v>
      </c>
      <c r="AB44" s="285">
        <f t="shared" si="20"/>
        <v>3828.0643999999998</v>
      </c>
      <c r="AC44" s="285">
        <f t="shared" si="20"/>
        <v>0</v>
      </c>
      <c r="AD44" s="285">
        <f t="shared" si="20"/>
        <v>0.1</v>
      </c>
      <c r="AE44" s="285">
        <f>AE50</f>
        <v>0</v>
      </c>
      <c r="AF44" s="286"/>
    </row>
    <row r="45" spans="1:32" ht="31.5" x14ac:dyDescent="0.25">
      <c r="A45" s="296" t="s">
        <v>174</v>
      </c>
      <c r="B45" s="285">
        <f>H45+J45+L45+N45+P45+R45+T45+V45+X45+Z45+AB45+AD45</f>
        <v>4231.2</v>
      </c>
      <c r="C45" s="285">
        <f>H45+J45+L45+N45+P45</f>
        <v>0</v>
      </c>
      <c r="D45" s="285">
        <f>D51</f>
        <v>0</v>
      </c>
      <c r="E45" s="285">
        <f t="shared" si="21"/>
        <v>0</v>
      </c>
      <c r="F45" s="285">
        <f>IFERROR(E45/B45*100,0)</f>
        <v>0</v>
      </c>
      <c r="G45" s="285">
        <f>IFERROR(E45/C45*100,0)</f>
        <v>0</v>
      </c>
      <c r="H45" s="285">
        <f t="shared" si="22"/>
        <v>0</v>
      </c>
      <c r="I45" s="285">
        <f t="shared" si="22"/>
        <v>0</v>
      </c>
      <c r="J45" s="285">
        <f t="shared" si="22"/>
        <v>0</v>
      </c>
      <c r="K45" s="285">
        <f t="shared" si="22"/>
        <v>0</v>
      </c>
      <c r="L45" s="285">
        <f t="shared" si="22"/>
        <v>0</v>
      </c>
      <c r="M45" s="285">
        <f t="shared" si="22"/>
        <v>0</v>
      </c>
      <c r="N45" s="285">
        <f t="shared" si="22"/>
        <v>0</v>
      </c>
      <c r="O45" s="285">
        <f t="shared" si="22"/>
        <v>0</v>
      </c>
      <c r="P45" s="285">
        <f t="shared" si="22"/>
        <v>0</v>
      </c>
      <c r="Q45" s="285">
        <f t="shared" si="22"/>
        <v>0</v>
      </c>
      <c r="R45" s="285">
        <f>R51+R57+R63</f>
        <v>0</v>
      </c>
      <c r="S45" s="285">
        <f t="shared" ref="S45:AD46" si="23">S51+S57+S63</f>
        <v>0</v>
      </c>
      <c r="T45" s="285">
        <f t="shared" si="23"/>
        <v>403.03559999999999</v>
      </c>
      <c r="U45" s="285">
        <f t="shared" si="23"/>
        <v>0</v>
      </c>
      <c r="V45" s="285">
        <f t="shared" si="23"/>
        <v>0</v>
      </c>
      <c r="W45" s="285">
        <f t="shared" si="23"/>
        <v>0</v>
      </c>
      <c r="X45" s="285">
        <f t="shared" si="23"/>
        <v>0</v>
      </c>
      <c r="Y45" s="285">
        <f t="shared" si="23"/>
        <v>0</v>
      </c>
      <c r="Z45" s="285">
        <f t="shared" si="23"/>
        <v>0</v>
      </c>
      <c r="AA45" s="285">
        <f t="shared" si="23"/>
        <v>0</v>
      </c>
      <c r="AB45" s="285">
        <f t="shared" si="23"/>
        <v>3828.0643999999998</v>
      </c>
      <c r="AC45" s="285">
        <f t="shared" si="23"/>
        <v>0</v>
      </c>
      <c r="AD45" s="285">
        <f t="shared" si="23"/>
        <v>0.1</v>
      </c>
      <c r="AE45" s="285">
        <f>AE51</f>
        <v>0</v>
      </c>
      <c r="AF45" s="286"/>
    </row>
    <row r="46" spans="1:32" ht="31.5" x14ac:dyDescent="0.25">
      <c r="A46" s="284" t="s">
        <v>374</v>
      </c>
      <c r="B46" s="285">
        <f>H46+J46+L46+N46+P46+R46+T46+V46+X46+Z46+AB46+AD46</f>
        <v>61222.603000000003</v>
      </c>
      <c r="C46" s="285">
        <f>H46+J46+L46+N46+P46</f>
        <v>33401.334999999999</v>
      </c>
      <c r="D46" s="285">
        <f t="shared" si="21"/>
        <v>0</v>
      </c>
      <c r="E46" s="285">
        <f t="shared" si="21"/>
        <v>0</v>
      </c>
      <c r="F46" s="285">
        <f>IFERROR(E46/B46*100,0)</f>
        <v>0</v>
      </c>
      <c r="G46" s="285">
        <f>IFERROR(E46/C46*100,0)</f>
        <v>0</v>
      </c>
      <c r="H46" s="285">
        <f t="shared" si="22"/>
        <v>0</v>
      </c>
      <c r="I46" s="285">
        <f t="shared" si="22"/>
        <v>0</v>
      </c>
      <c r="J46" s="285">
        <f t="shared" si="22"/>
        <v>2609.3220000000001</v>
      </c>
      <c r="K46" s="285">
        <f t="shared" si="22"/>
        <v>0</v>
      </c>
      <c r="L46" s="285">
        <f t="shared" si="22"/>
        <v>30792.012999999999</v>
      </c>
      <c r="M46" s="285">
        <f t="shared" si="22"/>
        <v>0</v>
      </c>
      <c r="N46" s="285">
        <f t="shared" si="22"/>
        <v>0</v>
      </c>
      <c r="O46" s="285">
        <f t="shared" si="22"/>
        <v>0</v>
      </c>
      <c r="P46" s="285">
        <f t="shared" si="22"/>
        <v>0</v>
      </c>
      <c r="Q46" s="285">
        <f t="shared" si="22"/>
        <v>0</v>
      </c>
      <c r="R46" s="285">
        <f>R52+R58+R64</f>
        <v>1739.548</v>
      </c>
      <c r="S46" s="285">
        <f t="shared" si="23"/>
        <v>0</v>
      </c>
      <c r="T46" s="285">
        <f t="shared" si="23"/>
        <v>0</v>
      </c>
      <c r="U46" s="285">
        <f t="shared" si="23"/>
        <v>0</v>
      </c>
      <c r="V46" s="285">
        <f t="shared" si="23"/>
        <v>0</v>
      </c>
      <c r="W46" s="285">
        <f t="shared" si="23"/>
        <v>0</v>
      </c>
      <c r="X46" s="285">
        <f t="shared" si="23"/>
        <v>0</v>
      </c>
      <c r="Y46" s="285">
        <f t="shared" si="23"/>
        <v>0</v>
      </c>
      <c r="Z46" s="285">
        <f t="shared" si="23"/>
        <v>0</v>
      </c>
      <c r="AA46" s="285">
        <f t="shared" si="23"/>
        <v>0</v>
      </c>
      <c r="AB46" s="285">
        <f t="shared" si="23"/>
        <v>0</v>
      </c>
      <c r="AC46" s="285">
        <f t="shared" si="23"/>
        <v>0</v>
      </c>
      <c r="AD46" s="285">
        <f t="shared" si="23"/>
        <v>26081.72</v>
      </c>
      <c r="AE46" s="285">
        <f>AE52</f>
        <v>0</v>
      </c>
      <c r="AF46" s="286"/>
    </row>
    <row r="47" spans="1:32" ht="15.75" x14ac:dyDescent="0.25">
      <c r="A47" s="279" t="s">
        <v>564</v>
      </c>
      <c r="B47" s="300"/>
      <c r="C47" s="300"/>
      <c r="D47" s="300"/>
      <c r="E47" s="300"/>
      <c r="F47" s="300"/>
      <c r="G47" s="300"/>
      <c r="H47" s="300"/>
      <c r="I47" s="300"/>
      <c r="J47" s="300"/>
      <c r="K47" s="300"/>
      <c r="L47" s="300"/>
      <c r="M47" s="300"/>
      <c r="N47" s="300"/>
      <c r="O47" s="300"/>
      <c r="P47" s="300"/>
      <c r="Q47" s="300"/>
      <c r="R47" s="300"/>
      <c r="S47" s="300"/>
      <c r="T47" s="300"/>
      <c r="U47" s="300"/>
      <c r="V47" s="300"/>
      <c r="W47" s="300"/>
      <c r="X47" s="300"/>
      <c r="Y47" s="300"/>
      <c r="Z47" s="300"/>
      <c r="AA47" s="300"/>
      <c r="AB47" s="300"/>
      <c r="AC47" s="300"/>
      <c r="AD47" s="300"/>
      <c r="AE47" s="300"/>
      <c r="AF47" s="301"/>
    </row>
    <row r="48" spans="1:32" ht="229.5" customHeight="1" x14ac:dyDescent="0.25">
      <c r="A48" s="281" t="s">
        <v>31</v>
      </c>
      <c r="B48" s="285">
        <f>B49+B50+B52</f>
        <v>61330.203000000001</v>
      </c>
      <c r="C48" s="285">
        <f>C49+C50+C52</f>
        <v>35248.483</v>
      </c>
      <c r="D48" s="285">
        <f>D49+D50+D52</f>
        <v>0</v>
      </c>
      <c r="E48" s="285">
        <f>E49+E50+E52</f>
        <v>0</v>
      </c>
      <c r="F48" s="285">
        <f t="shared" ref="F48:F57" si="24">IFERROR(E48/B48*100,0)</f>
        <v>0</v>
      </c>
      <c r="G48" s="285">
        <f t="shared" ref="G48:G57" si="25">IFERROR(E48/C48*100,0)</f>
        <v>0</v>
      </c>
      <c r="H48" s="285">
        <f>H49+H50+H52</f>
        <v>0</v>
      </c>
      <c r="I48" s="285">
        <f t="shared" ref="I48:AE48" si="26">I49+I50+I52</f>
        <v>0</v>
      </c>
      <c r="J48" s="285">
        <f t="shared" si="26"/>
        <v>2609.3220000000001</v>
      </c>
      <c r="K48" s="285">
        <f t="shared" si="26"/>
        <v>0</v>
      </c>
      <c r="L48" s="285">
        <f t="shared" si="26"/>
        <v>30792.012999999999</v>
      </c>
      <c r="M48" s="285">
        <f t="shared" si="26"/>
        <v>0</v>
      </c>
      <c r="N48" s="285">
        <f t="shared" si="26"/>
        <v>0</v>
      </c>
      <c r="O48" s="285">
        <f t="shared" si="26"/>
        <v>0</v>
      </c>
      <c r="P48" s="285">
        <f t="shared" si="26"/>
        <v>0</v>
      </c>
      <c r="Q48" s="285">
        <f t="shared" si="26"/>
        <v>0</v>
      </c>
      <c r="R48" s="285">
        <f>R49+R50+R52</f>
        <v>1847.1479999999999</v>
      </c>
      <c r="S48" s="285">
        <f t="shared" si="26"/>
        <v>0</v>
      </c>
      <c r="T48" s="285">
        <f t="shared" si="26"/>
        <v>0</v>
      </c>
      <c r="U48" s="285">
        <f t="shared" si="26"/>
        <v>0</v>
      </c>
      <c r="V48" s="285">
        <f t="shared" si="26"/>
        <v>0</v>
      </c>
      <c r="W48" s="285">
        <f t="shared" si="26"/>
        <v>0</v>
      </c>
      <c r="X48" s="285">
        <f t="shared" si="26"/>
        <v>0</v>
      </c>
      <c r="Y48" s="285">
        <f t="shared" si="26"/>
        <v>0</v>
      </c>
      <c r="Z48" s="285">
        <f t="shared" si="26"/>
        <v>0</v>
      </c>
      <c r="AA48" s="285">
        <f t="shared" si="26"/>
        <v>0</v>
      </c>
      <c r="AB48" s="285">
        <f t="shared" si="26"/>
        <v>0</v>
      </c>
      <c r="AC48" s="285">
        <f t="shared" si="26"/>
        <v>0</v>
      </c>
      <c r="AD48" s="285">
        <f t="shared" si="26"/>
        <v>26081.72</v>
      </c>
      <c r="AE48" s="285">
        <f t="shared" si="26"/>
        <v>0</v>
      </c>
      <c r="AF48" s="594" t="s">
        <v>613</v>
      </c>
    </row>
    <row r="49" spans="1:32" ht="264" customHeight="1" x14ac:dyDescent="0.25">
      <c r="A49" s="284" t="s">
        <v>32</v>
      </c>
      <c r="B49" s="285">
        <f>H49+J49+L49+N49+P49+R49+T49+V49+X49+Z49+AB49+AD49</f>
        <v>0</v>
      </c>
      <c r="C49" s="285">
        <f>H49+J49+L49+N49+P49+R49</f>
        <v>0</v>
      </c>
      <c r="D49" s="285">
        <v>0</v>
      </c>
      <c r="E49" s="285">
        <f t="shared" ref="E49:E57" si="27">I49+K49+M49+O49+Q49+S49+U49+W49+Y49+AA49+AC49+AE49</f>
        <v>0</v>
      </c>
      <c r="F49" s="285">
        <f t="shared" si="24"/>
        <v>0</v>
      </c>
      <c r="G49" s="285">
        <f t="shared" si="25"/>
        <v>0</v>
      </c>
      <c r="H49" s="285">
        <v>0</v>
      </c>
      <c r="I49" s="285">
        <v>0</v>
      </c>
      <c r="J49" s="285">
        <v>0</v>
      </c>
      <c r="K49" s="285">
        <v>0</v>
      </c>
      <c r="L49" s="285">
        <v>0</v>
      </c>
      <c r="M49" s="285">
        <v>0</v>
      </c>
      <c r="N49" s="285">
        <v>0</v>
      </c>
      <c r="O49" s="285">
        <v>0</v>
      </c>
      <c r="P49" s="285">
        <v>0</v>
      </c>
      <c r="Q49" s="285">
        <v>0</v>
      </c>
      <c r="R49" s="285">
        <v>0</v>
      </c>
      <c r="S49" s="285">
        <v>0</v>
      </c>
      <c r="T49" s="285">
        <v>0</v>
      </c>
      <c r="U49" s="285">
        <v>0</v>
      </c>
      <c r="V49" s="285">
        <v>0</v>
      </c>
      <c r="W49" s="285">
        <v>0</v>
      </c>
      <c r="X49" s="285">
        <v>0</v>
      </c>
      <c r="Y49" s="285">
        <v>0</v>
      </c>
      <c r="Z49" s="285">
        <v>0</v>
      </c>
      <c r="AA49" s="285">
        <v>0</v>
      </c>
      <c r="AB49" s="285">
        <v>0</v>
      </c>
      <c r="AC49" s="285">
        <v>0</v>
      </c>
      <c r="AD49" s="285">
        <v>0</v>
      </c>
      <c r="AE49" s="285">
        <v>0</v>
      </c>
      <c r="AF49" s="594" t="s">
        <v>614</v>
      </c>
    </row>
    <row r="50" spans="1:32" ht="394.5" customHeight="1" x14ac:dyDescent="0.25">
      <c r="A50" s="284" t="s">
        <v>33</v>
      </c>
      <c r="B50" s="285">
        <f>H50+J50+L50+N50+P50+R50+T50+V50+X50+Z50+AB50+AD50</f>
        <v>107.6</v>
      </c>
      <c r="C50" s="285">
        <f>H50+J50+L50+N50+P50+R50</f>
        <v>107.6</v>
      </c>
      <c r="D50" s="285">
        <v>0</v>
      </c>
      <c r="E50" s="285">
        <f t="shared" si="27"/>
        <v>0</v>
      </c>
      <c r="F50" s="285">
        <f t="shared" si="24"/>
        <v>0</v>
      </c>
      <c r="G50" s="285">
        <f t="shared" si="25"/>
        <v>0</v>
      </c>
      <c r="H50" s="285">
        <v>0</v>
      </c>
      <c r="I50" s="285">
        <v>0</v>
      </c>
      <c r="J50" s="285">
        <v>0</v>
      </c>
      <c r="K50" s="285">
        <v>0</v>
      </c>
      <c r="L50" s="285">
        <v>0</v>
      </c>
      <c r="M50" s="285">
        <v>0</v>
      </c>
      <c r="N50" s="285">
        <v>0</v>
      </c>
      <c r="O50" s="285">
        <v>0</v>
      </c>
      <c r="P50" s="285">
        <v>0</v>
      </c>
      <c r="Q50" s="285">
        <v>0</v>
      </c>
      <c r="R50" s="285">
        <v>107.6</v>
      </c>
      <c r="S50" s="285">
        <v>0</v>
      </c>
      <c r="T50" s="285">
        <v>0</v>
      </c>
      <c r="U50" s="285">
        <v>0</v>
      </c>
      <c r="V50" s="285">
        <v>0</v>
      </c>
      <c r="W50" s="285">
        <v>0</v>
      </c>
      <c r="X50" s="285">
        <v>0</v>
      </c>
      <c r="Y50" s="285">
        <v>0</v>
      </c>
      <c r="Z50" s="285">
        <v>0</v>
      </c>
      <c r="AA50" s="285">
        <v>0</v>
      </c>
      <c r="AB50" s="285">
        <v>0</v>
      </c>
      <c r="AC50" s="285">
        <v>0</v>
      </c>
      <c r="AD50" s="285">
        <v>0</v>
      </c>
      <c r="AE50" s="285">
        <v>0</v>
      </c>
      <c r="AF50" s="594" t="s">
        <v>615</v>
      </c>
    </row>
    <row r="51" spans="1:32" ht="31.5" x14ac:dyDescent="0.25">
      <c r="A51" s="296" t="s">
        <v>174</v>
      </c>
      <c r="B51" s="285">
        <f>H51+J51+L51+N51+P51+R51+T51+V51+X51+Z51+AB51+AD51</f>
        <v>0</v>
      </c>
      <c r="C51" s="285">
        <f>H51+J51+L51+N51+P51+R51</f>
        <v>0</v>
      </c>
      <c r="D51" s="285">
        <v>0</v>
      </c>
      <c r="E51" s="285">
        <f t="shared" si="27"/>
        <v>0</v>
      </c>
      <c r="F51" s="285">
        <f t="shared" si="24"/>
        <v>0</v>
      </c>
      <c r="G51" s="285">
        <f t="shared" si="25"/>
        <v>0</v>
      </c>
      <c r="H51" s="285">
        <v>0</v>
      </c>
      <c r="I51" s="285">
        <v>0</v>
      </c>
      <c r="J51" s="285">
        <v>0</v>
      </c>
      <c r="K51" s="285">
        <v>0</v>
      </c>
      <c r="L51" s="285">
        <v>0</v>
      </c>
      <c r="M51" s="285">
        <v>0</v>
      </c>
      <c r="N51" s="285">
        <v>0</v>
      </c>
      <c r="O51" s="285">
        <v>0</v>
      </c>
      <c r="P51" s="285">
        <v>0</v>
      </c>
      <c r="Q51" s="285">
        <v>0</v>
      </c>
      <c r="R51" s="285">
        <v>0</v>
      </c>
      <c r="S51" s="285">
        <v>0</v>
      </c>
      <c r="T51" s="285">
        <v>0</v>
      </c>
      <c r="U51" s="285">
        <v>0</v>
      </c>
      <c r="V51" s="285">
        <v>0</v>
      </c>
      <c r="W51" s="285">
        <v>0</v>
      </c>
      <c r="X51" s="285">
        <v>0</v>
      </c>
      <c r="Y51" s="285">
        <v>0</v>
      </c>
      <c r="Z51" s="285">
        <v>0</v>
      </c>
      <c r="AA51" s="285">
        <v>0</v>
      </c>
      <c r="AB51" s="285">
        <v>0</v>
      </c>
      <c r="AC51" s="285">
        <v>0</v>
      </c>
      <c r="AD51" s="285">
        <v>0</v>
      </c>
      <c r="AE51" s="285">
        <v>0</v>
      </c>
      <c r="AF51" s="286"/>
    </row>
    <row r="52" spans="1:32" ht="31.5" x14ac:dyDescent="0.25">
      <c r="A52" s="284" t="s">
        <v>374</v>
      </c>
      <c r="B52" s="285">
        <f>H52+J52+L52+N52+P52+R52+T52+V52+X52+Z52+AB52+AD52</f>
        <v>61222.603000000003</v>
      </c>
      <c r="C52" s="285">
        <f>H52+J52+L52+N52+P52+R52</f>
        <v>35140.883000000002</v>
      </c>
      <c r="D52" s="285">
        <v>0</v>
      </c>
      <c r="E52" s="285">
        <f t="shared" si="27"/>
        <v>0</v>
      </c>
      <c r="F52" s="285">
        <f t="shared" si="24"/>
        <v>0</v>
      </c>
      <c r="G52" s="285">
        <f t="shared" si="25"/>
        <v>0</v>
      </c>
      <c r="H52" s="285">
        <v>0</v>
      </c>
      <c r="I52" s="285">
        <v>0</v>
      </c>
      <c r="J52" s="285">
        <v>2609.3220000000001</v>
      </c>
      <c r="K52" s="285">
        <v>0</v>
      </c>
      <c r="L52" s="285">
        <v>30792.012999999999</v>
      </c>
      <c r="M52" s="285">
        <v>0</v>
      </c>
      <c r="N52" s="285">
        <v>0</v>
      </c>
      <c r="O52" s="285">
        <v>0</v>
      </c>
      <c r="P52" s="285">
        <v>0</v>
      </c>
      <c r="Q52" s="285">
        <v>0</v>
      </c>
      <c r="R52" s="285">
        <v>1739.548</v>
      </c>
      <c r="S52" s="285">
        <v>0</v>
      </c>
      <c r="T52" s="285">
        <v>0</v>
      </c>
      <c r="U52" s="285">
        <v>0</v>
      </c>
      <c r="V52" s="285">
        <v>0</v>
      </c>
      <c r="W52" s="285">
        <v>0</v>
      </c>
      <c r="X52" s="285">
        <v>0</v>
      </c>
      <c r="Y52" s="285">
        <v>0</v>
      </c>
      <c r="Z52" s="285">
        <v>0</v>
      </c>
      <c r="AA52" s="285">
        <v>0</v>
      </c>
      <c r="AB52" s="285">
        <v>0</v>
      </c>
      <c r="AC52" s="285">
        <v>0</v>
      </c>
      <c r="AD52" s="285">
        <v>26081.72</v>
      </c>
      <c r="AE52" s="285">
        <v>0</v>
      </c>
      <c r="AF52" s="286"/>
    </row>
    <row r="53" spans="1:32" ht="126" x14ac:dyDescent="0.25">
      <c r="A53" s="872" t="s">
        <v>565</v>
      </c>
      <c r="B53" s="873">
        <f>T53+AB53</f>
        <v>84622.399999999994</v>
      </c>
      <c r="C53" s="390">
        <f>H53+J53</f>
        <v>0</v>
      </c>
      <c r="D53" s="390">
        <v>0</v>
      </c>
      <c r="E53" s="390">
        <f t="shared" si="27"/>
        <v>0</v>
      </c>
      <c r="F53" s="390">
        <f t="shared" si="24"/>
        <v>0</v>
      </c>
      <c r="G53" s="390">
        <f t="shared" si="25"/>
        <v>0</v>
      </c>
      <c r="H53" s="390">
        <v>0</v>
      </c>
      <c r="I53" s="390">
        <v>0</v>
      </c>
      <c r="J53" s="390">
        <v>0</v>
      </c>
      <c r="K53" s="390">
        <v>0</v>
      </c>
      <c r="L53" s="390">
        <v>0</v>
      </c>
      <c r="M53" s="390">
        <v>0</v>
      </c>
      <c r="N53" s="390">
        <v>0</v>
      </c>
      <c r="O53" s="390">
        <v>0</v>
      </c>
      <c r="P53" s="390">
        <v>0</v>
      </c>
      <c r="Q53" s="390">
        <v>0</v>
      </c>
      <c r="R53" s="390">
        <v>0</v>
      </c>
      <c r="S53" s="390">
        <v>0</v>
      </c>
      <c r="T53" s="873">
        <f>T55+T56</f>
        <v>8060.7119400000001</v>
      </c>
      <c r="U53" s="285">
        <v>0</v>
      </c>
      <c r="V53" s="285">
        <v>0</v>
      </c>
      <c r="W53" s="285">
        <v>0</v>
      </c>
      <c r="X53" s="285">
        <v>0</v>
      </c>
      <c r="Y53" s="285">
        <v>0</v>
      </c>
      <c r="Z53" s="285">
        <v>0</v>
      </c>
      <c r="AA53" s="285">
        <v>0</v>
      </c>
      <c r="AB53" s="873">
        <f>AB55+AB56</f>
        <v>76561.68806</v>
      </c>
      <c r="AC53" s="285">
        <v>0</v>
      </c>
      <c r="AD53" s="285">
        <v>0</v>
      </c>
      <c r="AE53" s="285">
        <v>0</v>
      </c>
      <c r="AF53" s="874" t="s">
        <v>616</v>
      </c>
    </row>
    <row r="54" spans="1:32" ht="15.75" x14ac:dyDescent="0.25">
      <c r="A54" s="875" t="s">
        <v>31</v>
      </c>
      <c r="B54" s="876">
        <f>B55+B56+B58</f>
        <v>84622.5</v>
      </c>
      <c r="C54" s="285">
        <f>C55+C56+C58</f>
        <v>0</v>
      </c>
      <c r="D54" s="285">
        <f t="shared" ref="D54:AE54" si="28">D55+D56+D58</f>
        <v>0</v>
      </c>
      <c r="E54" s="285">
        <f t="shared" si="28"/>
        <v>0</v>
      </c>
      <c r="F54" s="285">
        <f t="shared" si="28"/>
        <v>0</v>
      </c>
      <c r="G54" s="285">
        <f t="shared" si="28"/>
        <v>0</v>
      </c>
      <c r="H54" s="285">
        <f t="shared" si="28"/>
        <v>0</v>
      </c>
      <c r="I54" s="285">
        <f t="shared" si="28"/>
        <v>0</v>
      </c>
      <c r="J54" s="285">
        <f t="shared" si="28"/>
        <v>0</v>
      </c>
      <c r="K54" s="285">
        <f t="shared" si="28"/>
        <v>0</v>
      </c>
      <c r="L54" s="285">
        <f t="shared" si="28"/>
        <v>0</v>
      </c>
      <c r="M54" s="285">
        <f t="shared" si="28"/>
        <v>0</v>
      </c>
      <c r="N54" s="285">
        <f t="shared" si="28"/>
        <v>0</v>
      </c>
      <c r="O54" s="285">
        <f t="shared" si="28"/>
        <v>0</v>
      </c>
      <c r="P54" s="285">
        <f t="shared" si="28"/>
        <v>0</v>
      </c>
      <c r="Q54" s="285">
        <f t="shared" si="28"/>
        <v>0</v>
      </c>
      <c r="R54" s="285">
        <f t="shared" si="28"/>
        <v>0</v>
      </c>
      <c r="S54" s="285">
        <f t="shared" si="28"/>
        <v>0</v>
      </c>
      <c r="T54" s="285">
        <f t="shared" si="28"/>
        <v>8060.7119400000001</v>
      </c>
      <c r="U54" s="285">
        <f t="shared" si="28"/>
        <v>0</v>
      </c>
      <c r="V54" s="285">
        <f t="shared" si="28"/>
        <v>0</v>
      </c>
      <c r="W54" s="285">
        <f t="shared" si="28"/>
        <v>0</v>
      </c>
      <c r="X54" s="285">
        <f t="shared" si="28"/>
        <v>0</v>
      </c>
      <c r="Y54" s="285">
        <f t="shared" si="28"/>
        <v>0</v>
      </c>
      <c r="Z54" s="285">
        <f t="shared" si="28"/>
        <v>0</v>
      </c>
      <c r="AA54" s="285">
        <f t="shared" si="28"/>
        <v>0</v>
      </c>
      <c r="AB54" s="285">
        <f t="shared" si="28"/>
        <v>76561.68806</v>
      </c>
      <c r="AC54" s="285">
        <f t="shared" si="28"/>
        <v>0</v>
      </c>
      <c r="AD54" s="285">
        <f t="shared" si="28"/>
        <v>0.1</v>
      </c>
      <c r="AE54" s="285">
        <f t="shared" si="28"/>
        <v>0</v>
      </c>
      <c r="AF54" s="877"/>
    </row>
    <row r="55" spans="1:32" ht="31.5" x14ac:dyDescent="0.25">
      <c r="A55" s="508" t="s">
        <v>566</v>
      </c>
      <c r="B55" s="876">
        <f>H55+J55+L55+N55+P55+R55+T55+V55+X55+Z55+AB55+AD55</f>
        <v>80391.3</v>
      </c>
      <c r="C55" s="285">
        <f>H55+J55</f>
        <v>0</v>
      </c>
      <c r="D55" s="285">
        <v>0</v>
      </c>
      <c r="E55" s="285">
        <f t="shared" si="27"/>
        <v>0</v>
      </c>
      <c r="F55" s="285">
        <f t="shared" si="24"/>
        <v>0</v>
      </c>
      <c r="G55" s="285">
        <f t="shared" si="25"/>
        <v>0</v>
      </c>
      <c r="H55" s="285">
        <v>0</v>
      </c>
      <c r="I55" s="285">
        <v>0</v>
      </c>
      <c r="J55" s="285">
        <v>0</v>
      </c>
      <c r="K55" s="285">
        <v>0</v>
      </c>
      <c r="L55" s="285">
        <v>0</v>
      </c>
      <c r="M55" s="285">
        <v>0</v>
      </c>
      <c r="N55" s="285">
        <v>0</v>
      </c>
      <c r="O55" s="285">
        <v>0</v>
      </c>
      <c r="P55" s="285">
        <v>0</v>
      </c>
      <c r="Q55" s="285">
        <v>0</v>
      </c>
      <c r="R55" s="285">
        <v>0</v>
      </c>
      <c r="S55" s="285">
        <v>0</v>
      </c>
      <c r="T55" s="876">
        <f>7657676.34/1000</f>
        <v>7657.67634</v>
      </c>
      <c r="U55" s="285">
        <v>0</v>
      </c>
      <c r="V55" s="285">
        <v>0</v>
      </c>
      <c r="W55" s="285">
        <v>0</v>
      </c>
      <c r="X55" s="285">
        <v>0</v>
      </c>
      <c r="Y55" s="285">
        <v>0</v>
      </c>
      <c r="Z55" s="285">
        <v>0</v>
      </c>
      <c r="AA55" s="285">
        <v>0</v>
      </c>
      <c r="AB55" s="876">
        <f>72733623.66/1000</f>
        <v>72733.623659999997</v>
      </c>
      <c r="AC55" s="285">
        <v>0</v>
      </c>
      <c r="AD55" s="285">
        <v>0</v>
      </c>
      <c r="AE55" s="285">
        <v>0</v>
      </c>
      <c r="AF55" s="877"/>
    </row>
    <row r="56" spans="1:32" ht="15.75" x14ac:dyDescent="0.25">
      <c r="A56" s="508" t="s">
        <v>33</v>
      </c>
      <c r="B56" s="876">
        <f>H56+J56+L56+N56+P56+R56+T56+V56+X56+Z56+AB56+AD56</f>
        <v>4231.2</v>
      </c>
      <c r="C56" s="285">
        <f>H56+J56</f>
        <v>0</v>
      </c>
      <c r="D56" s="285">
        <v>0</v>
      </c>
      <c r="E56" s="285">
        <f t="shared" si="27"/>
        <v>0</v>
      </c>
      <c r="F56" s="285">
        <f t="shared" si="24"/>
        <v>0</v>
      </c>
      <c r="G56" s="285">
        <f t="shared" si="25"/>
        <v>0</v>
      </c>
      <c r="H56" s="285">
        <v>0</v>
      </c>
      <c r="I56" s="285">
        <v>0</v>
      </c>
      <c r="J56" s="285">
        <v>0</v>
      </c>
      <c r="K56" s="285">
        <v>0</v>
      </c>
      <c r="L56" s="285">
        <v>0</v>
      </c>
      <c r="M56" s="285">
        <v>0</v>
      </c>
      <c r="N56" s="285">
        <v>0</v>
      </c>
      <c r="O56" s="285">
        <v>0</v>
      </c>
      <c r="P56" s="285">
        <v>0</v>
      </c>
      <c r="Q56" s="285">
        <v>0</v>
      </c>
      <c r="R56" s="285">
        <v>0</v>
      </c>
      <c r="S56" s="285">
        <v>0</v>
      </c>
      <c r="T56" s="876">
        <f>403035.6/1000</f>
        <v>403.03559999999999</v>
      </c>
      <c r="U56" s="285">
        <v>0</v>
      </c>
      <c r="V56" s="285">
        <v>0</v>
      </c>
      <c r="W56" s="285">
        <v>0</v>
      </c>
      <c r="X56" s="285">
        <v>0</v>
      </c>
      <c r="Y56" s="285">
        <v>0</v>
      </c>
      <c r="Z56" s="285">
        <v>0</v>
      </c>
      <c r="AA56" s="285">
        <v>0</v>
      </c>
      <c r="AB56" s="876">
        <f>3828064.4/1000</f>
        <v>3828.0643999999998</v>
      </c>
      <c r="AC56" s="285">
        <v>0</v>
      </c>
      <c r="AD56" s="878">
        <f>100/1000</f>
        <v>0.1</v>
      </c>
      <c r="AE56" s="285">
        <v>0</v>
      </c>
      <c r="AF56" s="877"/>
    </row>
    <row r="57" spans="1:32" ht="47.25" x14ac:dyDescent="0.25">
      <c r="A57" s="879" t="s">
        <v>174</v>
      </c>
      <c r="B57" s="876">
        <f>B56</f>
        <v>4231.2</v>
      </c>
      <c r="C57" s="285">
        <f>H57+J57</f>
        <v>0</v>
      </c>
      <c r="D57" s="285">
        <v>0</v>
      </c>
      <c r="E57" s="285">
        <f t="shared" si="27"/>
        <v>0</v>
      </c>
      <c r="F57" s="285">
        <f t="shared" si="24"/>
        <v>0</v>
      </c>
      <c r="G57" s="285">
        <f t="shared" si="25"/>
        <v>0</v>
      </c>
      <c r="H57" s="285">
        <v>0</v>
      </c>
      <c r="I57" s="285">
        <v>0</v>
      </c>
      <c r="J57" s="285">
        <v>0</v>
      </c>
      <c r="K57" s="285">
        <v>0</v>
      </c>
      <c r="L57" s="285">
        <v>0</v>
      </c>
      <c r="M57" s="285">
        <v>0</v>
      </c>
      <c r="N57" s="285">
        <v>0</v>
      </c>
      <c r="O57" s="285">
        <v>0</v>
      </c>
      <c r="P57" s="285">
        <v>0</v>
      </c>
      <c r="Q57" s="285">
        <v>0</v>
      </c>
      <c r="R57" s="285">
        <v>0</v>
      </c>
      <c r="S57" s="285">
        <v>0</v>
      </c>
      <c r="T57" s="876">
        <f>T56</f>
        <v>403.03559999999999</v>
      </c>
      <c r="U57" s="285">
        <v>0</v>
      </c>
      <c r="V57" s="285">
        <v>0</v>
      </c>
      <c r="W57" s="285">
        <v>0</v>
      </c>
      <c r="X57" s="285">
        <v>0</v>
      </c>
      <c r="Y57" s="285">
        <v>0</v>
      </c>
      <c r="Z57" s="285">
        <v>0</v>
      </c>
      <c r="AA57" s="285">
        <v>0</v>
      </c>
      <c r="AB57" s="876">
        <f>AB56</f>
        <v>3828.0643999999998</v>
      </c>
      <c r="AC57" s="285">
        <v>0</v>
      </c>
      <c r="AD57" s="878">
        <f>AD56</f>
        <v>0.1</v>
      </c>
      <c r="AE57" s="285">
        <v>0</v>
      </c>
      <c r="AF57" s="877"/>
    </row>
    <row r="58" spans="1:32" ht="15.75" x14ac:dyDescent="0.25">
      <c r="A58" s="508" t="s">
        <v>170</v>
      </c>
      <c r="B58" s="285">
        <v>0</v>
      </c>
      <c r="C58" s="285">
        <v>0</v>
      </c>
      <c r="D58" s="285">
        <v>0</v>
      </c>
      <c r="E58" s="285">
        <v>0</v>
      </c>
      <c r="F58" s="285">
        <v>0</v>
      </c>
      <c r="G58" s="285">
        <v>0</v>
      </c>
      <c r="H58" s="285">
        <v>0</v>
      </c>
      <c r="I58" s="285">
        <v>0</v>
      </c>
      <c r="J58" s="285">
        <v>0</v>
      </c>
      <c r="K58" s="285">
        <v>0</v>
      </c>
      <c r="L58" s="285">
        <v>0</v>
      </c>
      <c r="M58" s="285">
        <v>0</v>
      </c>
      <c r="N58" s="285">
        <v>0</v>
      </c>
      <c r="O58" s="285">
        <v>0</v>
      </c>
      <c r="P58" s="285">
        <v>0</v>
      </c>
      <c r="Q58" s="285">
        <v>0</v>
      </c>
      <c r="R58" s="285">
        <v>0</v>
      </c>
      <c r="S58" s="285">
        <v>0</v>
      </c>
      <c r="T58" s="285">
        <v>0</v>
      </c>
      <c r="U58" s="285">
        <v>0</v>
      </c>
      <c r="V58" s="285">
        <v>0</v>
      </c>
      <c r="W58" s="285">
        <v>0</v>
      </c>
      <c r="X58" s="285">
        <v>0</v>
      </c>
      <c r="Y58" s="285">
        <v>0</v>
      </c>
      <c r="Z58" s="285">
        <v>0</v>
      </c>
      <c r="AA58" s="285">
        <v>0</v>
      </c>
      <c r="AB58" s="285">
        <v>0</v>
      </c>
      <c r="AC58" s="285">
        <v>0</v>
      </c>
      <c r="AD58" s="285">
        <v>0</v>
      </c>
      <c r="AE58" s="285">
        <v>0</v>
      </c>
      <c r="AF58" s="880"/>
    </row>
    <row r="59" spans="1:32" ht="126" x14ac:dyDescent="0.25">
      <c r="A59" s="508" t="s">
        <v>617</v>
      </c>
      <c r="B59" s="959">
        <f>B60</f>
        <v>118</v>
      </c>
      <c r="C59" s="285">
        <v>0</v>
      </c>
      <c r="D59" s="285">
        <v>0</v>
      </c>
      <c r="E59" s="285">
        <v>0</v>
      </c>
      <c r="F59" s="285">
        <v>0</v>
      </c>
      <c r="G59" s="285">
        <v>0</v>
      </c>
      <c r="H59" s="285">
        <v>0</v>
      </c>
      <c r="I59" s="285">
        <v>0</v>
      </c>
      <c r="J59" s="285">
        <v>0</v>
      </c>
      <c r="K59" s="285">
        <v>0</v>
      </c>
      <c r="L59" s="285">
        <v>0</v>
      </c>
      <c r="M59" s="285">
        <v>0</v>
      </c>
      <c r="N59" s="285">
        <v>0</v>
      </c>
      <c r="O59" s="285">
        <v>0</v>
      </c>
      <c r="P59" s="285">
        <v>0</v>
      </c>
      <c r="Q59" s="285">
        <v>0</v>
      </c>
      <c r="R59" s="285">
        <v>0</v>
      </c>
      <c r="S59" s="285">
        <v>0</v>
      </c>
      <c r="T59" s="285">
        <v>0</v>
      </c>
      <c r="U59" s="285">
        <v>0</v>
      </c>
      <c r="V59" s="285">
        <v>0</v>
      </c>
      <c r="W59" s="285">
        <v>0</v>
      </c>
      <c r="X59" s="876">
        <f>X62</f>
        <v>118</v>
      </c>
      <c r="Y59" s="285">
        <v>0</v>
      </c>
      <c r="Z59" s="285">
        <v>0</v>
      </c>
      <c r="AA59" s="285">
        <v>0</v>
      </c>
      <c r="AB59" s="285">
        <v>0</v>
      </c>
      <c r="AC59" s="285">
        <v>0</v>
      </c>
      <c r="AD59" s="285">
        <v>0</v>
      </c>
      <c r="AE59" s="285">
        <v>0</v>
      </c>
      <c r="AF59" s="880" t="s">
        <v>618</v>
      </c>
    </row>
    <row r="60" spans="1:32" ht="15.75" x14ac:dyDescent="0.25">
      <c r="A60" s="508" t="s">
        <v>31</v>
      </c>
      <c r="B60" s="959">
        <f>B61+B62+B64</f>
        <v>118</v>
      </c>
      <c r="C60" s="285">
        <v>0</v>
      </c>
      <c r="D60" s="285">
        <v>0</v>
      </c>
      <c r="E60" s="285">
        <v>0</v>
      </c>
      <c r="F60" s="285">
        <v>0</v>
      </c>
      <c r="G60" s="285">
        <v>0</v>
      </c>
      <c r="H60" s="285">
        <v>0</v>
      </c>
      <c r="I60" s="285">
        <v>0</v>
      </c>
      <c r="J60" s="285">
        <v>0</v>
      </c>
      <c r="K60" s="285">
        <v>0</v>
      </c>
      <c r="L60" s="285">
        <v>0</v>
      </c>
      <c r="M60" s="285">
        <v>0</v>
      </c>
      <c r="N60" s="285">
        <v>0</v>
      </c>
      <c r="O60" s="285">
        <v>0</v>
      </c>
      <c r="P60" s="285">
        <v>0</v>
      </c>
      <c r="Q60" s="285">
        <v>0</v>
      </c>
      <c r="R60" s="285">
        <v>0</v>
      </c>
      <c r="S60" s="285">
        <v>0</v>
      </c>
      <c r="T60" s="285">
        <v>0</v>
      </c>
      <c r="U60" s="285">
        <v>0</v>
      </c>
      <c r="V60" s="285">
        <v>0</v>
      </c>
      <c r="W60" s="285">
        <v>0</v>
      </c>
      <c r="X60" s="959">
        <f>X61+X62+X64</f>
        <v>118</v>
      </c>
      <c r="Y60" s="285">
        <v>0</v>
      </c>
      <c r="Z60" s="285">
        <v>0</v>
      </c>
      <c r="AA60" s="285">
        <v>0</v>
      </c>
      <c r="AB60" s="285">
        <v>0</v>
      </c>
      <c r="AC60" s="285">
        <v>0</v>
      </c>
      <c r="AD60" s="285">
        <v>0</v>
      </c>
      <c r="AE60" s="285">
        <v>0</v>
      </c>
      <c r="AF60" s="880"/>
    </row>
    <row r="61" spans="1:32" ht="31.5" x14ac:dyDescent="0.25">
      <c r="A61" s="508" t="s">
        <v>566</v>
      </c>
      <c r="B61" s="285">
        <v>0</v>
      </c>
      <c r="C61" s="285">
        <v>0</v>
      </c>
      <c r="D61" s="285">
        <v>0</v>
      </c>
      <c r="E61" s="285">
        <v>0</v>
      </c>
      <c r="F61" s="285">
        <v>0</v>
      </c>
      <c r="G61" s="285">
        <v>0</v>
      </c>
      <c r="H61" s="285">
        <v>0</v>
      </c>
      <c r="I61" s="285">
        <v>0</v>
      </c>
      <c r="J61" s="285">
        <v>0</v>
      </c>
      <c r="K61" s="285">
        <v>0</v>
      </c>
      <c r="L61" s="285">
        <v>0</v>
      </c>
      <c r="M61" s="285">
        <v>0</v>
      </c>
      <c r="N61" s="285">
        <v>0</v>
      </c>
      <c r="O61" s="285">
        <v>0</v>
      </c>
      <c r="P61" s="285">
        <v>0</v>
      </c>
      <c r="Q61" s="285">
        <v>0</v>
      </c>
      <c r="R61" s="285">
        <v>0</v>
      </c>
      <c r="S61" s="285">
        <v>0</v>
      </c>
      <c r="T61" s="285">
        <v>0</v>
      </c>
      <c r="U61" s="285">
        <v>0</v>
      </c>
      <c r="V61" s="285">
        <v>0</v>
      </c>
      <c r="W61" s="285">
        <v>0</v>
      </c>
      <c r="X61" s="285">
        <v>0</v>
      </c>
      <c r="Y61" s="285">
        <v>0</v>
      </c>
      <c r="Z61" s="285">
        <v>0</v>
      </c>
      <c r="AA61" s="285">
        <v>0</v>
      </c>
      <c r="AB61" s="285">
        <v>0</v>
      </c>
      <c r="AC61" s="285">
        <v>0</v>
      </c>
      <c r="AD61" s="285">
        <v>0</v>
      </c>
      <c r="AE61" s="285">
        <v>0</v>
      </c>
      <c r="AF61" s="880"/>
    </row>
    <row r="62" spans="1:32" ht="15.75" x14ac:dyDescent="0.25">
      <c r="A62" s="508" t="s">
        <v>33</v>
      </c>
      <c r="B62" s="959">
        <f>X62</f>
        <v>118</v>
      </c>
      <c r="C62" s="285">
        <v>0</v>
      </c>
      <c r="D62" s="285">
        <v>0</v>
      </c>
      <c r="E62" s="285">
        <v>0</v>
      </c>
      <c r="F62" s="285">
        <v>0</v>
      </c>
      <c r="G62" s="285">
        <v>0</v>
      </c>
      <c r="H62" s="285">
        <v>0</v>
      </c>
      <c r="I62" s="285">
        <v>0</v>
      </c>
      <c r="J62" s="285">
        <v>0</v>
      </c>
      <c r="K62" s="285">
        <v>0</v>
      </c>
      <c r="L62" s="285">
        <v>0</v>
      </c>
      <c r="M62" s="285">
        <v>0</v>
      </c>
      <c r="N62" s="285">
        <v>0</v>
      </c>
      <c r="O62" s="285">
        <v>0</v>
      </c>
      <c r="P62" s="285">
        <v>0</v>
      </c>
      <c r="Q62" s="285">
        <v>0</v>
      </c>
      <c r="R62" s="285">
        <v>0</v>
      </c>
      <c r="S62" s="285">
        <v>0</v>
      </c>
      <c r="T62" s="285">
        <v>0</v>
      </c>
      <c r="U62" s="285">
        <v>0</v>
      </c>
      <c r="V62" s="285">
        <v>0</v>
      </c>
      <c r="W62" s="285">
        <v>0</v>
      </c>
      <c r="X62" s="876">
        <v>118</v>
      </c>
      <c r="Y62" s="285">
        <v>0</v>
      </c>
      <c r="Z62" s="285">
        <v>0</v>
      </c>
      <c r="AA62" s="285">
        <v>0</v>
      </c>
      <c r="AB62" s="285">
        <v>0</v>
      </c>
      <c r="AC62" s="285">
        <v>0</v>
      </c>
      <c r="AD62" s="285">
        <v>0</v>
      </c>
      <c r="AE62" s="876">
        <v>0</v>
      </c>
      <c r="AF62" s="880"/>
    </row>
    <row r="63" spans="1:32" ht="47.25" x14ac:dyDescent="0.25">
      <c r="A63" s="879" t="s">
        <v>174</v>
      </c>
      <c r="B63" s="285">
        <v>0</v>
      </c>
      <c r="C63" s="285">
        <v>0</v>
      </c>
      <c r="D63" s="285">
        <v>0</v>
      </c>
      <c r="E63" s="285">
        <v>0</v>
      </c>
      <c r="F63" s="285">
        <v>0</v>
      </c>
      <c r="G63" s="285">
        <v>0</v>
      </c>
      <c r="H63" s="285">
        <v>0</v>
      </c>
      <c r="I63" s="285">
        <v>0</v>
      </c>
      <c r="J63" s="285">
        <v>0</v>
      </c>
      <c r="K63" s="285">
        <v>0</v>
      </c>
      <c r="L63" s="285">
        <v>0</v>
      </c>
      <c r="M63" s="285">
        <v>0</v>
      </c>
      <c r="N63" s="285">
        <v>0</v>
      </c>
      <c r="O63" s="285">
        <v>0</v>
      </c>
      <c r="P63" s="285">
        <v>0</v>
      </c>
      <c r="Q63" s="285">
        <v>0</v>
      </c>
      <c r="R63" s="285">
        <v>0</v>
      </c>
      <c r="S63" s="285">
        <v>0</v>
      </c>
      <c r="T63" s="285">
        <v>0</v>
      </c>
      <c r="U63" s="285">
        <v>0</v>
      </c>
      <c r="V63" s="285">
        <v>0</v>
      </c>
      <c r="W63" s="285">
        <v>0</v>
      </c>
      <c r="X63" s="285">
        <v>0</v>
      </c>
      <c r="Y63" s="285">
        <v>0</v>
      </c>
      <c r="Z63" s="285">
        <v>0</v>
      </c>
      <c r="AA63" s="285">
        <v>0</v>
      </c>
      <c r="AB63" s="285">
        <v>0</v>
      </c>
      <c r="AC63" s="285">
        <v>0</v>
      </c>
      <c r="AD63" s="285">
        <v>0</v>
      </c>
      <c r="AE63" s="285">
        <v>0</v>
      </c>
      <c r="AF63" s="880"/>
    </row>
    <row r="64" spans="1:32" ht="15.75" x14ac:dyDescent="0.25">
      <c r="A64" s="508" t="s">
        <v>170</v>
      </c>
      <c r="B64" s="285">
        <v>0</v>
      </c>
      <c r="C64" s="285">
        <v>0</v>
      </c>
      <c r="D64" s="285">
        <v>0</v>
      </c>
      <c r="E64" s="285">
        <v>0</v>
      </c>
      <c r="F64" s="285">
        <v>0</v>
      </c>
      <c r="G64" s="285">
        <v>0</v>
      </c>
      <c r="H64" s="285">
        <v>0</v>
      </c>
      <c r="I64" s="285">
        <v>0</v>
      </c>
      <c r="J64" s="285">
        <v>0</v>
      </c>
      <c r="K64" s="285">
        <v>0</v>
      </c>
      <c r="L64" s="285">
        <v>0</v>
      </c>
      <c r="M64" s="285">
        <v>0</v>
      </c>
      <c r="N64" s="285">
        <v>0</v>
      </c>
      <c r="O64" s="285">
        <v>0</v>
      </c>
      <c r="P64" s="285">
        <v>0</v>
      </c>
      <c r="Q64" s="285">
        <v>0</v>
      </c>
      <c r="R64" s="285">
        <v>0</v>
      </c>
      <c r="S64" s="285">
        <v>0</v>
      </c>
      <c r="T64" s="285">
        <v>0</v>
      </c>
      <c r="U64" s="285">
        <v>0</v>
      </c>
      <c r="V64" s="285">
        <v>0</v>
      </c>
      <c r="W64" s="285">
        <v>0</v>
      </c>
      <c r="X64" s="285">
        <v>0</v>
      </c>
      <c r="Y64" s="285">
        <v>0</v>
      </c>
      <c r="Z64" s="285">
        <v>0</v>
      </c>
      <c r="AA64" s="285">
        <v>0</v>
      </c>
      <c r="AB64" s="285">
        <v>0</v>
      </c>
      <c r="AC64" s="285">
        <v>0</v>
      </c>
      <c r="AD64" s="285">
        <v>0</v>
      </c>
      <c r="AE64" s="285">
        <v>0</v>
      </c>
      <c r="AF64" s="880"/>
    </row>
    <row r="65" spans="1:32" ht="15.75" x14ac:dyDescent="0.25">
      <c r="A65" s="289" t="s">
        <v>62</v>
      </c>
      <c r="B65" s="285"/>
      <c r="C65" s="285"/>
      <c r="D65" s="285"/>
      <c r="E65" s="285"/>
      <c r="F65" s="285"/>
      <c r="G65" s="285"/>
      <c r="H65" s="285"/>
      <c r="I65" s="285"/>
      <c r="J65" s="285"/>
      <c r="K65" s="285"/>
      <c r="L65" s="285"/>
      <c r="M65" s="285"/>
      <c r="N65" s="285"/>
      <c r="O65" s="285"/>
      <c r="P65" s="285"/>
      <c r="Q65" s="285"/>
      <c r="R65" s="285"/>
      <c r="S65" s="285"/>
      <c r="T65" s="285"/>
      <c r="U65" s="285"/>
      <c r="V65" s="285"/>
      <c r="W65" s="285"/>
      <c r="X65" s="285"/>
      <c r="Y65" s="285"/>
      <c r="Z65" s="285"/>
      <c r="AA65" s="285"/>
      <c r="AB65" s="285"/>
      <c r="AC65" s="285"/>
      <c r="AD65" s="285"/>
      <c r="AE65" s="285"/>
      <c r="AF65" s="286"/>
    </row>
    <row r="66" spans="1:32" ht="15.75" x14ac:dyDescent="0.25">
      <c r="A66" s="290" t="s">
        <v>31</v>
      </c>
      <c r="B66" s="282">
        <f>B67+B68+B70</f>
        <v>146070.70300000001</v>
      </c>
      <c r="C66" s="282">
        <f>C67+C68+C70</f>
        <v>33401.334999999999</v>
      </c>
      <c r="D66" s="282">
        <f>D67+D68+D70</f>
        <v>0</v>
      </c>
      <c r="E66" s="282">
        <f>E67+E68+E70</f>
        <v>0</v>
      </c>
      <c r="F66" s="282">
        <f t="shared" ref="F66:F72" si="29">IFERROR(E66/B66*100,0)</f>
        <v>0</v>
      </c>
      <c r="G66" s="282">
        <f>IFERROR(E66/C66*100,0)</f>
        <v>0</v>
      </c>
      <c r="H66" s="282">
        <f>H67+H68+H70</f>
        <v>0</v>
      </c>
      <c r="I66" s="282">
        <f t="shared" ref="I66:AE66" si="30">I67+I68+I70</f>
        <v>0</v>
      </c>
      <c r="J66" s="282">
        <f t="shared" si="30"/>
        <v>2609.3220000000001</v>
      </c>
      <c r="K66" s="282">
        <f t="shared" si="30"/>
        <v>0</v>
      </c>
      <c r="L66" s="282">
        <f t="shared" si="30"/>
        <v>30792.012999999999</v>
      </c>
      <c r="M66" s="282">
        <f t="shared" si="30"/>
        <v>0</v>
      </c>
      <c r="N66" s="282">
        <f t="shared" si="30"/>
        <v>0</v>
      </c>
      <c r="O66" s="282">
        <f t="shared" si="30"/>
        <v>0</v>
      </c>
      <c r="P66" s="282">
        <f t="shared" si="30"/>
        <v>0</v>
      </c>
      <c r="Q66" s="282">
        <f t="shared" si="30"/>
        <v>0</v>
      </c>
      <c r="R66" s="282">
        <f t="shared" si="30"/>
        <v>1847.1479999999999</v>
      </c>
      <c r="S66" s="282">
        <f t="shared" si="30"/>
        <v>0</v>
      </c>
      <c r="T66" s="282">
        <f t="shared" si="30"/>
        <v>8060.7119400000001</v>
      </c>
      <c r="U66" s="282">
        <f t="shared" si="30"/>
        <v>0</v>
      </c>
      <c r="V66" s="282">
        <f t="shared" si="30"/>
        <v>0</v>
      </c>
      <c r="W66" s="282">
        <f t="shared" si="30"/>
        <v>0</v>
      </c>
      <c r="X66" s="282">
        <f t="shared" si="30"/>
        <v>118</v>
      </c>
      <c r="Y66" s="282">
        <f t="shared" si="30"/>
        <v>0</v>
      </c>
      <c r="Z66" s="282">
        <f t="shared" si="30"/>
        <v>0</v>
      </c>
      <c r="AA66" s="282">
        <f t="shared" si="30"/>
        <v>0</v>
      </c>
      <c r="AB66" s="282">
        <f t="shared" si="30"/>
        <v>76561.68806</v>
      </c>
      <c r="AC66" s="282">
        <f t="shared" si="30"/>
        <v>0</v>
      </c>
      <c r="AD66" s="282">
        <f t="shared" si="30"/>
        <v>26081.82</v>
      </c>
      <c r="AE66" s="282">
        <f t="shared" si="30"/>
        <v>0</v>
      </c>
      <c r="AF66" s="283"/>
    </row>
    <row r="67" spans="1:32" ht="15.75" x14ac:dyDescent="0.25">
      <c r="A67" s="291" t="s">
        <v>32</v>
      </c>
      <c r="B67" s="285">
        <f>B43</f>
        <v>80391.3</v>
      </c>
      <c r="C67" s="285">
        <f t="shared" ref="C67:S70" si="31">C43+C55</f>
        <v>0</v>
      </c>
      <c r="D67" s="285">
        <f t="shared" si="31"/>
        <v>0</v>
      </c>
      <c r="E67" s="285">
        <f t="shared" si="31"/>
        <v>0</v>
      </c>
      <c r="F67" s="285">
        <f t="shared" si="31"/>
        <v>0</v>
      </c>
      <c r="G67" s="285">
        <f t="shared" si="31"/>
        <v>0</v>
      </c>
      <c r="H67" s="285">
        <f t="shared" si="31"/>
        <v>0</v>
      </c>
      <c r="I67" s="285">
        <f t="shared" si="31"/>
        <v>0</v>
      </c>
      <c r="J67" s="285">
        <f t="shared" si="31"/>
        <v>0</v>
      </c>
      <c r="K67" s="285">
        <f t="shared" si="31"/>
        <v>0</v>
      </c>
      <c r="L67" s="285">
        <f t="shared" si="31"/>
        <v>0</v>
      </c>
      <c r="M67" s="285">
        <f t="shared" si="31"/>
        <v>0</v>
      </c>
      <c r="N67" s="285">
        <f t="shared" si="31"/>
        <v>0</v>
      </c>
      <c r="O67" s="285">
        <f t="shared" si="31"/>
        <v>0</v>
      </c>
      <c r="P67" s="285">
        <f t="shared" si="31"/>
        <v>0</v>
      </c>
      <c r="Q67" s="285">
        <f t="shared" si="31"/>
        <v>0</v>
      </c>
      <c r="R67" s="285">
        <f t="shared" si="31"/>
        <v>0</v>
      </c>
      <c r="S67" s="285">
        <f t="shared" si="31"/>
        <v>0</v>
      </c>
      <c r="T67" s="285">
        <f>T43</f>
        <v>7657.67634</v>
      </c>
      <c r="U67" s="285">
        <f t="shared" ref="U67:AA70" si="32">U43+U55</f>
        <v>0</v>
      </c>
      <c r="V67" s="285">
        <f t="shared" si="32"/>
        <v>0</v>
      </c>
      <c r="W67" s="285">
        <f t="shared" si="32"/>
        <v>0</v>
      </c>
      <c r="X67" s="285">
        <f t="shared" si="32"/>
        <v>0</v>
      </c>
      <c r="Y67" s="285">
        <f t="shared" si="32"/>
        <v>0</v>
      </c>
      <c r="Z67" s="285">
        <f t="shared" si="32"/>
        <v>0</v>
      </c>
      <c r="AA67" s="285">
        <f t="shared" si="32"/>
        <v>0</v>
      </c>
      <c r="AB67" s="285">
        <f>AB43</f>
        <v>72733.623659999997</v>
      </c>
      <c r="AC67" s="285">
        <f t="shared" ref="AC67:AD70" si="33">AC43+AC55</f>
        <v>0</v>
      </c>
      <c r="AD67" s="285">
        <f t="shared" si="33"/>
        <v>0</v>
      </c>
      <c r="AE67" s="285">
        <f>AE43</f>
        <v>0</v>
      </c>
      <c r="AF67" s="286"/>
    </row>
    <row r="68" spans="1:32" ht="15.75" x14ac:dyDescent="0.25">
      <c r="A68" s="291" t="s">
        <v>33</v>
      </c>
      <c r="B68" s="285">
        <f>B44</f>
        <v>4456.8</v>
      </c>
      <c r="C68" s="285">
        <f t="shared" si="31"/>
        <v>0</v>
      </c>
      <c r="D68" s="285">
        <f t="shared" si="31"/>
        <v>0</v>
      </c>
      <c r="E68" s="285">
        <f t="shared" si="31"/>
        <v>0</v>
      </c>
      <c r="F68" s="285">
        <f t="shared" si="31"/>
        <v>0</v>
      </c>
      <c r="G68" s="285">
        <f t="shared" si="31"/>
        <v>0</v>
      </c>
      <c r="H68" s="285">
        <f t="shared" si="31"/>
        <v>0</v>
      </c>
      <c r="I68" s="285">
        <f t="shared" si="31"/>
        <v>0</v>
      </c>
      <c r="J68" s="285">
        <f t="shared" si="31"/>
        <v>0</v>
      </c>
      <c r="K68" s="285">
        <f t="shared" si="31"/>
        <v>0</v>
      </c>
      <c r="L68" s="285">
        <f t="shared" si="31"/>
        <v>0</v>
      </c>
      <c r="M68" s="285">
        <f t="shared" si="31"/>
        <v>0</v>
      </c>
      <c r="N68" s="285">
        <f t="shared" si="31"/>
        <v>0</v>
      </c>
      <c r="O68" s="285">
        <f t="shared" si="31"/>
        <v>0</v>
      </c>
      <c r="P68" s="285">
        <f t="shared" si="31"/>
        <v>0</v>
      </c>
      <c r="Q68" s="285">
        <f t="shared" si="31"/>
        <v>0</v>
      </c>
      <c r="R68" s="285">
        <f t="shared" si="31"/>
        <v>107.6</v>
      </c>
      <c r="S68" s="285">
        <f t="shared" si="31"/>
        <v>0</v>
      </c>
      <c r="T68" s="285">
        <f>T44</f>
        <v>403.03559999999999</v>
      </c>
      <c r="U68" s="285">
        <f t="shared" si="32"/>
        <v>0</v>
      </c>
      <c r="V68" s="285">
        <f t="shared" si="32"/>
        <v>0</v>
      </c>
      <c r="W68" s="285">
        <f t="shared" si="32"/>
        <v>0</v>
      </c>
      <c r="X68" s="285">
        <f t="shared" si="32"/>
        <v>118</v>
      </c>
      <c r="Y68" s="285">
        <f t="shared" si="32"/>
        <v>0</v>
      </c>
      <c r="Z68" s="285">
        <f t="shared" si="32"/>
        <v>0</v>
      </c>
      <c r="AA68" s="285">
        <f t="shared" si="32"/>
        <v>0</v>
      </c>
      <c r="AB68" s="285">
        <f>AB44</f>
        <v>3828.0643999999998</v>
      </c>
      <c r="AC68" s="285">
        <f t="shared" si="33"/>
        <v>0</v>
      </c>
      <c r="AD68" s="285">
        <f>AD44</f>
        <v>0.1</v>
      </c>
      <c r="AE68" s="285">
        <f>AE44</f>
        <v>0</v>
      </c>
      <c r="AF68" s="286"/>
    </row>
    <row r="69" spans="1:32" ht="31.5" x14ac:dyDescent="0.25">
      <c r="A69" s="299" t="s">
        <v>174</v>
      </c>
      <c r="B69" s="285">
        <f>B45</f>
        <v>4231.2</v>
      </c>
      <c r="C69" s="285">
        <f t="shared" si="31"/>
        <v>0</v>
      </c>
      <c r="D69" s="285">
        <f t="shared" si="31"/>
        <v>0</v>
      </c>
      <c r="E69" s="285">
        <f t="shared" si="31"/>
        <v>0</v>
      </c>
      <c r="F69" s="285">
        <f t="shared" si="31"/>
        <v>0</v>
      </c>
      <c r="G69" s="285">
        <f t="shared" si="31"/>
        <v>0</v>
      </c>
      <c r="H69" s="285">
        <f t="shared" si="31"/>
        <v>0</v>
      </c>
      <c r="I69" s="285">
        <f t="shared" si="31"/>
        <v>0</v>
      </c>
      <c r="J69" s="285">
        <f t="shared" si="31"/>
        <v>0</v>
      </c>
      <c r="K69" s="285">
        <f t="shared" si="31"/>
        <v>0</v>
      </c>
      <c r="L69" s="285">
        <f t="shared" si="31"/>
        <v>0</v>
      </c>
      <c r="M69" s="285">
        <f t="shared" si="31"/>
        <v>0</v>
      </c>
      <c r="N69" s="285">
        <f t="shared" si="31"/>
        <v>0</v>
      </c>
      <c r="O69" s="285">
        <f t="shared" si="31"/>
        <v>0</v>
      </c>
      <c r="P69" s="285">
        <f t="shared" si="31"/>
        <v>0</v>
      </c>
      <c r="Q69" s="285">
        <f t="shared" si="31"/>
        <v>0</v>
      </c>
      <c r="R69" s="285">
        <f t="shared" si="31"/>
        <v>0</v>
      </c>
      <c r="S69" s="285">
        <f t="shared" si="31"/>
        <v>0</v>
      </c>
      <c r="T69" s="285">
        <f>T45+T57</f>
        <v>806.07119999999998</v>
      </c>
      <c r="U69" s="285">
        <f t="shared" si="32"/>
        <v>0</v>
      </c>
      <c r="V69" s="285">
        <f t="shared" si="32"/>
        <v>0</v>
      </c>
      <c r="W69" s="285">
        <f t="shared" si="32"/>
        <v>0</v>
      </c>
      <c r="X69" s="285">
        <f t="shared" si="32"/>
        <v>0</v>
      </c>
      <c r="Y69" s="285">
        <f t="shared" si="32"/>
        <v>0</v>
      </c>
      <c r="Z69" s="285">
        <f t="shared" si="32"/>
        <v>0</v>
      </c>
      <c r="AA69" s="285">
        <f t="shared" si="32"/>
        <v>0</v>
      </c>
      <c r="AB69" s="285">
        <f>AB45+AB57</f>
        <v>7656.1287999999995</v>
      </c>
      <c r="AC69" s="285">
        <f t="shared" si="33"/>
        <v>0</v>
      </c>
      <c r="AD69" s="285">
        <f t="shared" si="33"/>
        <v>0.2</v>
      </c>
      <c r="AE69" s="285">
        <f>AE45</f>
        <v>0</v>
      </c>
      <c r="AF69" s="286"/>
    </row>
    <row r="70" spans="1:32" ht="15.75" x14ac:dyDescent="0.25">
      <c r="A70" s="291" t="s">
        <v>221</v>
      </c>
      <c r="B70" s="285">
        <f>B46</f>
        <v>61222.603000000003</v>
      </c>
      <c r="C70" s="285">
        <f t="shared" si="31"/>
        <v>33401.334999999999</v>
      </c>
      <c r="D70" s="285">
        <f t="shared" si="31"/>
        <v>0</v>
      </c>
      <c r="E70" s="285">
        <f t="shared" si="31"/>
        <v>0</v>
      </c>
      <c r="F70" s="285">
        <f t="shared" si="31"/>
        <v>0</v>
      </c>
      <c r="G70" s="285">
        <f t="shared" si="31"/>
        <v>0</v>
      </c>
      <c r="H70" s="285">
        <f t="shared" si="31"/>
        <v>0</v>
      </c>
      <c r="I70" s="285">
        <f t="shared" si="31"/>
        <v>0</v>
      </c>
      <c r="J70" s="285">
        <f t="shared" si="31"/>
        <v>2609.3220000000001</v>
      </c>
      <c r="K70" s="285">
        <f t="shared" si="31"/>
        <v>0</v>
      </c>
      <c r="L70" s="285">
        <f t="shared" si="31"/>
        <v>30792.012999999999</v>
      </c>
      <c r="M70" s="285">
        <f t="shared" si="31"/>
        <v>0</v>
      </c>
      <c r="N70" s="285">
        <f t="shared" si="31"/>
        <v>0</v>
      </c>
      <c r="O70" s="285">
        <f t="shared" si="31"/>
        <v>0</v>
      </c>
      <c r="P70" s="285">
        <f t="shared" si="31"/>
        <v>0</v>
      </c>
      <c r="Q70" s="285">
        <f t="shared" si="31"/>
        <v>0</v>
      </c>
      <c r="R70" s="285">
        <f t="shared" si="31"/>
        <v>1739.548</v>
      </c>
      <c r="S70" s="285">
        <f t="shared" si="31"/>
        <v>0</v>
      </c>
      <c r="T70" s="285">
        <f>T46+T58</f>
        <v>0</v>
      </c>
      <c r="U70" s="285">
        <f t="shared" si="32"/>
        <v>0</v>
      </c>
      <c r="V70" s="285">
        <f t="shared" si="32"/>
        <v>0</v>
      </c>
      <c r="W70" s="285">
        <f t="shared" si="32"/>
        <v>0</v>
      </c>
      <c r="X70" s="285">
        <f t="shared" si="32"/>
        <v>0</v>
      </c>
      <c r="Y70" s="285">
        <f t="shared" si="32"/>
        <v>0</v>
      </c>
      <c r="Z70" s="285">
        <f t="shared" si="32"/>
        <v>0</v>
      </c>
      <c r="AA70" s="285">
        <f t="shared" si="32"/>
        <v>0</v>
      </c>
      <c r="AB70" s="285">
        <f>AB46+AB58</f>
        <v>0</v>
      </c>
      <c r="AC70" s="285">
        <f t="shared" si="33"/>
        <v>0</v>
      </c>
      <c r="AD70" s="285">
        <f t="shared" si="33"/>
        <v>26081.72</v>
      </c>
      <c r="AE70" s="285">
        <f>AE46</f>
        <v>0</v>
      </c>
      <c r="AF70" s="286"/>
    </row>
    <row r="71" spans="1:32" ht="31.5" x14ac:dyDescent="0.25">
      <c r="A71" s="302" t="s">
        <v>63</v>
      </c>
      <c r="B71" s="282">
        <f>B72+B73+B75</f>
        <v>207514.50300000003</v>
      </c>
      <c r="C71" s="282">
        <f>C72+C73+C75</f>
        <v>33401.334999999999</v>
      </c>
      <c r="D71" s="282">
        <f>D72+D73+D75</f>
        <v>0</v>
      </c>
      <c r="E71" s="282">
        <f>E72+E73+E75</f>
        <v>0</v>
      </c>
      <c r="F71" s="282">
        <f t="shared" si="29"/>
        <v>0</v>
      </c>
      <c r="G71" s="282">
        <f>IFERROR(E71/C71*100,0)</f>
        <v>0</v>
      </c>
      <c r="H71" s="282">
        <f>H72+H73+H75</f>
        <v>0</v>
      </c>
      <c r="I71" s="282">
        <f t="shared" ref="I71:AE71" si="34">I72+I73+I75</f>
        <v>0</v>
      </c>
      <c r="J71" s="282">
        <f t="shared" si="34"/>
        <v>2609.3220000000001</v>
      </c>
      <c r="K71" s="282">
        <f t="shared" si="34"/>
        <v>0</v>
      </c>
      <c r="L71" s="282">
        <f t="shared" si="34"/>
        <v>30792.012999999999</v>
      </c>
      <c r="M71" s="282">
        <f t="shared" si="34"/>
        <v>0</v>
      </c>
      <c r="N71" s="282">
        <f t="shared" si="34"/>
        <v>0</v>
      </c>
      <c r="O71" s="282">
        <f t="shared" si="34"/>
        <v>0</v>
      </c>
      <c r="P71" s="282">
        <f t="shared" si="34"/>
        <v>0</v>
      </c>
      <c r="Q71" s="282">
        <f t="shared" si="34"/>
        <v>0</v>
      </c>
      <c r="R71" s="282">
        <f t="shared" si="34"/>
        <v>1847.1479999999999</v>
      </c>
      <c r="S71" s="282">
        <f t="shared" si="34"/>
        <v>0</v>
      </c>
      <c r="T71" s="282">
        <f t="shared" si="34"/>
        <v>8060.7119400000001</v>
      </c>
      <c r="U71" s="282">
        <f t="shared" si="34"/>
        <v>0</v>
      </c>
      <c r="V71" s="282">
        <f t="shared" si="34"/>
        <v>0</v>
      </c>
      <c r="W71" s="282">
        <f t="shared" si="34"/>
        <v>0</v>
      </c>
      <c r="X71" s="282">
        <f t="shared" si="34"/>
        <v>118</v>
      </c>
      <c r="Y71" s="282">
        <f t="shared" si="34"/>
        <v>0</v>
      </c>
      <c r="Z71" s="282">
        <f t="shared" si="34"/>
        <v>0</v>
      </c>
      <c r="AA71" s="282">
        <f t="shared" si="34"/>
        <v>0</v>
      </c>
      <c r="AB71" s="282">
        <f>AB72+AB73+AB75</f>
        <v>79554.088059999995</v>
      </c>
      <c r="AC71" s="282">
        <f t="shared" si="34"/>
        <v>0</v>
      </c>
      <c r="AD71" s="282">
        <f t="shared" si="34"/>
        <v>84533.22</v>
      </c>
      <c r="AE71" s="282">
        <f t="shared" si="34"/>
        <v>0</v>
      </c>
      <c r="AF71" s="283"/>
    </row>
    <row r="72" spans="1:32" ht="15.75" x14ac:dyDescent="0.25">
      <c r="A72" s="303" t="s">
        <v>32</v>
      </c>
      <c r="B72" s="285">
        <f>B67+B35</f>
        <v>126783.70000000001</v>
      </c>
      <c r="C72" s="285">
        <f>C67+C35</f>
        <v>0</v>
      </c>
      <c r="D72" s="285">
        <f>D67+D35</f>
        <v>0</v>
      </c>
      <c r="E72" s="285">
        <f>E67+E35</f>
        <v>0</v>
      </c>
      <c r="F72" s="285">
        <f t="shared" si="29"/>
        <v>0</v>
      </c>
      <c r="G72" s="285">
        <f>IFERROR(E72/C72*100,0)</f>
        <v>0</v>
      </c>
      <c r="H72" s="285">
        <f t="shared" ref="H72:AE72" si="35">H67+H35</f>
        <v>0</v>
      </c>
      <c r="I72" s="285">
        <f t="shared" si="35"/>
        <v>0</v>
      </c>
      <c r="J72" s="285">
        <f t="shared" si="35"/>
        <v>0</v>
      </c>
      <c r="K72" s="285">
        <f t="shared" si="35"/>
        <v>0</v>
      </c>
      <c r="L72" s="285">
        <f t="shared" si="35"/>
        <v>0</v>
      </c>
      <c r="M72" s="285">
        <f t="shared" si="35"/>
        <v>0</v>
      </c>
      <c r="N72" s="285">
        <f t="shared" si="35"/>
        <v>0</v>
      </c>
      <c r="O72" s="285">
        <f t="shared" si="35"/>
        <v>0</v>
      </c>
      <c r="P72" s="285">
        <f t="shared" si="35"/>
        <v>0</v>
      </c>
      <c r="Q72" s="285">
        <f t="shared" si="35"/>
        <v>0</v>
      </c>
      <c r="R72" s="285">
        <f t="shared" si="35"/>
        <v>0</v>
      </c>
      <c r="S72" s="285">
        <f t="shared" si="35"/>
        <v>0</v>
      </c>
      <c r="T72" s="285">
        <f t="shared" si="35"/>
        <v>7657.67634</v>
      </c>
      <c r="U72" s="285">
        <f t="shared" si="35"/>
        <v>0</v>
      </c>
      <c r="V72" s="285">
        <f t="shared" si="35"/>
        <v>0</v>
      </c>
      <c r="W72" s="285">
        <f t="shared" si="35"/>
        <v>0</v>
      </c>
      <c r="X72" s="285">
        <f t="shared" si="35"/>
        <v>0</v>
      </c>
      <c r="Y72" s="285">
        <f t="shared" si="35"/>
        <v>0</v>
      </c>
      <c r="Z72" s="285">
        <f t="shared" si="35"/>
        <v>0</v>
      </c>
      <c r="AA72" s="285">
        <f t="shared" si="35"/>
        <v>0</v>
      </c>
      <c r="AB72" s="285">
        <f t="shared" si="35"/>
        <v>72733.623659999997</v>
      </c>
      <c r="AC72" s="285">
        <f t="shared" si="35"/>
        <v>0</v>
      </c>
      <c r="AD72" s="285">
        <f t="shared" si="35"/>
        <v>46392.4</v>
      </c>
      <c r="AE72" s="285">
        <f t="shared" si="35"/>
        <v>0</v>
      </c>
      <c r="AF72" s="286"/>
    </row>
    <row r="73" spans="1:32" ht="15.75" x14ac:dyDescent="0.25">
      <c r="A73" s="303" t="s">
        <v>33</v>
      </c>
      <c r="B73" s="285">
        <f t="shared" ref="B73:AE73" si="36">B68+B36+B18</f>
        <v>19508.2</v>
      </c>
      <c r="C73" s="285">
        <f t="shared" si="36"/>
        <v>0</v>
      </c>
      <c r="D73" s="285">
        <f t="shared" si="36"/>
        <v>0</v>
      </c>
      <c r="E73" s="285">
        <f t="shared" si="36"/>
        <v>0</v>
      </c>
      <c r="F73" s="285">
        <f t="shared" si="36"/>
        <v>0</v>
      </c>
      <c r="G73" s="285">
        <f t="shared" si="36"/>
        <v>0</v>
      </c>
      <c r="H73" s="285">
        <f t="shared" si="36"/>
        <v>0</v>
      </c>
      <c r="I73" s="285">
        <f t="shared" si="36"/>
        <v>0</v>
      </c>
      <c r="J73" s="285">
        <f t="shared" si="36"/>
        <v>0</v>
      </c>
      <c r="K73" s="285">
        <f t="shared" si="36"/>
        <v>0</v>
      </c>
      <c r="L73" s="285">
        <f t="shared" si="36"/>
        <v>0</v>
      </c>
      <c r="M73" s="285">
        <f t="shared" si="36"/>
        <v>0</v>
      </c>
      <c r="N73" s="285">
        <f t="shared" si="36"/>
        <v>0</v>
      </c>
      <c r="O73" s="285">
        <f t="shared" si="36"/>
        <v>0</v>
      </c>
      <c r="P73" s="285">
        <f t="shared" si="36"/>
        <v>0</v>
      </c>
      <c r="Q73" s="285">
        <f t="shared" si="36"/>
        <v>0</v>
      </c>
      <c r="R73" s="285">
        <f t="shared" si="36"/>
        <v>107.6</v>
      </c>
      <c r="S73" s="285">
        <f t="shared" si="36"/>
        <v>0</v>
      </c>
      <c r="T73" s="285">
        <f t="shared" si="36"/>
        <v>403.03559999999999</v>
      </c>
      <c r="U73" s="285">
        <f t="shared" si="36"/>
        <v>0</v>
      </c>
      <c r="V73" s="285">
        <f t="shared" si="36"/>
        <v>0</v>
      </c>
      <c r="W73" s="285">
        <f t="shared" si="36"/>
        <v>0</v>
      </c>
      <c r="X73" s="285">
        <f t="shared" si="36"/>
        <v>118</v>
      </c>
      <c r="Y73" s="285">
        <f t="shared" si="36"/>
        <v>0</v>
      </c>
      <c r="Z73" s="285">
        <f t="shared" si="36"/>
        <v>0</v>
      </c>
      <c r="AA73" s="285">
        <f t="shared" si="36"/>
        <v>0</v>
      </c>
      <c r="AB73" s="285">
        <f t="shared" si="36"/>
        <v>6820.4643999999998</v>
      </c>
      <c r="AC73" s="285">
        <f t="shared" si="36"/>
        <v>0</v>
      </c>
      <c r="AD73" s="285">
        <f>AD68+AD36+AD18</f>
        <v>12059.1</v>
      </c>
      <c r="AE73" s="285">
        <f t="shared" si="36"/>
        <v>0</v>
      </c>
      <c r="AF73" s="286"/>
    </row>
    <row r="74" spans="1:32" ht="31.5" x14ac:dyDescent="0.25">
      <c r="A74" s="296" t="s">
        <v>174</v>
      </c>
      <c r="B74" s="285">
        <f t="shared" ref="B74:AD74" si="37">B69+B37+B18</f>
        <v>19282.599999999999</v>
      </c>
      <c r="C74" s="285">
        <f t="shared" si="37"/>
        <v>0</v>
      </c>
      <c r="D74" s="285">
        <f t="shared" si="37"/>
        <v>0</v>
      </c>
      <c r="E74" s="285">
        <f t="shared" si="37"/>
        <v>0</v>
      </c>
      <c r="F74" s="285">
        <f t="shared" si="37"/>
        <v>0</v>
      </c>
      <c r="G74" s="285">
        <f t="shared" si="37"/>
        <v>0</v>
      </c>
      <c r="H74" s="285">
        <f t="shared" si="37"/>
        <v>0</v>
      </c>
      <c r="I74" s="285">
        <f t="shared" si="37"/>
        <v>0</v>
      </c>
      <c r="J74" s="285">
        <f t="shared" si="37"/>
        <v>0</v>
      </c>
      <c r="K74" s="285">
        <f t="shared" si="37"/>
        <v>0</v>
      </c>
      <c r="L74" s="285">
        <f t="shared" si="37"/>
        <v>0</v>
      </c>
      <c r="M74" s="285">
        <f t="shared" si="37"/>
        <v>0</v>
      </c>
      <c r="N74" s="285">
        <f t="shared" si="37"/>
        <v>0</v>
      </c>
      <c r="O74" s="285">
        <f t="shared" si="37"/>
        <v>0</v>
      </c>
      <c r="P74" s="285">
        <f t="shared" si="37"/>
        <v>0</v>
      </c>
      <c r="Q74" s="285">
        <f t="shared" si="37"/>
        <v>0</v>
      </c>
      <c r="R74" s="285">
        <f t="shared" si="37"/>
        <v>0</v>
      </c>
      <c r="S74" s="285">
        <f t="shared" si="37"/>
        <v>0</v>
      </c>
      <c r="T74" s="285">
        <f t="shared" si="37"/>
        <v>806.07119999999998</v>
      </c>
      <c r="U74" s="285">
        <f t="shared" si="37"/>
        <v>0</v>
      </c>
      <c r="V74" s="285">
        <f t="shared" si="37"/>
        <v>0</v>
      </c>
      <c r="W74" s="285">
        <f t="shared" si="37"/>
        <v>0</v>
      </c>
      <c r="X74" s="285">
        <f t="shared" si="37"/>
        <v>0</v>
      </c>
      <c r="Y74" s="285">
        <f t="shared" si="37"/>
        <v>0</v>
      </c>
      <c r="Z74" s="285">
        <f t="shared" si="37"/>
        <v>0</v>
      </c>
      <c r="AA74" s="285">
        <f t="shared" si="37"/>
        <v>0</v>
      </c>
      <c r="AB74" s="285">
        <f t="shared" si="37"/>
        <v>10648.5288</v>
      </c>
      <c r="AC74" s="285">
        <f t="shared" si="37"/>
        <v>0</v>
      </c>
      <c r="AD74" s="285">
        <f t="shared" si="37"/>
        <v>12059.2</v>
      </c>
      <c r="AE74" s="285">
        <f>AE69+AE37</f>
        <v>0</v>
      </c>
      <c r="AF74" s="286"/>
    </row>
    <row r="75" spans="1:32" ht="31.5" x14ac:dyDescent="0.25">
      <c r="A75" s="284" t="s">
        <v>374</v>
      </c>
      <c r="B75" s="285">
        <f>B70+B38</f>
        <v>61222.603000000003</v>
      </c>
      <c r="C75" s="285">
        <f>C70+C38</f>
        <v>33401.334999999999</v>
      </c>
      <c r="D75" s="285">
        <f>D70+D38</f>
        <v>0</v>
      </c>
      <c r="E75" s="285">
        <f>E70+E38</f>
        <v>0</v>
      </c>
      <c r="F75" s="285">
        <f>IFERROR(E75/B75*100,0)</f>
        <v>0</v>
      </c>
      <c r="G75" s="285">
        <f>IFERROR(E75/C75*100,0)</f>
        <v>0</v>
      </c>
      <c r="H75" s="285">
        <f t="shared" ref="H75:AD75" si="38">H70+H38</f>
        <v>0</v>
      </c>
      <c r="I75" s="285">
        <f t="shared" si="38"/>
        <v>0</v>
      </c>
      <c r="J75" s="285">
        <f t="shared" si="38"/>
        <v>2609.3220000000001</v>
      </c>
      <c r="K75" s="285">
        <f t="shared" si="38"/>
        <v>0</v>
      </c>
      <c r="L75" s="285">
        <f t="shared" si="38"/>
        <v>30792.012999999999</v>
      </c>
      <c r="M75" s="285">
        <f t="shared" si="38"/>
        <v>0</v>
      </c>
      <c r="N75" s="285">
        <f t="shared" si="38"/>
        <v>0</v>
      </c>
      <c r="O75" s="285">
        <f t="shared" si="38"/>
        <v>0</v>
      </c>
      <c r="P75" s="285">
        <f t="shared" si="38"/>
        <v>0</v>
      </c>
      <c r="Q75" s="285">
        <f t="shared" si="38"/>
        <v>0</v>
      </c>
      <c r="R75" s="285">
        <f t="shared" si="38"/>
        <v>1739.548</v>
      </c>
      <c r="S75" s="285">
        <f t="shared" si="38"/>
        <v>0</v>
      </c>
      <c r="T75" s="285">
        <f t="shared" si="38"/>
        <v>0</v>
      </c>
      <c r="U75" s="285">
        <f t="shared" si="38"/>
        <v>0</v>
      </c>
      <c r="V75" s="285">
        <f t="shared" si="38"/>
        <v>0</v>
      </c>
      <c r="W75" s="285">
        <f t="shared" si="38"/>
        <v>0</v>
      </c>
      <c r="X75" s="285">
        <f t="shared" si="38"/>
        <v>0</v>
      </c>
      <c r="Y75" s="285">
        <f t="shared" si="38"/>
        <v>0</v>
      </c>
      <c r="Z75" s="285">
        <f t="shared" si="38"/>
        <v>0</v>
      </c>
      <c r="AA75" s="285">
        <f t="shared" si="38"/>
        <v>0</v>
      </c>
      <c r="AB75" s="285">
        <f t="shared" si="38"/>
        <v>0</v>
      </c>
      <c r="AC75" s="285">
        <f t="shared" si="38"/>
        <v>0</v>
      </c>
      <c r="AD75" s="285">
        <f t="shared" si="38"/>
        <v>26081.72</v>
      </c>
      <c r="AE75" s="285">
        <f>AE70+AE38</f>
        <v>0</v>
      </c>
      <c r="AF75" s="286"/>
    </row>
    <row r="76" spans="1:32" ht="15.75" customHeight="1" x14ac:dyDescent="0.25">
      <c r="A76" s="867" t="s">
        <v>381</v>
      </c>
      <c r="B76" s="868"/>
      <c r="C76" s="868"/>
      <c r="D76" s="868"/>
      <c r="E76" s="868"/>
      <c r="F76" s="868"/>
      <c r="G76" s="868"/>
      <c r="H76" s="868"/>
      <c r="I76" s="868"/>
      <c r="J76" s="868"/>
      <c r="K76" s="868"/>
      <c r="L76" s="868"/>
      <c r="M76" s="868"/>
      <c r="N76" s="868"/>
      <c r="O76" s="868"/>
      <c r="P76" s="868"/>
      <c r="Q76" s="868"/>
      <c r="R76" s="868"/>
      <c r="S76" s="868"/>
      <c r="T76" s="868"/>
      <c r="U76" s="868"/>
      <c r="V76" s="868"/>
      <c r="W76" s="868"/>
      <c r="X76" s="868"/>
      <c r="Y76" s="868"/>
      <c r="Z76" s="868"/>
      <c r="AA76" s="868"/>
      <c r="AB76" s="868"/>
      <c r="AC76" s="868"/>
      <c r="AD76" s="868"/>
      <c r="AE76" s="868"/>
      <c r="AF76" s="304"/>
    </row>
    <row r="77" spans="1:32" ht="15.75" x14ac:dyDescent="0.25">
      <c r="A77" s="281" t="s">
        <v>31</v>
      </c>
      <c r="B77" s="282">
        <f>B78+B79+B81</f>
        <v>207514.50300000003</v>
      </c>
      <c r="C77" s="282">
        <f>C78+C79+C81</f>
        <v>33401.334999999999</v>
      </c>
      <c r="D77" s="282">
        <f>D78+D79+D81</f>
        <v>0</v>
      </c>
      <c r="E77" s="282">
        <f>E78+E79+E81</f>
        <v>0</v>
      </c>
      <c r="F77" s="282">
        <f>IFERROR(E77/B77*100,0)</f>
        <v>0</v>
      </c>
      <c r="G77" s="282">
        <f>IFERROR(F77/C77*100,0)</f>
        <v>0</v>
      </c>
      <c r="H77" s="282">
        <f>H78+H79+H81</f>
        <v>0</v>
      </c>
      <c r="I77" s="282">
        <f t="shared" ref="I77:AE77" si="39">I78+I79+I81</f>
        <v>0</v>
      </c>
      <c r="J77" s="282">
        <f t="shared" si="39"/>
        <v>2609.3220000000001</v>
      </c>
      <c r="K77" s="282">
        <f t="shared" si="39"/>
        <v>0</v>
      </c>
      <c r="L77" s="282">
        <f t="shared" si="39"/>
        <v>30792.012999999999</v>
      </c>
      <c r="M77" s="282">
        <f t="shared" si="39"/>
        <v>0</v>
      </c>
      <c r="N77" s="282">
        <f t="shared" si="39"/>
        <v>0</v>
      </c>
      <c r="O77" s="282">
        <f t="shared" si="39"/>
        <v>0</v>
      </c>
      <c r="P77" s="282">
        <f t="shared" si="39"/>
        <v>0</v>
      </c>
      <c r="Q77" s="282">
        <f t="shared" si="39"/>
        <v>0</v>
      </c>
      <c r="R77" s="282">
        <f t="shared" si="39"/>
        <v>1847.1479999999999</v>
      </c>
      <c r="S77" s="282">
        <f t="shared" si="39"/>
        <v>0</v>
      </c>
      <c r="T77" s="282">
        <f t="shared" si="39"/>
        <v>8060.7119400000001</v>
      </c>
      <c r="U77" s="282">
        <f t="shared" si="39"/>
        <v>0</v>
      </c>
      <c r="V77" s="282">
        <f t="shared" si="39"/>
        <v>0</v>
      </c>
      <c r="W77" s="282">
        <f t="shared" si="39"/>
        <v>0</v>
      </c>
      <c r="X77" s="282">
        <f t="shared" si="39"/>
        <v>118</v>
      </c>
      <c r="Y77" s="282">
        <f t="shared" si="39"/>
        <v>0</v>
      </c>
      <c r="Z77" s="282">
        <f t="shared" si="39"/>
        <v>0</v>
      </c>
      <c r="AA77" s="282">
        <f t="shared" si="39"/>
        <v>0</v>
      </c>
      <c r="AB77" s="282">
        <f t="shared" si="39"/>
        <v>79554.088059999995</v>
      </c>
      <c r="AC77" s="282">
        <f t="shared" si="39"/>
        <v>0</v>
      </c>
      <c r="AD77" s="282">
        <f t="shared" si="39"/>
        <v>84533.22</v>
      </c>
      <c r="AE77" s="282">
        <f t="shared" si="39"/>
        <v>0</v>
      </c>
      <c r="AF77" s="305"/>
    </row>
    <row r="78" spans="1:32" ht="15.75" x14ac:dyDescent="0.25">
      <c r="A78" s="303" t="s">
        <v>32</v>
      </c>
      <c r="B78" s="285">
        <f>H78+J78+L78+N78+P78+R78+T78+V78+X78+Z78+AB78+AD78</f>
        <v>126783.70000000001</v>
      </c>
      <c r="C78" s="285">
        <f>H78+J78+L78+N78+P78</f>
        <v>0</v>
      </c>
      <c r="D78" s="285">
        <f>E78</f>
        <v>0</v>
      </c>
      <c r="E78" s="285">
        <f>I78+K78+M78+O78+Q78+S78+U78+W78+Y78+AA78+AC78+AE78</f>
        <v>0</v>
      </c>
      <c r="F78" s="285">
        <f t="shared" ref="F78:G81" si="40">IFERROR(E78/B78*100,0)</f>
        <v>0</v>
      </c>
      <c r="G78" s="285">
        <f t="shared" si="40"/>
        <v>0</v>
      </c>
      <c r="H78" s="285">
        <f>H72</f>
        <v>0</v>
      </c>
      <c r="I78" s="285">
        <f t="shared" ref="I78:AE81" si="41">I72</f>
        <v>0</v>
      </c>
      <c r="J78" s="285">
        <f t="shared" si="41"/>
        <v>0</v>
      </c>
      <c r="K78" s="285">
        <f t="shared" si="41"/>
        <v>0</v>
      </c>
      <c r="L78" s="285">
        <f t="shared" si="41"/>
        <v>0</v>
      </c>
      <c r="M78" s="285">
        <f t="shared" si="41"/>
        <v>0</v>
      </c>
      <c r="N78" s="285">
        <f t="shared" si="41"/>
        <v>0</v>
      </c>
      <c r="O78" s="285">
        <f t="shared" si="41"/>
        <v>0</v>
      </c>
      <c r="P78" s="285">
        <f t="shared" si="41"/>
        <v>0</v>
      </c>
      <c r="Q78" s="285">
        <f t="shared" si="41"/>
        <v>0</v>
      </c>
      <c r="R78" s="285">
        <f t="shared" si="41"/>
        <v>0</v>
      </c>
      <c r="S78" s="285">
        <f t="shared" si="41"/>
        <v>0</v>
      </c>
      <c r="T78" s="285">
        <f t="shared" si="41"/>
        <v>7657.67634</v>
      </c>
      <c r="U78" s="285">
        <f t="shared" si="41"/>
        <v>0</v>
      </c>
      <c r="V78" s="285">
        <f t="shared" si="41"/>
        <v>0</v>
      </c>
      <c r="W78" s="285">
        <f t="shared" si="41"/>
        <v>0</v>
      </c>
      <c r="X78" s="285">
        <f t="shared" si="41"/>
        <v>0</v>
      </c>
      <c r="Y78" s="285">
        <f t="shared" si="41"/>
        <v>0</v>
      </c>
      <c r="Z78" s="285">
        <f t="shared" si="41"/>
        <v>0</v>
      </c>
      <c r="AA78" s="285">
        <f t="shared" si="41"/>
        <v>0</v>
      </c>
      <c r="AB78" s="285">
        <f t="shared" si="41"/>
        <v>72733.623659999997</v>
      </c>
      <c r="AC78" s="285">
        <f t="shared" si="41"/>
        <v>0</v>
      </c>
      <c r="AD78" s="285">
        <f t="shared" si="41"/>
        <v>46392.4</v>
      </c>
      <c r="AE78" s="285">
        <f t="shared" si="41"/>
        <v>0</v>
      </c>
      <c r="AF78" s="306"/>
    </row>
    <row r="79" spans="1:32" ht="15.75" x14ac:dyDescent="0.25">
      <c r="A79" s="303" t="s">
        <v>33</v>
      </c>
      <c r="B79" s="285">
        <f>H79+J79+L79+N79+P79+R79+T79+V79+X79+Z79+AB79+AD79</f>
        <v>19508.2</v>
      </c>
      <c r="C79" s="285">
        <f>H79+J79+L79+N79+P79</f>
        <v>0</v>
      </c>
      <c r="D79" s="285">
        <f>E79</f>
        <v>0</v>
      </c>
      <c r="E79" s="285">
        <f>I79+K79+M79+O79+Q79+S79+U79+W79+Y79+AA79+AC79+AE79</f>
        <v>0</v>
      </c>
      <c r="F79" s="285">
        <f t="shared" si="40"/>
        <v>0</v>
      </c>
      <c r="G79" s="285">
        <f t="shared" si="40"/>
        <v>0</v>
      </c>
      <c r="H79" s="285">
        <f t="shared" ref="H79:W81" si="42">H73</f>
        <v>0</v>
      </c>
      <c r="I79" s="285">
        <f t="shared" si="42"/>
        <v>0</v>
      </c>
      <c r="J79" s="285">
        <f t="shared" si="42"/>
        <v>0</v>
      </c>
      <c r="K79" s="285">
        <f t="shared" si="42"/>
        <v>0</v>
      </c>
      <c r="L79" s="285">
        <f t="shared" si="42"/>
        <v>0</v>
      </c>
      <c r="M79" s="285">
        <f t="shared" si="42"/>
        <v>0</v>
      </c>
      <c r="N79" s="285">
        <f t="shared" si="42"/>
        <v>0</v>
      </c>
      <c r="O79" s="285">
        <f t="shared" si="42"/>
        <v>0</v>
      </c>
      <c r="P79" s="285">
        <f t="shared" si="42"/>
        <v>0</v>
      </c>
      <c r="Q79" s="285">
        <f t="shared" si="42"/>
        <v>0</v>
      </c>
      <c r="R79" s="285">
        <f t="shared" si="42"/>
        <v>107.6</v>
      </c>
      <c r="S79" s="285">
        <f t="shared" si="42"/>
        <v>0</v>
      </c>
      <c r="T79" s="285">
        <f t="shared" si="42"/>
        <v>403.03559999999999</v>
      </c>
      <c r="U79" s="285">
        <f t="shared" si="42"/>
        <v>0</v>
      </c>
      <c r="V79" s="285">
        <f t="shared" si="42"/>
        <v>0</v>
      </c>
      <c r="W79" s="285">
        <f t="shared" si="42"/>
        <v>0</v>
      </c>
      <c r="X79" s="285">
        <f t="shared" si="41"/>
        <v>118</v>
      </c>
      <c r="Y79" s="285">
        <f t="shared" si="41"/>
        <v>0</v>
      </c>
      <c r="Z79" s="285">
        <f t="shared" si="41"/>
        <v>0</v>
      </c>
      <c r="AA79" s="285">
        <f t="shared" si="41"/>
        <v>0</v>
      </c>
      <c r="AB79" s="285">
        <f t="shared" si="41"/>
        <v>6820.4643999999998</v>
      </c>
      <c r="AC79" s="285">
        <f t="shared" si="41"/>
        <v>0</v>
      </c>
      <c r="AD79" s="285">
        <f t="shared" si="41"/>
        <v>12059.1</v>
      </c>
      <c r="AE79" s="285">
        <f t="shared" si="41"/>
        <v>0</v>
      </c>
      <c r="AF79" s="306"/>
    </row>
    <row r="80" spans="1:32" ht="31.5" x14ac:dyDescent="0.25">
      <c r="A80" s="296" t="s">
        <v>174</v>
      </c>
      <c r="B80" s="285">
        <f>H80+J80+L80+N80+P80+R80+T80+V80+X80+Z80+AB80+AD80</f>
        <v>23513.800000000003</v>
      </c>
      <c r="C80" s="285">
        <f>H80+J80+L80+N80+P80</f>
        <v>0</v>
      </c>
      <c r="D80" s="285">
        <f>E80</f>
        <v>0</v>
      </c>
      <c r="E80" s="285">
        <f>I80+K80+M80+O80+Q80+S80+U80+W80+Y80+AA80+AC80+AE80</f>
        <v>0</v>
      </c>
      <c r="F80" s="285">
        <f t="shared" si="40"/>
        <v>0</v>
      </c>
      <c r="G80" s="285">
        <f t="shared" si="40"/>
        <v>0</v>
      </c>
      <c r="H80" s="285">
        <f t="shared" si="42"/>
        <v>0</v>
      </c>
      <c r="I80" s="285">
        <f t="shared" si="42"/>
        <v>0</v>
      </c>
      <c r="J80" s="285">
        <f t="shared" si="42"/>
        <v>0</v>
      </c>
      <c r="K80" s="285">
        <f t="shared" si="42"/>
        <v>0</v>
      </c>
      <c r="L80" s="285">
        <f t="shared" si="42"/>
        <v>0</v>
      </c>
      <c r="M80" s="285">
        <f t="shared" si="42"/>
        <v>0</v>
      </c>
      <c r="N80" s="285">
        <f t="shared" si="42"/>
        <v>0</v>
      </c>
      <c r="O80" s="285">
        <f t="shared" si="42"/>
        <v>0</v>
      </c>
      <c r="P80" s="285">
        <f t="shared" si="42"/>
        <v>0</v>
      </c>
      <c r="Q80" s="285">
        <f t="shared" si="42"/>
        <v>0</v>
      </c>
      <c r="R80" s="285">
        <f t="shared" si="42"/>
        <v>0</v>
      </c>
      <c r="S80" s="285">
        <f t="shared" si="42"/>
        <v>0</v>
      </c>
      <c r="T80" s="285">
        <f t="shared" si="42"/>
        <v>806.07119999999998</v>
      </c>
      <c r="U80" s="285">
        <f t="shared" si="42"/>
        <v>0</v>
      </c>
      <c r="V80" s="285">
        <f t="shared" si="42"/>
        <v>0</v>
      </c>
      <c r="W80" s="285">
        <f t="shared" si="42"/>
        <v>0</v>
      </c>
      <c r="X80" s="285">
        <f t="shared" si="41"/>
        <v>0</v>
      </c>
      <c r="Y80" s="285">
        <f t="shared" si="41"/>
        <v>0</v>
      </c>
      <c r="Z80" s="285">
        <f t="shared" si="41"/>
        <v>0</v>
      </c>
      <c r="AA80" s="285">
        <f t="shared" si="41"/>
        <v>0</v>
      </c>
      <c r="AB80" s="285">
        <f t="shared" si="41"/>
        <v>10648.5288</v>
      </c>
      <c r="AC80" s="285">
        <f t="shared" si="41"/>
        <v>0</v>
      </c>
      <c r="AD80" s="285">
        <f>AD74</f>
        <v>12059.2</v>
      </c>
      <c r="AE80" s="285">
        <f t="shared" si="41"/>
        <v>0</v>
      </c>
      <c r="AF80" s="306"/>
    </row>
    <row r="81" spans="1:32" ht="31.5" x14ac:dyDescent="0.25">
      <c r="A81" s="284" t="s">
        <v>374</v>
      </c>
      <c r="B81" s="285">
        <f>H81+J81+L81+N81+P81+R81+T81+V81+X81+Z81+AB81+AD81</f>
        <v>61222.603000000003</v>
      </c>
      <c r="C81" s="285">
        <f>H81+J81+L81+N81+P81</f>
        <v>33401.334999999999</v>
      </c>
      <c r="D81" s="285">
        <f>E81</f>
        <v>0</v>
      </c>
      <c r="E81" s="285">
        <f>I81+K81+M81+O81+Q81+S81+U81+W81+Y81+AA81+AC81+AE81</f>
        <v>0</v>
      </c>
      <c r="F81" s="285">
        <f t="shared" si="40"/>
        <v>0</v>
      </c>
      <c r="G81" s="285">
        <f t="shared" si="40"/>
        <v>0</v>
      </c>
      <c r="H81" s="285">
        <f t="shared" si="42"/>
        <v>0</v>
      </c>
      <c r="I81" s="285">
        <f t="shared" si="42"/>
        <v>0</v>
      </c>
      <c r="J81" s="285">
        <f t="shared" si="42"/>
        <v>2609.3220000000001</v>
      </c>
      <c r="K81" s="285">
        <f t="shared" si="42"/>
        <v>0</v>
      </c>
      <c r="L81" s="285">
        <f t="shared" si="42"/>
        <v>30792.012999999999</v>
      </c>
      <c r="M81" s="285">
        <f t="shared" si="42"/>
        <v>0</v>
      </c>
      <c r="N81" s="285">
        <f t="shared" si="42"/>
        <v>0</v>
      </c>
      <c r="O81" s="285">
        <f t="shared" si="42"/>
        <v>0</v>
      </c>
      <c r="P81" s="285">
        <f t="shared" si="42"/>
        <v>0</v>
      </c>
      <c r="Q81" s="285">
        <f t="shared" si="42"/>
        <v>0</v>
      </c>
      <c r="R81" s="285">
        <f t="shared" si="42"/>
        <v>1739.548</v>
      </c>
      <c r="S81" s="285">
        <f t="shared" si="42"/>
        <v>0</v>
      </c>
      <c r="T81" s="285">
        <f t="shared" si="42"/>
        <v>0</v>
      </c>
      <c r="U81" s="285">
        <f t="shared" si="42"/>
        <v>0</v>
      </c>
      <c r="V81" s="285">
        <f t="shared" si="42"/>
        <v>0</v>
      </c>
      <c r="W81" s="285">
        <f t="shared" si="42"/>
        <v>0</v>
      </c>
      <c r="X81" s="285">
        <f t="shared" si="41"/>
        <v>0</v>
      </c>
      <c r="Y81" s="285">
        <f t="shared" si="41"/>
        <v>0</v>
      </c>
      <c r="Z81" s="285">
        <f t="shared" si="41"/>
        <v>0</v>
      </c>
      <c r="AA81" s="285">
        <f t="shared" si="41"/>
        <v>0</v>
      </c>
      <c r="AB81" s="285">
        <f t="shared" si="41"/>
        <v>0</v>
      </c>
      <c r="AC81" s="285">
        <f t="shared" si="41"/>
        <v>0</v>
      </c>
      <c r="AD81" s="285">
        <f t="shared" si="41"/>
        <v>26081.72</v>
      </c>
      <c r="AE81" s="285">
        <f t="shared" si="41"/>
        <v>0</v>
      </c>
      <c r="AF81" s="306"/>
    </row>
  </sheetData>
  <customSheetViews>
    <customSheetView guid="{7C130984-112A-4861-AA43-E2940708E3DC}" scale="75" state="hidden" topLeftCell="K1">
      <pane ySplit="4" topLeftCell="A53" activePane="bottomLeft" state="frozen"/>
      <selection pane="bottomLeft" activeCell="A53" sqref="A53"/>
      <pageMargins left="0.7" right="0.7" top="0.75" bottom="0.75" header="0.3" footer="0.3"/>
      <pageSetup paperSize="9" orientation="portrait" r:id="rId1"/>
    </customSheetView>
    <customSheetView guid="{4F41B9CC-959D-442C-80B0-1F0DB2C76D27}" scale="75">
      <pane ySplit="3" topLeftCell="A11" activePane="bottomLeft" state="frozen"/>
      <selection pane="bottomLeft" activeCell="AD69" sqref="AD69"/>
      <pageMargins left="0.7" right="0.7" top="0.75" bottom="0.75" header="0.3" footer="0.3"/>
      <pageSetup paperSize="9" orientation="portrait" r:id="rId2"/>
    </customSheetView>
    <customSheetView guid="{391AB76E-B386-49C1-800F-016A48AA1A46}" scale="75">
      <pane ySplit="4" topLeftCell="A11" activePane="bottomLeft" state="frozen"/>
      <selection pane="bottomLeft" activeCell="AD69" sqref="AD69"/>
      <pageMargins left="0.7" right="0.7" top="0.75" bottom="0.75" header="0.3" footer="0.3"/>
      <pageSetup paperSize="9" orientation="portrait" r:id="rId3"/>
    </customSheetView>
    <customSheetView guid="{D01FA037-9AEC-4167-ADB8-2F327C01ECE6}" scale="75">
      <pane ySplit="4" topLeftCell="A11" activePane="bottomLeft" state="frozen"/>
      <selection pane="bottomLeft" activeCell="AD69" sqref="AD69"/>
      <pageMargins left="0.7" right="0.7" top="0.75" bottom="0.75" header="0.3" footer="0.3"/>
      <pageSetup paperSize="9" orientation="portrait" r:id="rId4"/>
    </customSheetView>
    <customSheetView guid="{6A602CB8-B24C-4ED4-B378-B27354BE0A1A}" scale="75">
      <pane ySplit="4" topLeftCell="A11" activePane="bottomLeft" state="frozen"/>
      <selection pane="bottomLeft" activeCell="AD69" sqref="AD69"/>
      <pageMargins left="0.7" right="0.7" top="0.75" bottom="0.75" header="0.3" footer="0.3"/>
      <pageSetup paperSize="9" orientation="portrait" r:id="rId5"/>
    </customSheetView>
    <customSheetView guid="{DAA8A688-7558-4B5B-8DBD-E2629BD9E9A8}" scale="75">
      <pane ySplit="4" topLeftCell="A62" activePane="bottomLeft" state="frozen"/>
      <selection pane="bottomLeft" activeCell="C90" sqref="C90"/>
      <pageMargins left="0.7" right="0.7" top="0.75" bottom="0.75" header="0.3" footer="0.3"/>
      <pageSetup paperSize="9" orientation="portrait" r:id="rId6"/>
    </customSheetView>
    <customSheetView guid="{0C2B9C2A-7B94-41EF-A2E6-F8AC9A67DE25}" scale="75">
      <pane ySplit="4" topLeftCell="A5" activePane="bottomLeft" state="frozen"/>
      <selection pane="bottomLeft" activeCell="E2" sqref="E2:E3"/>
      <pageMargins left="0.7" right="0.7" top="0.75" bottom="0.75" header="0.3" footer="0.3"/>
    </customSheetView>
    <customSheetView guid="{87218168-6C8E-4D5B-A5E5-DCCC26803AA3}" scale="75">
      <pane ySplit="4" topLeftCell="A54" activePane="bottomLeft" state="frozen"/>
      <selection pane="bottomLeft" activeCell="E83" sqref="E83"/>
      <pageMargins left="0.7" right="0.7" top="0.75" bottom="0.75" header="0.3" footer="0.3"/>
    </customSheetView>
    <customSheetView guid="{533DC55B-6AD4-4674-9488-685EF2039F3E}" scale="75">
      <pane ySplit="4" topLeftCell="A54" activePane="bottomLeft" state="frozen"/>
      <selection pane="bottomLeft" activeCell="E83" sqref="E83"/>
      <pageMargins left="0.7" right="0.7" top="0.75" bottom="0.75" header="0.3" footer="0.3"/>
    </customSheetView>
    <customSheetView guid="{69DABE6F-6182-4403-A4A2-969F10F1C13A}" scale="75">
      <pane ySplit="4" topLeftCell="A5" activePane="bottomLeft" state="frozen"/>
      <selection pane="bottomLeft" activeCell="D69" sqref="D69"/>
      <pageMargins left="0.7" right="0.7" top="0.75" bottom="0.75" header="0.3" footer="0.3"/>
    </customSheetView>
    <customSheetView guid="{84867370-1F3E-4368-AF79-FBCE46FFFE92}" scale="75">
      <pane ySplit="4" topLeftCell="A5" activePane="bottomLeft" state="frozen"/>
      <selection pane="bottomLeft" activeCell="D69" sqref="D69"/>
      <pageMargins left="0.7" right="0.7" top="0.75" bottom="0.75" header="0.3" footer="0.3"/>
    </customSheetView>
    <customSheetView guid="{47B983AB-FE5F-4725-860C-A2F29420596D}" scale="75">
      <pane ySplit="4" topLeftCell="A44" activePane="bottomLeft" state="frozen"/>
      <selection pane="bottomLeft" activeCell="A47" sqref="A47"/>
      <pageMargins left="0.7" right="0.7" top="0.75" bottom="0.75" header="0.3" footer="0.3"/>
    </customSheetView>
    <customSheetView guid="{959E901C-5DDE-42EE-AE94-AB8976B5E00B}" scale="75">
      <pane ySplit="4" topLeftCell="A5" activePane="bottomLeft" state="frozen"/>
      <selection pane="bottomLeft" activeCell="D67" sqref="D67"/>
      <pageMargins left="0.7" right="0.7" top="0.75" bottom="0.75" header="0.3" footer="0.3"/>
    </customSheetView>
    <customSheetView guid="{F679EF4A-C5FD-4B86-B87B-D85968E0F2CA}" scale="75">
      <pane ySplit="4" topLeftCell="A5" activePane="bottomLeft" state="frozen"/>
      <selection pane="bottomLeft" activeCell="D67" sqref="D67"/>
      <pageMargins left="0.7" right="0.7" top="0.75" bottom="0.75" header="0.3" footer="0.3"/>
    </customSheetView>
    <customSheetView guid="{009B3074-D8EC-4952-BF50-43CD64449612}" scale="75">
      <pane ySplit="4" topLeftCell="A5" activePane="bottomLeft" state="frozen"/>
      <selection pane="bottomLeft" activeCell="D67" sqref="D67"/>
      <pageMargins left="0.7" right="0.7" top="0.75" bottom="0.75" header="0.3" footer="0.3"/>
    </customSheetView>
    <customSheetView guid="{770624BF-07F3-44B6-94C3-4CC447CDD45C}" scale="80">
      <pane ySplit="4" topLeftCell="A50" activePane="bottomLeft" state="frozen"/>
      <selection pane="bottomLeft" activeCell="D68" sqref="D68"/>
      <pageMargins left="0.7" right="0.7" top="0.75" bottom="0.75" header="0.3" footer="0.3"/>
    </customSheetView>
    <customSheetView guid="{B82BA08A-1A30-4F4D-A478-74A6BD09EA97}" scale="80" topLeftCell="A55">
      <selection sqref="A1:AD1"/>
      <pageMargins left="0.7" right="0.7" top="0.75" bottom="0.75" header="0.3" footer="0.3"/>
    </customSheetView>
    <customSheetView guid="{874882D1-E741-4CCA-BF0D-E72FA60B771D}" scale="80" topLeftCell="A37">
      <selection sqref="A1:AD1"/>
      <pageMargins left="0.7" right="0.7" top="0.75" bottom="0.75" header="0.3" footer="0.3"/>
    </customSheetView>
    <customSheetView guid="{C236B307-BD63-48C4-A75F-B3F3717BF55C}" scale="80" topLeftCell="A55">
      <selection sqref="A1:AD1"/>
      <pageMargins left="0.7" right="0.7" top="0.75" bottom="0.75" header="0.3" footer="0.3"/>
    </customSheetView>
    <customSheetView guid="{BCD82A82-B724-4763-8580-D765356E09BA}" scale="80">
      <selection sqref="A1:AD1"/>
      <pageMargins left="0.7" right="0.7" top="0.75" bottom="0.75" header="0.3" footer="0.3"/>
    </customSheetView>
    <customSheetView guid="{B1BF08D1-D416-4B47-ADD0-4F59132DC9E8}" scale="75">
      <pane ySplit="4" topLeftCell="A5" activePane="bottomLeft" state="frozen"/>
      <selection pane="bottomLeft" activeCell="D67" sqref="D67"/>
      <pageMargins left="0.7" right="0.7" top="0.75" bottom="0.75" header="0.3" footer="0.3"/>
    </customSheetView>
    <customSheetView guid="{85F4575B-DBC5-482A-9916-255D8F0BC94E}" scale="75">
      <pane ySplit="4" topLeftCell="A44" activePane="bottomLeft" state="frozen"/>
      <selection pane="bottomLeft" activeCell="A47" sqref="A47"/>
      <pageMargins left="0.7" right="0.7" top="0.75" bottom="0.75" header="0.3" footer="0.3"/>
    </customSheetView>
    <customSheetView guid="{74870EE6-26B9-40F7-9DC9-260EF16D8959}" scale="75">
      <pane ySplit="4" topLeftCell="A54" activePane="bottomLeft" state="frozen"/>
      <selection pane="bottomLeft" activeCell="E83" sqref="E83"/>
      <pageMargins left="0.7" right="0.7" top="0.75" bottom="0.75" header="0.3" footer="0.3"/>
    </customSheetView>
    <customSheetView guid="{E508E171-4ED9-4B07-84DF-DA28C60E1969}" scale="75">
      <pane ySplit="4" topLeftCell="A54" activePane="bottomLeft" state="frozen"/>
      <selection pane="bottomLeft" activeCell="E83" sqref="E83"/>
      <pageMargins left="0.7" right="0.7" top="0.75" bottom="0.75" header="0.3" footer="0.3"/>
    </customSheetView>
    <customSheetView guid="{4D0DFB57-2CBA-42F2-9A97-C453A6851FBA}" scale="75">
      <pane ySplit="4" topLeftCell="A54" activePane="bottomLeft" state="frozen"/>
      <selection pane="bottomLeft" activeCell="E83" sqref="E83"/>
      <pageMargins left="0.7" right="0.7" top="0.75" bottom="0.75" header="0.3" footer="0.3"/>
    </customSheetView>
    <customSheetView guid="{CE1CCA00-200D-4EAA-9FBE-F8EE7C5F82FE}" scale="75">
      <pane ySplit="4" topLeftCell="A54" activePane="bottomLeft" state="frozen"/>
      <selection pane="bottomLeft" activeCell="E83" sqref="E83"/>
      <pageMargins left="0.7" right="0.7" top="0.75" bottom="0.75" header="0.3" footer="0.3"/>
    </customSheetView>
    <customSheetView guid="{442F2C94-DD1B-4A01-8694-513D4D6F3BD9}" scale="75">
      <pane ySplit="4" topLeftCell="A54" activePane="bottomLeft" state="frozen"/>
      <selection pane="bottomLeft" activeCell="E83" sqref="E83"/>
      <pageMargins left="0.7" right="0.7" top="0.75" bottom="0.75" header="0.3" footer="0.3"/>
    </customSheetView>
    <customSheetView guid="{AC2D5927-4079-4C74-AF69-1BFAC505648F}" scale="75">
      <pane ySplit="4" topLeftCell="A11" activePane="bottomLeft" state="frozen"/>
      <selection pane="bottomLeft" activeCell="AD69" sqref="AD69"/>
      <pageMargins left="0.7" right="0.7" top="0.75" bottom="0.75" header="0.3" footer="0.3"/>
      <pageSetup paperSize="9" orientation="portrait" r:id="rId7"/>
    </customSheetView>
    <customSheetView guid="{602C8EDB-B9EF-4C85-B0D5-0558C3A0ABAB}" scale="75">
      <pane ySplit="4" topLeftCell="A11" activePane="bottomLeft" state="frozen"/>
      <selection pane="bottomLeft" activeCell="AD69" sqref="AD69"/>
      <pageMargins left="0.7" right="0.7" top="0.75" bottom="0.75" header="0.3" footer="0.3"/>
      <pageSetup paperSize="9" orientation="portrait" r:id="rId8"/>
    </customSheetView>
    <customSheetView guid="{09C3E205-981E-4A4E-BE89-8B7044192060}" scale="75" topLeftCell="K1">
      <pane ySplit="4" topLeftCell="A53" activePane="bottomLeft" state="frozen"/>
      <selection pane="bottomLeft" activeCell="A53" sqref="A53"/>
      <pageMargins left="0.7" right="0.7" top="0.75" bottom="0.75" header="0.3" footer="0.3"/>
      <pageSetup paperSize="9" orientation="portrait" r:id="rId9"/>
    </customSheetView>
  </customSheetViews>
  <mergeCells count="27">
    <mergeCell ref="A40:AE40"/>
    <mergeCell ref="Z2:AA2"/>
    <mergeCell ref="AB2:AC2"/>
    <mergeCell ref="AD2:AE2"/>
    <mergeCell ref="A19:AD19"/>
    <mergeCell ref="A20:AE20"/>
    <mergeCell ref="R2:S2"/>
    <mergeCell ref="T2:U2"/>
    <mergeCell ref="V2:W2"/>
    <mergeCell ref="X2:Y2"/>
    <mergeCell ref="A39:AD39"/>
    <mergeCell ref="AF28:AF32"/>
    <mergeCell ref="A1:AD1"/>
    <mergeCell ref="A2:A3"/>
    <mergeCell ref="B2:B3"/>
    <mergeCell ref="C2:C3"/>
    <mergeCell ref="D2:D3"/>
    <mergeCell ref="E2:E3"/>
    <mergeCell ref="F2:G2"/>
    <mergeCell ref="H2:I2"/>
    <mergeCell ref="J2:K2"/>
    <mergeCell ref="L2:M2"/>
    <mergeCell ref="AF2:AF3"/>
    <mergeCell ref="A5:AD5"/>
    <mergeCell ref="A6:AE6"/>
    <mergeCell ref="N2:O2"/>
    <mergeCell ref="P2:Q2"/>
  </mergeCells>
  <hyperlinks>
    <hyperlink ref="A1:AD1" location="Оглавление!A1" display="Оглавление!A1"/>
  </hyperlinks>
  <pageMargins left="0.7" right="0.7" top="0.75" bottom="0.75" header="0.3" footer="0.3"/>
  <pageSetup paperSize="9" orientation="portrait" r:id="rId1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175"/>
  <sheetViews>
    <sheetView zoomScale="60" zoomScaleNormal="60" workbookViewId="0">
      <pane xSplit="1" ySplit="8" topLeftCell="O22" activePane="bottomRight" state="frozen"/>
      <selection pane="topRight" activeCell="B1" sqref="B1"/>
      <selection pane="bottomLeft" activeCell="A9" sqref="A9"/>
      <selection pane="bottomRight" activeCell="T35" sqref="T35"/>
    </sheetView>
  </sheetViews>
  <sheetFormatPr defaultColWidth="9.140625" defaultRowHeight="15.75" x14ac:dyDescent="0.25"/>
  <cols>
    <col min="1" max="1" width="35.85546875" style="308" customWidth="1"/>
    <col min="2" max="3" width="16" style="308" customWidth="1"/>
    <col min="4" max="4" width="17" style="308" customWidth="1"/>
    <col min="5" max="5" width="15.7109375" style="308" customWidth="1"/>
    <col min="6" max="6" width="13.42578125" style="308" customWidth="1"/>
    <col min="7" max="7" width="14.7109375" style="308" customWidth="1"/>
    <col min="8" max="23" width="13.42578125" style="308" customWidth="1"/>
    <col min="24" max="24" width="15.28515625" style="308" customWidth="1"/>
    <col min="25" max="25" width="13.42578125" style="308" customWidth="1"/>
    <col min="26" max="26" width="14.42578125" style="308" customWidth="1"/>
    <col min="27" max="31" width="13.42578125" style="308" customWidth="1"/>
    <col min="32" max="32" width="57.140625" style="308" customWidth="1"/>
    <col min="33" max="16384" width="9.140625" style="308"/>
  </cols>
  <sheetData>
    <row r="1" spans="1:32" ht="18.75" x14ac:dyDescent="0.25">
      <c r="A1" s="1138" t="s">
        <v>396</v>
      </c>
      <c r="B1" s="1138"/>
      <c r="C1" s="1138"/>
      <c r="D1" s="1138"/>
      <c r="E1" s="1138"/>
      <c r="F1" s="1138"/>
      <c r="G1" s="1138"/>
      <c r="H1" s="1138"/>
      <c r="I1" s="1138"/>
      <c r="J1" s="1138"/>
      <c r="K1" s="1138"/>
      <c r="L1" s="1138"/>
      <c r="M1" s="1138"/>
      <c r="N1" s="1138"/>
      <c r="O1" s="1138"/>
      <c r="P1" s="1138"/>
      <c r="Q1" s="1138"/>
      <c r="R1" s="1138"/>
      <c r="S1" s="1138"/>
      <c r="T1" s="1138"/>
      <c r="U1" s="1138"/>
      <c r="V1" s="1138"/>
      <c r="W1" s="1138"/>
      <c r="X1" s="1138"/>
      <c r="Y1" s="1138"/>
      <c r="Z1" s="1138"/>
      <c r="AA1" s="1138"/>
      <c r="AB1" s="1138"/>
      <c r="AC1" s="1138"/>
      <c r="AD1" s="1138"/>
      <c r="AE1" s="307"/>
      <c r="AF1" s="307"/>
    </row>
    <row r="2" spans="1:32" x14ac:dyDescent="0.25">
      <c r="A2" s="309"/>
      <c r="B2" s="309"/>
      <c r="C2" s="309"/>
      <c r="D2" s="309"/>
      <c r="E2" s="309"/>
      <c r="F2" s="309"/>
      <c r="G2" s="309"/>
      <c r="H2" s="309"/>
      <c r="I2" s="307"/>
      <c r="J2" s="307"/>
      <c r="K2" s="307"/>
      <c r="L2" s="307"/>
      <c r="M2" s="307"/>
      <c r="N2" s="307"/>
      <c r="O2" s="307"/>
      <c r="P2" s="307"/>
      <c r="Q2" s="307"/>
      <c r="R2" s="307"/>
      <c r="S2" s="307"/>
      <c r="T2" s="307"/>
      <c r="U2" s="307"/>
      <c r="V2" s="307"/>
      <c r="W2" s="307"/>
      <c r="X2" s="307"/>
      <c r="Y2" s="307"/>
      <c r="Z2" s="307"/>
      <c r="AA2" s="307"/>
      <c r="AB2" s="307"/>
      <c r="AC2" s="307"/>
      <c r="AD2" s="307"/>
      <c r="AE2" s="307"/>
      <c r="AF2" s="307"/>
    </row>
    <row r="3" spans="1:32" ht="40.5" customHeight="1" x14ac:dyDescent="0.25">
      <c r="A3" s="1139" t="s">
        <v>383</v>
      </c>
      <c r="B3" s="1139" t="s">
        <v>384</v>
      </c>
      <c r="C3" s="1139" t="s">
        <v>597</v>
      </c>
      <c r="D3" s="1139" t="s">
        <v>596</v>
      </c>
      <c r="E3" s="1139" t="s">
        <v>600</v>
      </c>
      <c r="F3" s="1141" t="s">
        <v>385</v>
      </c>
      <c r="G3" s="1141"/>
      <c r="H3" s="1142" t="s">
        <v>7</v>
      </c>
      <c r="I3" s="1143"/>
      <c r="J3" s="1142" t="s">
        <v>8</v>
      </c>
      <c r="K3" s="1143"/>
      <c r="L3" s="1142" t="s">
        <v>9</v>
      </c>
      <c r="M3" s="1143"/>
      <c r="N3" s="1142" t="s">
        <v>10</v>
      </c>
      <c r="O3" s="1143"/>
      <c r="P3" s="1142" t="s">
        <v>11</v>
      </c>
      <c r="Q3" s="1143"/>
      <c r="R3" s="1142" t="s">
        <v>12</v>
      </c>
      <c r="S3" s="1143"/>
      <c r="T3" s="1142" t="s">
        <v>13</v>
      </c>
      <c r="U3" s="1143"/>
      <c r="V3" s="1142" t="s">
        <v>14</v>
      </c>
      <c r="W3" s="1143"/>
      <c r="X3" s="1142" t="s">
        <v>15</v>
      </c>
      <c r="Y3" s="1143"/>
      <c r="Z3" s="1142" t="s">
        <v>16</v>
      </c>
      <c r="AA3" s="1143"/>
      <c r="AB3" s="1142" t="s">
        <v>17</v>
      </c>
      <c r="AC3" s="1143"/>
      <c r="AD3" s="1150" t="s">
        <v>18</v>
      </c>
      <c r="AE3" s="1150"/>
      <c r="AF3" s="310" t="s">
        <v>19</v>
      </c>
    </row>
    <row r="4" spans="1:32" ht="51.75" customHeight="1" x14ac:dyDescent="0.25">
      <c r="A4" s="1140"/>
      <c r="B4" s="1140"/>
      <c r="C4" s="1140"/>
      <c r="D4" s="1140"/>
      <c r="E4" s="1140"/>
      <c r="F4" s="311" t="s">
        <v>386</v>
      </c>
      <c r="G4" s="311" t="s">
        <v>21</v>
      </c>
      <c r="H4" s="312" t="s">
        <v>165</v>
      </c>
      <c r="I4" s="312" t="s">
        <v>23</v>
      </c>
      <c r="J4" s="312" t="s">
        <v>165</v>
      </c>
      <c r="K4" s="313" t="s">
        <v>23</v>
      </c>
      <c r="L4" s="312" t="s">
        <v>165</v>
      </c>
      <c r="M4" s="312" t="s">
        <v>23</v>
      </c>
      <c r="N4" s="312" t="s">
        <v>165</v>
      </c>
      <c r="O4" s="312" t="s">
        <v>23</v>
      </c>
      <c r="P4" s="312" t="s">
        <v>165</v>
      </c>
      <c r="Q4" s="312" t="s">
        <v>23</v>
      </c>
      <c r="R4" s="312" t="s">
        <v>165</v>
      </c>
      <c r="S4" s="312" t="s">
        <v>23</v>
      </c>
      <c r="T4" s="312" t="s">
        <v>165</v>
      </c>
      <c r="U4" s="312" t="s">
        <v>23</v>
      </c>
      <c r="V4" s="312" t="s">
        <v>165</v>
      </c>
      <c r="W4" s="312" t="s">
        <v>23</v>
      </c>
      <c r="X4" s="312" t="s">
        <v>165</v>
      </c>
      <c r="Y4" s="312" t="s">
        <v>23</v>
      </c>
      <c r="Z4" s="312" t="s">
        <v>165</v>
      </c>
      <c r="AA4" s="312" t="s">
        <v>23</v>
      </c>
      <c r="AB4" s="312" t="s">
        <v>165</v>
      </c>
      <c r="AC4" s="312" t="s">
        <v>23</v>
      </c>
      <c r="AD4" s="312" t="s">
        <v>165</v>
      </c>
      <c r="AE4" s="312" t="s">
        <v>23</v>
      </c>
      <c r="AF4" s="314"/>
    </row>
    <row r="5" spans="1:32" x14ac:dyDescent="0.25">
      <c r="A5" s="310">
        <v>1</v>
      </c>
      <c r="B5" s="310">
        <v>2</v>
      </c>
      <c r="C5" s="310">
        <v>3</v>
      </c>
      <c r="D5" s="310">
        <v>4</v>
      </c>
      <c r="E5" s="310">
        <v>5</v>
      </c>
      <c r="F5" s="310">
        <v>6</v>
      </c>
      <c r="G5" s="310">
        <v>7</v>
      </c>
      <c r="H5" s="312">
        <v>8</v>
      </c>
      <c r="I5" s="312">
        <v>9</v>
      </c>
      <c r="J5" s="312">
        <v>10</v>
      </c>
      <c r="K5" s="312">
        <v>11</v>
      </c>
      <c r="L5" s="312">
        <v>12</v>
      </c>
      <c r="M5" s="312">
        <v>13</v>
      </c>
      <c r="N5" s="312">
        <v>14</v>
      </c>
      <c r="O5" s="312">
        <v>15</v>
      </c>
      <c r="P5" s="312">
        <v>16</v>
      </c>
      <c r="Q5" s="312">
        <v>17</v>
      </c>
      <c r="R5" s="312">
        <v>18</v>
      </c>
      <c r="S5" s="312">
        <v>19</v>
      </c>
      <c r="T5" s="312">
        <v>20</v>
      </c>
      <c r="U5" s="312">
        <v>21</v>
      </c>
      <c r="V5" s="312">
        <v>22</v>
      </c>
      <c r="W5" s="312">
        <v>23</v>
      </c>
      <c r="X5" s="312">
        <v>24</v>
      </c>
      <c r="Y5" s="312">
        <v>25</v>
      </c>
      <c r="Z5" s="312">
        <v>26</v>
      </c>
      <c r="AA5" s="312">
        <v>27</v>
      </c>
      <c r="AB5" s="312">
        <v>28</v>
      </c>
      <c r="AC5" s="312">
        <v>29</v>
      </c>
      <c r="AD5" s="312">
        <v>30</v>
      </c>
      <c r="AE5" s="312">
        <v>31</v>
      </c>
      <c r="AF5" s="312">
        <v>32</v>
      </c>
    </row>
    <row r="6" spans="1:32" x14ac:dyDescent="0.25">
      <c r="A6" s="1144" t="s">
        <v>397</v>
      </c>
      <c r="B6" s="1145"/>
      <c r="C6" s="1145"/>
      <c r="D6" s="1145"/>
      <c r="E6" s="1145"/>
      <c r="F6" s="1145"/>
      <c r="G6" s="1145"/>
      <c r="H6" s="1145"/>
      <c r="I6" s="1145"/>
      <c r="J6" s="1145"/>
      <c r="K6" s="1145"/>
      <c r="L6" s="1145"/>
      <c r="M6" s="1145"/>
      <c r="N6" s="1145"/>
      <c r="O6" s="1145"/>
      <c r="P6" s="1145"/>
      <c r="Q6" s="1145"/>
      <c r="R6" s="1145"/>
      <c r="S6" s="1145"/>
      <c r="T6" s="1145"/>
      <c r="U6" s="1145"/>
      <c r="V6" s="1145"/>
      <c r="W6" s="1145"/>
      <c r="X6" s="1145"/>
      <c r="Y6" s="1145"/>
      <c r="Z6" s="1145"/>
      <c r="AA6" s="1145"/>
      <c r="AB6" s="1145"/>
      <c r="AC6" s="1145"/>
      <c r="AD6" s="1145"/>
      <c r="AE6" s="1146"/>
      <c r="AF6" s="315"/>
    </row>
    <row r="7" spans="1:32" x14ac:dyDescent="0.25">
      <c r="A7" s="316" t="s">
        <v>54</v>
      </c>
      <c r="B7" s="317"/>
      <c r="C7" s="318"/>
      <c r="D7" s="318"/>
      <c r="E7" s="317"/>
      <c r="F7" s="319"/>
      <c r="G7" s="319"/>
      <c r="H7" s="320"/>
      <c r="I7" s="320"/>
      <c r="J7" s="320"/>
      <c r="K7" s="320"/>
      <c r="L7" s="320"/>
      <c r="M7" s="320"/>
      <c r="N7" s="320"/>
      <c r="O7" s="320"/>
      <c r="P7" s="320"/>
      <c r="Q7" s="320"/>
      <c r="R7" s="320"/>
      <c r="S7" s="320"/>
      <c r="T7" s="320"/>
      <c r="U7" s="320"/>
      <c r="V7" s="320"/>
      <c r="W7" s="321"/>
      <c r="X7" s="322"/>
      <c r="Y7" s="323"/>
      <c r="Z7" s="323"/>
      <c r="AA7" s="323"/>
      <c r="AB7" s="323"/>
      <c r="AC7" s="323"/>
      <c r="AD7" s="323"/>
      <c r="AE7" s="323"/>
      <c r="AF7" s="304"/>
    </row>
    <row r="8" spans="1:32" ht="31.5" customHeight="1" x14ac:dyDescent="0.25">
      <c r="A8" s="1147" t="s">
        <v>398</v>
      </c>
      <c r="B8" s="1148"/>
      <c r="C8" s="1148"/>
      <c r="D8" s="1148"/>
      <c r="E8" s="1148"/>
      <c r="F8" s="1148"/>
      <c r="G8" s="1148"/>
      <c r="H8" s="1148"/>
      <c r="I8" s="1148"/>
      <c r="J8" s="1148"/>
      <c r="K8" s="1148"/>
      <c r="L8" s="1148"/>
      <c r="M8" s="1148"/>
      <c r="N8" s="1148"/>
      <c r="O8" s="1148"/>
      <c r="P8" s="1148"/>
      <c r="Q8" s="1148"/>
      <c r="R8" s="1148"/>
      <c r="S8" s="1148"/>
      <c r="T8" s="1148"/>
      <c r="U8" s="1148"/>
      <c r="V8" s="1148"/>
      <c r="W8" s="1148"/>
      <c r="X8" s="1148"/>
      <c r="Y8" s="1148"/>
      <c r="Z8" s="1148"/>
      <c r="AA8" s="1148"/>
      <c r="AB8" s="1148"/>
      <c r="AC8" s="1148"/>
      <c r="AD8" s="1148"/>
      <c r="AE8" s="1149"/>
      <c r="AF8" s="1137" t="s">
        <v>500</v>
      </c>
    </row>
    <row r="9" spans="1:32" x14ac:dyDescent="0.25">
      <c r="A9" s="324" t="s">
        <v>65</v>
      </c>
      <c r="B9" s="325">
        <f>B10</f>
        <v>39754.091999999997</v>
      </c>
      <c r="C9" s="325">
        <f>C10</f>
        <v>19556.953000000001</v>
      </c>
      <c r="D9" s="325">
        <f>D10</f>
        <v>19516.55</v>
      </c>
      <c r="E9" s="325">
        <f>E10</f>
        <v>19516.55</v>
      </c>
      <c r="F9" s="325">
        <f>E9/B9*100</f>
        <v>49.093185174497265</v>
      </c>
      <c r="G9" s="325">
        <f>E9/C9*100</f>
        <v>99.793408513074596</v>
      </c>
      <c r="H9" s="325">
        <f>H10</f>
        <v>3465.99</v>
      </c>
      <c r="I9" s="325">
        <f t="shared" ref="I9:AE9" si="0">I10</f>
        <v>3465.99</v>
      </c>
      <c r="J9" s="325">
        <f t="shared" si="0"/>
        <v>3281.82</v>
      </c>
      <c r="K9" s="325">
        <f t="shared" si="0"/>
        <v>3281.82</v>
      </c>
      <c r="L9" s="325">
        <f t="shared" si="0"/>
        <v>3069.62</v>
      </c>
      <c r="M9" s="325">
        <f t="shared" si="0"/>
        <v>3069.62</v>
      </c>
      <c r="N9" s="325">
        <f t="shared" si="0"/>
        <v>3281.8249999999998</v>
      </c>
      <c r="O9" s="325">
        <f t="shared" si="0"/>
        <v>3281.83</v>
      </c>
      <c r="P9" s="325">
        <f t="shared" si="0"/>
        <v>3175.873</v>
      </c>
      <c r="Q9" s="325">
        <f t="shared" si="0"/>
        <v>3156.01</v>
      </c>
      <c r="R9" s="325">
        <f t="shared" si="0"/>
        <v>3281.8249999999998</v>
      </c>
      <c r="S9" s="325">
        <f t="shared" si="0"/>
        <v>3261.28</v>
      </c>
      <c r="T9" s="325">
        <f t="shared" si="0"/>
        <v>3421.8</v>
      </c>
      <c r="U9" s="325">
        <f t="shared" si="0"/>
        <v>0</v>
      </c>
      <c r="V9" s="325">
        <f t="shared" si="0"/>
        <v>3554.777</v>
      </c>
      <c r="W9" s="325">
        <f t="shared" si="0"/>
        <v>0</v>
      </c>
      <c r="X9" s="325">
        <f t="shared" si="0"/>
        <v>3527.212</v>
      </c>
      <c r="Y9" s="325">
        <f t="shared" si="0"/>
        <v>0</v>
      </c>
      <c r="Z9" s="325">
        <f t="shared" si="0"/>
        <v>3175.873</v>
      </c>
      <c r="AA9" s="325">
        <f t="shared" si="0"/>
        <v>0</v>
      </c>
      <c r="AB9" s="325">
        <f t="shared" si="0"/>
        <v>3281.8249999999998</v>
      </c>
      <c r="AC9" s="325">
        <f t="shared" si="0"/>
        <v>0</v>
      </c>
      <c r="AD9" s="325">
        <f t="shared" si="0"/>
        <v>3235.652</v>
      </c>
      <c r="AE9" s="325">
        <f t="shared" si="0"/>
        <v>0</v>
      </c>
      <c r="AF9" s="1126"/>
    </row>
    <row r="10" spans="1:32" x14ac:dyDescent="0.25">
      <c r="A10" s="327" t="s">
        <v>33</v>
      </c>
      <c r="B10" s="328">
        <f>B12</f>
        <v>39754.091999999997</v>
      </c>
      <c r="C10" s="328">
        <f>C12</f>
        <v>19556.953000000001</v>
      </c>
      <c r="D10" s="328">
        <f>E10</f>
        <v>19516.55</v>
      </c>
      <c r="E10" s="328">
        <f>E12</f>
        <v>19516.55</v>
      </c>
      <c r="F10" s="328">
        <f>E10/B10*100</f>
        <v>49.093185174497265</v>
      </c>
      <c r="G10" s="328">
        <f>E10/C10*100</f>
        <v>99.793408513074596</v>
      </c>
      <c r="H10" s="329">
        <f>H12</f>
        <v>3465.99</v>
      </c>
      <c r="I10" s="329">
        <f t="shared" ref="I10:AE10" si="1">I12</f>
        <v>3465.99</v>
      </c>
      <c r="J10" s="329">
        <f t="shared" si="1"/>
        <v>3281.82</v>
      </c>
      <c r="K10" s="329">
        <f t="shared" si="1"/>
        <v>3281.82</v>
      </c>
      <c r="L10" s="329">
        <f t="shared" si="1"/>
        <v>3069.62</v>
      </c>
      <c r="M10" s="329">
        <f t="shared" si="1"/>
        <v>3069.62</v>
      </c>
      <c r="N10" s="329">
        <f t="shared" si="1"/>
        <v>3281.8249999999998</v>
      </c>
      <c r="O10" s="329">
        <f t="shared" si="1"/>
        <v>3281.83</v>
      </c>
      <c r="P10" s="329">
        <f t="shared" si="1"/>
        <v>3175.873</v>
      </c>
      <c r="Q10" s="329">
        <f t="shared" si="1"/>
        <v>3156.01</v>
      </c>
      <c r="R10" s="329">
        <f t="shared" si="1"/>
        <v>3281.8249999999998</v>
      </c>
      <c r="S10" s="329">
        <f t="shared" si="1"/>
        <v>3261.28</v>
      </c>
      <c r="T10" s="329">
        <f t="shared" si="1"/>
        <v>3421.8</v>
      </c>
      <c r="U10" s="329">
        <f t="shared" si="1"/>
        <v>0</v>
      </c>
      <c r="V10" s="329">
        <f t="shared" si="1"/>
        <v>3554.777</v>
      </c>
      <c r="W10" s="329">
        <f t="shared" si="1"/>
        <v>0</v>
      </c>
      <c r="X10" s="329">
        <f t="shared" si="1"/>
        <v>3527.212</v>
      </c>
      <c r="Y10" s="329">
        <f t="shared" si="1"/>
        <v>0</v>
      </c>
      <c r="Z10" s="329">
        <f t="shared" si="1"/>
        <v>3175.873</v>
      </c>
      <c r="AA10" s="329">
        <f t="shared" si="1"/>
        <v>0</v>
      </c>
      <c r="AB10" s="329">
        <f t="shared" si="1"/>
        <v>3281.8249999999998</v>
      </c>
      <c r="AC10" s="329">
        <f t="shared" si="1"/>
        <v>0</v>
      </c>
      <c r="AD10" s="329">
        <f t="shared" si="1"/>
        <v>3235.652</v>
      </c>
      <c r="AE10" s="329">
        <f t="shared" si="1"/>
        <v>0</v>
      </c>
      <c r="AF10" s="1126"/>
    </row>
    <row r="11" spans="1:32" ht="32.25" customHeight="1" x14ac:dyDescent="0.25">
      <c r="A11" s="330" t="s">
        <v>53</v>
      </c>
      <c r="B11" s="603">
        <f>B12</f>
        <v>39754.091999999997</v>
      </c>
      <c r="C11" s="603">
        <f>C12</f>
        <v>19556.953000000001</v>
      </c>
      <c r="D11" s="603">
        <f>D12</f>
        <v>19516.55</v>
      </c>
      <c r="E11" s="603">
        <f>E12</f>
        <v>19516.55</v>
      </c>
      <c r="F11" s="331">
        <f>E11/B11*100</f>
        <v>49.093185174497265</v>
      </c>
      <c r="G11" s="331">
        <f>E11/C11*100</f>
        <v>99.793408513074596</v>
      </c>
      <c r="H11" s="331">
        <f>H12</f>
        <v>3465.99</v>
      </c>
      <c r="I11" s="331">
        <f t="shared" ref="I11:AE11" si="2">I12</f>
        <v>3465.99</v>
      </c>
      <c r="J11" s="331">
        <f t="shared" si="2"/>
        <v>3281.82</v>
      </c>
      <c r="K11" s="331">
        <f t="shared" si="2"/>
        <v>3281.82</v>
      </c>
      <c r="L11" s="331">
        <f t="shared" si="2"/>
        <v>3069.62</v>
      </c>
      <c r="M11" s="331">
        <f t="shared" si="2"/>
        <v>3069.62</v>
      </c>
      <c r="N11" s="331">
        <f t="shared" si="2"/>
        <v>3281.8249999999998</v>
      </c>
      <c r="O11" s="331">
        <f t="shared" si="2"/>
        <v>3281.83</v>
      </c>
      <c r="P11" s="331">
        <f t="shared" si="2"/>
        <v>3175.873</v>
      </c>
      <c r="Q11" s="331">
        <f t="shared" si="2"/>
        <v>3156.01</v>
      </c>
      <c r="R11" s="331">
        <f t="shared" si="2"/>
        <v>3281.8249999999998</v>
      </c>
      <c r="S11" s="331">
        <f t="shared" si="2"/>
        <v>3261.28</v>
      </c>
      <c r="T11" s="331">
        <f t="shared" si="2"/>
        <v>3421.8</v>
      </c>
      <c r="U11" s="331">
        <f t="shared" si="2"/>
        <v>0</v>
      </c>
      <c r="V11" s="331">
        <f t="shared" si="2"/>
        <v>3554.777</v>
      </c>
      <c r="W11" s="331">
        <f t="shared" si="2"/>
        <v>0</v>
      </c>
      <c r="X11" s="331">
        <f t="shared" si="2"/>
        <v>3527.212</v>
      </c>
      <c r="Y11" s="331">
        <f t="shared" si="2"/>
        <v>0</v>
      </c>
      <c r="Z11" s="331">
        <f t="shared" si="2"/>
        <v>3175.873</v>
      </c>
      <c r="AA11" s="331">
        <f t="shared" si="2"/>
        <v>0</v>
      </c>
      <c r="AB11" s="331">
        <f t="shared" si="2"/>
        <v>3281.8249999999998</v>
      </c>
      <c r="AC11" s="331">
        <f t="shared" si="2"/>
        <v>0</v>
      </c>
      <c r="AD11" s="331">
        <f t="shared" si="2"/>
        <v>3235.652</v>
      </c>
      <c r="AE11" s="331">
        <f t="shared" si="2"/>
        <v>0</v>
      </c>
      <c r="AF11" s="1126"/>
    </row>
    <row r="12" spans="1:32" ht="32.25" customHeight="1" x14ac:dyDescent="0.25">
      <c r="A12" s="327" t="s">
        <v>93</v>
      </c>
      <c r="B12" s="328">
        <f>H12+J12+L12+N12+P12+R12+T12+V12+X12+Z12+AB12+AD12</f>
        <v>39754.091999999997</v>
      </c>
      <c r="C12" s="328">
        <f>H12+J12+L12+N12+P12+R12</f>
        <v>19556.953000000001</v>
      </c>
      <c r="D12" s="328">
        <f>E12</f>
        <v>19516.55</v>
      </c>
      <c r="E12" s="328">
        <f>I12+K12+M12+O12+Q12+S12+U12+W12+Y12+AA12+AC12+AE12</f>
        <v>19516.55</v>
      </c>
      <c r="F12" s="328">
        <f>E12/B12*100</f>
        <v>49.093185174497265</v>
      </c>
      <c r="G12" s="328">
        <f>E12/C12*100</f>
        <v>99.793408513074596</v>
      </c>
      <c r="H12" s="328">
        <v>3465.99</v>
      </c>
      <c r="I12" s="328">
        <v>3465.99</v>
      </c>
      <c r="J12" s="328">
        <v>3281.82</v>
      </c>
      <c r="K12" s="328">
        <v>3281.82</v>
      </c>
      <c r="L12" s="328">
        <v>3069.62</v>
      </c>
      <c r="M12" s="328">
        <v>3069.62</v>
      </c>
      <c r="N12" s="328">
        <v>3281.8249999999998</v>
      </c>
      <c r="O12" s="328">
        <v>3281.83</v>
      </c>
      <c r="P12" s="328">
        <v>3175.873</v>
      </c>
      <c r="Q12" s="328">
        <v>3156.01</v>
      </c>
      <c r="R12" s="328">
        <v>3281.8249999999998</v>
      </c>
      <c r="S12" s="328">
        <v>3261.28</v>
      </c>
      <c r="T12" s="328">
        <v>3421.8</v>
      </c>
      <c r="U12" s="328"/>
      <c r="V12" s="328">
        <v>3554.777</v>
      </c>
      <c r="W12" s="328"/>
      <c r="X12" s="328">
        <v>3527.212</v>
      </c>
      <c r="Y12" s="328"/>
      <c r="Z12" s="328">
        <v>3175.873</v>
      </c>
      <c r="AA12" s="328"/>
      <c r="AB12" s="328">
        <v>3281.8249999999998</v>
      </c>
      <c r="AC12" s="328"/>
      <c r="AD12" s="328">
        <v>3235.652</v>
      </c>
      <c r="AE12" s="328"/>
      <c r="AF12" s="1126"/>
    </row>
    <row r="13" spans="1:32" x14ac:dyDescent="0.25">
      <c r="A13" s="1144" t="s">
        <v>399</v>
      </c>
      <c r="B13" s="1145"/>
      <c r="C13" s="1145"/>
      <c r="D13" s="1145"/>
      <c r="E13" s="1145"/>
      <c r="F13" s="1145"/>
      <c r="G13" s="1145"/>
      <c r="H13" s="1145"/>
      <c r="I13" s="1145"/>
      <c r="J13" s="1145"/>
      <c r="K13" s="1145"/>
      <c r="L13" s="1145"/>
      <c r="M13" s="1145"/>
      <c r="N13" s="1145"/>
      <c r="O13" s="1145"/>
      <c r="P13" s="1145"/>
      <c r="Q13" s="1145"/>
      <c r="R13" s="1145"/>
      <c r="S13" s="1145"/>
      <c r="T13" s="1145"/>
      <c r="U13" s="1145"/>
      <c r="V13" s="1145"/>
      <c r="W13" s="1145"/>
      <c r="X13" s="1145"/>
      <c r="Y13" s="1145"/>
      <c r="Z13" s="1145"/>
      <c r="AA13" s="1145"/>
      <c r="AB13" s="1145"/>
      <c r="AC13" s="1145"/>
      <c r="AD13" s="1145"/>
      <c r="AE13" s="1146"/>
      <c r="AF13" s="314"/>
    </row>
    <row r="14" spans="1:32" x14ac:dyDescent="0.25">
      <c r="A14" s="316" t="s">
        <v>54</v>
      </c>
      <c r="B14" s="332"/>
      <c r="C14" s="332"/>
      <c r="D14" s="332"/>
      <c r="E14" s="332"/>
      <c r="F14" s="332"/>
      <c r="G14" s="332"/>
      <c r="H14" s="332"/>
      <c r="I14" s="332"/>
      <c r="J14" s="332"/>
      <c r="K14" s="332"/>
      <c r="L14" s="332"/>
      <c r="M14" s="332"/>
      <c r="N14" s="332"/>
      <c r="O14" s="332"/>
      <c r="P14" s="332"/>
      <c r="Q14" s="332"/>
      <c r="R14" s="332"/>
      <c r="S14" s="332"/>
      <c r="T14" s="332"/>
      <c r="U14" s="332"/>
      <c r="V14" s="332"/>
      <c r="W14" s="332"/>
      <c r="X14" s="333"/>
      <c r="Y14" s="323"/>
      <c r="Z14" s="323"/>
      <c r="AA14" s="323"/>
      <c r="AB14" s="323"/>
      <c r="AC14" s="323"/>
      <c r="AD14" s="323"/>
      <c r="AE14" s="323"/>
      <c r="AF14" s="334"/>
    </row>
    <row r="15" spans="1:32" x14ac:dyDescent="0.25">
      <c r="A15" s="1147" t="s">
        <v>400</v>
      </c>
      <c r="B15" s="1148"/>
      <c r="C15" s="1148"/>
      <c r="D15" s="1148"/>
      <c r="E15" s="1148"/>
      <c r="F15" s="1148"/>
      <c r="G15" s="1148"/>
      <c r="H15" s="1148"/>
      <c r="I15" s="1148"/>
      <c r="J15" s="1148"/>
      <c r="K15" s="1148"/>
      <c r="L15" s="1148"/>
      <c r="M15" s="1148"/>
      <c r="N15" s="1148"/>
      <c r="O15" s="1148"/>
      <c r="P15" s="1148"/>
      <c r="Q15" s="1148"/>
      <c r="R15" s="1148"/>
      <c r="S15" s="1148"/>
      <c r="T15" s="1148"/>
      <c r="U15" s="1148"/>
      <c r="V15" s="1148"/>
      <c r="W15" s="1148"/>
      <c r="X15" s="1148"/>
      <c r="Y15" s="1148"/>
      <c r="Z15" s="1148"/>
      <c r="AA15" s="1148"/>
      <c r="AB15" s="1148"/>
      <c r="AC15" s="1148"/>
      <c r="AD15" s="1148"/>
      <c r="AE15" s="1149"/>
      <c r="AF15" s="334"/>
    </row>
    <row r="16" spans="1:32" x14ac:dyDescent="0.25">
      <c r="A16" s="335" t="s">
        <v>31</v>
      </c>
      <c r="B16" s="336">
        <f>B17+B18+B20</f>
        <v>604125.62600000005</v>
      </c>
      <c r="C16" s="645">
        <f>C17+C18+C20</f>
        <v>4809.54</v>
      </c>
      <c r="D16" s="336">
        <f>D17+D18+D20</f>
        <v>4805.54</v>
      </c>
      <c r="E16" s="336">
        <f>E17+E18+E20</f>
        <v>4805.54</v>
      </c>
      <c r="F16" s="336">
        <f>IFERROR(E16/B16%,0)</f>
        <v>0.79545375881803759</v>
      </c>
      <c r="G16" s="336">
        <f>IFERROR(E16/C16%,0)</f>
        <v>99.916831963139927</v>
      </c>
      <c r="H16" s="336">
        <f>H17+H18+H20</f>
        <v>0</v>
      </c>
      <c r="I16" s="336">
        <f t="shared" ref="I16:AE16" si="3">I17+I18+I20</f>
        <v>0</v>
      </c>
      <c r="J16" s="336">
        <f t="shared" si="3"/>
        <v>4540.54</v>
      </c>
      <c r="K16" s="336">
        <f t="shared" si="3"/>
        <v>4540.54</v>
      </c>
      <c r="L16" s="336">
        <f t="shared" si="3"/>
        <v>59</v>
      </c>
      <c r="M16" s="336">
        <f t="shared" si="3"/>
        <v>59</v>
      </c>
      <c r="N16" s="336">
        <f t="shared" si="3"/>
        <v>180</v>
      </c>
      <c r="O16" s="336">
        <f t="shared" si="3"/>
        <v>180</v>
      </c>
      <c r="P16" s="336">
        <f t="shared" si="3"/>
        <v>0</v>
      </c>
      <c r="Q16" s="336">
        <f t="shared" si="3"/>
        <v>0</v>
      </c>
      <c r="R16" s="336">
        <f t="shared" si="3"/>
        <v>30</v>
      </c>
      <c r="S16" s="336">
        <f t="shared" si="3"/>
        <v>26</v>
      </c>
      <c r="T16" s="336">
        <f t="shared" si="3"/>
        <v>16848.739999999998</v>
      </c>
      <c r="U16" s="336">
        <f t="shared" si="3"/>
        <v>0</v>
      </c>
      <c r="V16" s="336">
        <f t="shared" si="3"/>
        <v>0</v>
      </c>
      <c r="W16" s="336">
        <f t="shared" si="3"/>
        <v>0</v>
      </c>
      <c r="X16" s="336">
        <f t="shared" si="3"/>
        <v>338588.25</v>
      </c>
      <c r="Y16" s="336">
        <f t="shared" si="3"/>
        <v>0</v>
      </c>
      <c r="Z16" s="336">
        <f t="shared" si="3"/>
        <v>185968.03599999999</v>
      </c>
      <c r="AA16" s="336">
        <f t="shared" si="3"/>
        <v>0</v>
      </c>
      <c r="AB16" s="336">
        <f t="shared" si="3"/>
        <v>11077.92</v>
      </c>
      <c r="AC16" s="336">
        <f t="shared" si="3"/>
        <v>0</v>
      </c>
      <c r="AD16" s="336">
        <f t="shared" si="3"/>
        <v>46833.14</v>
      </c>
      <c r="AE16" s="336">
        <f t="shared" si="3"/>
        <v>0</v>
      </c>
      <c r="AF16" s="1128"/>
    </row>
    <row r="17" spans="1:32" x14ac:dyDescent="0.25">
      <c r="A17" s="681" t="s">
        <v>32</v>
      </c>
      <c r="B17" s="328">
        <f>H17+J17+L17+N17+P17+R17+T17+V17+X17+Z17+AB17+AD17</f>
        <v>210752.09600000002</v>
      </c>
      <c r="C17" s="328">
        <f>C23+C29+C35+C41+C47</f>
        <v>0</v>
      </c>
      <c r="D17" s="328">
        <f>E17</f>
        <v>0</v>
      </c>
      <c r="E17" s="328">
        <f>I17+K17+M17+O17+Q17+S17+U17+W17+Y17+AA17+AC17+AE17</f>
        <v>0</v>
      </c>
      <c r="F17" s="337">
        <f>IFERROR(E17/B17%,0)</f>
        <v>0</v>
      </c>
      <c r="G17" s="337">
        <f>IFERROR(E17/C17%,0)</f>
        <v>0</v>
      </c>
      <c r="H17" s="328">
        <f t="shared" ref="H17:AE17" si="4">H23+H29+H35+H41+H47</f>
        <v>0</v>
      </c>
      <c r="I17" s="328">
        <f t="shared" si="4"/>
        <v>0</v>
      </c>
      <c r="J17" s="328">
        <f t="shared" si="4"/>
        <v>0</v>
      </c>
      <c r="K17" s="328">
        <f t="shared" si="4"/>
        <v>0</v>
      </c>
      <c r="L17" s="328">
        <f t="shared" si="4"/>
        <v>0</v>
      </c>
      <c r="M17" s="328">
        <f t="shared" si="4"/>
        <v>0</v>
      </c>
      <c r="N17" s="328">
        <f t="shared" si="4"/>
        <v>0</v>
      </c>
      <c r="O17" s="328">
        <f t="shared" si="4"/>
        <v>0</v>
      </c>
      <c r="P17" s="328">
        <f t="shared" si="4"/>
        <v>0</v>
      </c>
      <c r="Q17" s="328">
        <f t="shared" si="4"/>
        <v>0</v>
      </c>
      <c r="R17" s="328">
        <f t="shared" si="4"/>
        <v>0</v>
      </c>
      <c r="S17" s="328">
        <f t="shared" si="4"/>
        <v>0</v>
      </c>
      <c r="T17" s="328">
        <f t="shared" si="4"/>
        <v>5612.58</v>
      </c>
      <c r="U17" s="328">
        <f t="shared" si="4"/>
        <v>0</v>
      </c>
      <c r="V17" s="328">
        <f t="shared" si="4"/>
        <v>0</v>
      </c>
      <c r="W17" s="328">
        <f t="shared" si="4"/>
        <v>0</v>
      </c>
      <c r="X17" s="328">
        <f t="shared" si="4"/>
        <v>112862.75</v>
      </c>
      <c r="Y17" s="328">
        <f t="shared" si="4"/>
        <v>0</v>
      </c>
      <c r="Z17" s="328">
        <f t="shared" si="4"/>
        <v>76501.275999999998</v>
      </c>
      <c r="AA17" s="328">
        <f t="shared" si="4"/>
        <v>0</v>
      </c>
      <c r="AB17" s="328">
        <f t="shared" si="4"/>
        <v>573.66999999999996</v>
      </c>
      <c r="AC17" s="328">
        <f t="shared" si="4"/>
        <v>0</v>
      </c>
      <c r="AD17" s="328">
        <f t="shared" si="4"/>
        <v>15201.82</v>
      </c>
      <c r="AE17" s="328">
        <f t="shared" si="4"/>
        <v>0</v>
      </c>
      <c r="AF17" s="1129"/>
    </row>
    <row r="18" spans="1:32" x14ac:dyDescent="0.25">
      <c r="A18" s="327" t="s">
        <v>33</v>
      </c>
      <c r="B18" s="328">
        <f>H18+J18+L18+N18+P18+R18+T18+V18+X18+Z18+AB18+AD18</f>
        <v>36765.769999999997</v>
      </c>
      <c r="C18" s="328">
        <f>C24+C30+C36+C42+C48</f>
        <v>4809.54</v>
      </c>
      <c r="D18" s="328">
        <f>E18</f>
        <v>4805.54</v>
      </c>
      <c r="E18" s="328">
        <f>I18+K18+M18+O18+Q18+S18+U18+W18+Y18+AA18+AC18+AE18</f>
        <v>4805.54</v>
      </c>
      <c r="F18" s="337">
        <f>IFERROR(E18/B18%,0)</f>
        <v>13.070690481934692</v>
      </c>
      <c r="G18" s="337">
        <f>IFERROR(E18/C18%,0)</f>
        <v>99.916831963139927</v>
      </c>
      <c r="H18" s="328">
        <f t="shared" ref="H18:AE18" si="5">H24+H30+H36+H42+H48</f>
        <v>0</v>
      </c>
      <c r="I18" s="328">
        <f t="shared" si="5"/>
        <v>0</v>
      </c>
      <c r="J18" s="328">
        <f t="shared" si="5"/>
        <v>4540.54</v>
      </c>
      <c r="K18" s="328">
        <f t="shared" si="5"/>
        <v>4540.54</v>
      </c>
      <c r="L18" s="328">
        <f t="shared" si="5"/>
        <v>59</v>
      </c>
      <c r="M18" s="328">
        <f t="shared" si="5"/>
        <v>59</v>
      </c>
      <c r="N18" s="328">
        <f t="shared" si="5"/>
        <v>180</v>
      </c>
      <c r="O18" s="328">
        <f t="shared" si="5"/>
        <v>180</v>
      </c>
      <c r="P18" s="328">
        <f t="shared" si="5"/>
        <v>0</v>
      </c>
      <c r="Q18" s="328">
        <f t="shared" si="5"/>
        <v>0</v>
      </c>
      <c r="R18" s="328">
        <f t="shared" si="5"/>
        <v>30</v>
      </c>
      <c r="S18" s="328">
        <f t="shared" si="5"/>
        <v>26</v>
      </c>
      <c r="T18" s="328">
        <f t="shared" si="5"/>
        <v>11</v>
      </c>
      <c r="U18" s="328">
        <f t="shared" si="5"/>
        <v>0</v>
      </c>
      <c r="V18" s="328">
        <f t="shared" si="5"/>
        <v>0</v>
      </c>
      <c r="W18" s="328">
        <f t="shared" si="5"/>
        <v>0</v>
      </c>
      <c r="X18" s="328">
        <f t="shared" si="5"/>
        <v>0</v>
      </c>
      <c r="Y18" s="328">
        <f t="shared" si="5"/>
        <v>0</v>
      </c>
      <c r="Z18" s="328">
        <f t="shared" si="5"/>
        <v>10802.009999999998</v>
      </c>
      <c r="AA18" s="328">
        <f t="shared" si="5"/>
        <v>0</v>
      </c>
      <c r="AB18" s="328">
        <f t="shared" si="5"/>
        <v>9356.9</v>
      </c>
      <c r="AC18" s="328">
        <f t="shared" si="5"/>
        <v>0</v>
      </c>
      <c r="AD18" s="328">
        <f t="shared" si="5"/>
        <v>11786.32</v>
      </c>
      <c r="AE18" s="328">
        <f t="shared" si="5"/>
        <v>0</v>
      </c>
      <c r="AF18" s="1129"/>
    </row>
    <row r="19" spans="1:32" ht="31.5" x14ac:dyDescent="0.25">
      <c r="A19" s="339" t="s">
        <v>174</v>
      </c>
      <c r="B19" s="328">
        <f>H19+J19+L19+N19+P19+R19+T19+V19+X19+Z19+AB19+AD19</f>
        <v>0</v>
      </c>
      <c r="C19" s="328">
        <f>C25+C31+C37+C43+C49</f>
        <v>0</v>
      </c>
      <c r="D19" s="328">
        <f>E19</f>
        <v>0</v>
      </c>
      <c r="E19" s="328">
        <f>I19+K19+M19+O19+Q19+S19+U19+W19+Y19+AA19+AC19+AE19</f>
        <v>0</v>
      </c>
      <c r="F19" s="337">
        <f>IFERROR(E19/B19%,0)</f>
        <v>0</v>
      </c>
      <c r="G19" s="337">
        <f>IFERROR(E19/C19%,0)</f>
        <v>0</v>
      </c>
      <c r="H19" s="328">
        <f t="shared" ref="H19:AE19" si="6">H25+H31+H37+H43+H49</f>
        <v>0</v>
      </c>
      <c r="I19" s="328">
        <f t="shared" si="6"/>
        <v>0</v>
      </c>
      <c r="J19" s="328">
        <f t="shared" si="6"/>
        <v>0</v>
      </c>
      <c r="K19" s="328">
        <f t="shared" si="6"/>
        <v>0</v>
      </c>
      <c r="L19" s="328">
        <f t="shared" si="6"/>
        <v>0</v>
      </c>
      <c r="M19" s="328">
        <f t="shared" si="6"/>
        <v>0</v>
      </c>
      <c r="N19" s="328">
        <f t="shared" si="6"/>
        <v>0</v>
      </c>
      <c r="O19" s="328">
        <f t="shared" si="6"/>
        <v>0</v>
      </c>
      <c r="P19" s="328">
        <f t="shared" si="6"/>
        <v>0</v>
      </c>
      <c r="Q19" s="328">
        <f t="shared" si="6"/>
        <v>0</v>
      </c>
      <c r="R19" s="328">
        <f t="shared" si="6"/>
        <v>0</v>
      </c>
      <c r="S19" s="328">
        <f t="shared" si="6"/>
        <v>0</v>
      </c>
      <c r="T19" s="328">
        <f t="shared" si="6"/>
        <v>0</v>
      </c>
      <c r="U19" s="328">
        <f t="shared" si="6"/>
        <v>0</v>
      </c>
      <c r="V19" s="328">
        <f t="shared" si="6"/>
        <v>0</v>
      </c>
      <c r="W19" s="328">
        <f t="shared" si="6"/>
        <v>0</v>
      </c>
      <c r="X19" s="328">
        <f t="shared" si="6"/>
        <v>0</v>
      </c>
      <c r="Y19" s="328">
        <f t="shared" si="6"/>
        <v>0</v>
      </c>
      <c r="Z19" s="328">
        <f t="shared" si="6"/>
        <v>0</v>
      </c>
      <c r="AA19" s="328">
        <f t="shared" si="6"/>
        <v>0</v>
      </c>
      <c r="AB19" s="328">
        <f t="shared" si="6"/>
        <v>0</v>
      </c>
      <c r="AC19" s="328">
        <f t="shared" si="6"/>
        <v>0</v>
      </c>
      <c r="AD19" s="328">
        <f t="shared" si="6"/>
        <v>0</v>
      </c>
      <c r="AE19" s="328">
        <f t="shared" si="6"/>
        <v>0</v>
      </c>
      <c r="AF19" s="1129"/>
    </row>
    <row r="20" spans="1:32" x14ac:dyDescent="0.25">
      <c r="A20" s="327" t="s">
        <v>374</v>
      </c>
      <c r="B20" s="328">
        <f>H20+J20+L20+N20+P20+R20+T20+V20+X20+Z20+AB20+AD20</f>
        <v>356607.76</v>
      </c>
      <c r="C20" s="328">
        <f>C26+C32+C38+C44+C50</f>
        <v>0</v>
      </c>
      <c r="D20" s="328">
        <f>E20</f>
        <v>0</v>
      </c>
      <c r="E20" s="328">
        <f>I20+K20+M20+O20+Q20+S20+U20+W20+Y20+AA20+AC20+AE20</f>
        <v>0</v>
      </c>
      <c r="F20" s="337">
        <f>IFERROR(E20/B20%,0)</f>
        <v>0</v>
      </c>
      <c r="G20" s="337">
        <f>IFERROR(E20/C20%,0)</f>
        <v>0</v>
      </c>
      <c r="H20" s="328">
        <f t="shared" ref="H20:AE20" si="7">H26+H32+H38+H44+H50</f>
        <v>0</v>
      </c>
      <c r="I20" s="328">
        <f t="shared" si="7"/>
        <v>0</v>
      </c>
      <c r="J20" s="328">
        <f t="shared" si="7"/>
        <v>0</v>
      </c>
      <c r="K20" s="328">
        <f t="shared" si="7"/>
        <v>0</v>
      </c>
      <c r="L20" s="328">
        <f t="shared" si="7"/>
        <v>0</v>
      </c>
      <c r="M20" s="328">
        <f t="shared" si="7"/>
        <v>0</v>
      </c>
      <c r="N20" s="328">
        <f t="shared" si="7"/>
        <v>0</v>
      </c>
      <c r="O20" s="328">
        <f t="shared" si="7"/>
        <v>0</v>
      </c>
      <c r="P20" s="328">
        <f t="shared" si="7"/>
        <v>0</v>
      </c>
      <c r="Q20" s="328">
        <f t="shared" si="7"/>
        <v>0</v>
      </c>
      <c r="R20" s="328">
        <f t="shared" si="7"/>
        <v>0</v>
      </c>
      <c r="S20" s="328">
        <f t="shared" si="7"/>
        <v>0</v>
      </c>
      <c r="T20" s="328">
        <f t="shared" si="7"/>
        <v>11225.16</v>
      </c>
      <c r="U20" s="328">
        <f t="shared" si="7"/>
        <v>0</v>
      </c>
      <c r="V20" s="328">
        <f t="shared" si="7"/>
        <v>0</v>
      </c>
      <c r="W20" s="328">
        <f t="shared" si="7"/>
        <v>0</v>
      </c>
      <c r="X20" s="328">
        <f t="shared" si="7"/>
        <v>225725.5</v>
      </c>
      <c r="Y20" s="328">
        <f t="shared" si="7"/>
        <v>0</v>
      </c>
      <c r="Z20" s="328">
        <f t="shared" si="7"/>
        <v>98664.75</v>
      </c>
      <c r="AA20" s="328">
        <f t="shared" si="7"/>
        <v>0</v>
      </c>
      <c r="AB20" s="328">
        <f t="shared" si="7"/>
        <v>1147.3499999999999</v>
      </c>
      <c r="AC20" s="328">
        <f t="shared" si="7"/>
        <v>0</v>
      </c>
      <c r="AD20" s="328">
        <f t="shared" si="7"/>
        <v>19845</v>
      </c>
      <c r="AE20" s="328">
        <f t="shared" si="7"/>
        <v>0</v>
      </c>
      <c r="AF20" s="1130"/>
    </row>
    <row r="21" spans="1:32" ht="24" customHeight="1" x14ac:dyDescent="0.25">
      <c r="A21" s="1151" t="s">
        <v>401</v>
      </c>
      <c r="B21" s="1152"/>
      <c r="C21" s="1152"/>
      <c r="D21" s="1152"/>
      <c r="E21" s="1152"/>
      <c r="F21" s="1152"/>
      <c r="G21" s="1152"/>
      <c r="H21" s="1152"/>
      <c r="I21" s="1152"/>
      <c r="J21" s="1152"/>
      <c r="K21" s="1152"/>
      <c r="L21" s="1152"/>
      <c r="M21" s="1152"/>
      <c r="N21" s="1152"/>
      <c r="O21" s="1152"/>
      <c r="P21" s="1152"/>
      <c r="Q21" s="1152"/>
      <c r="R21" s="1152"/>
      <c r="S21" s="1152"/>
      <c r="T21" s="1152"/>
      <c r="U21" s="1152"/>
      <c r="V21" s="1152"/>
      <c r="W21" s="1152"/>
      <c r="X21" s="1152"/>
      <c r="Y21" s="1152"/>
      <c r="Z21" s="1152"/>
      <c r="AA21" s="1152"/>
      <c r="AB21" s="1152"/>
      <c r="AC21" s="1152"/>
      <c r="AD21" s="1152"/>
      <c r="AE21" s="1153"/>
      <c r="AF21" s="340"/>
    </row>
    <row r="22" spans="1:32" x14ac:dyDescent="0.25">
      <c r="A22" s="335" t="s">
        <v>31</v>
      </c>
      <c r="B22" s="336">
        <f>B23+B24+B26</f>
        <v>200318.8</v>
      </c>
      <c r="C22" s="336">
        <f>C23+C24+C26</f>
        <v>89</v>
      </c>
      <c r="D22" s="336">
        <f>D23+D24+D26</f>
        <v>85</v>
      </c>
      <c r="E22" s="336">
        <f>E23+E24+E26</f>
        <v>85</v>
      </c>
      <c r="F22" s="336">
        <f>IFERROR(E22/B22%,0)</f>
        <v>4.2432362813675004E-2</v>
      </c>
      <c r="G22" s="336">
        <f>IFERROR(E22/C22%,0)</f>
        <v>95.50561797752809</v>
      </c>
      <c r="H22" s="336">
        <f>H23+H24+H26</f>
        <v>0</v>
      </c>
      <c r="I22" s="336">
        <f t="shared" ref="I22:AE22" si="8">I23+I24+I26</f>
        <v>0</v>
      </c>
      <c r="J22" s="336">
        <f t="shared" si="8"/>
        <v>0</v>
      </c>
      <c r="K22" s="336">
        <f t="shared" si="8"/>
        <v>0</v>
      </c>
      <c r="L22" s="336">
        <f t="shared" si="8"/>
        <v>59</v>
      </c>
      <c r="M22" s="336">
        <f t="shared" si="8"/>
        <v>59</v>
      </c>
      <c r="N22" s="336">
        <f t="shared" si="8"/>
        <v>0</v>
      </c>
      <c r="O22" s="336">
        <f t="shared" si="8"/>
        <v>0</v>
      </c>
      <c r="P22" s="336">
        <f t="shared" si="8"/>
        <v>0</v>
      </c>
      <c r="Q22" s="336">
        <f t="shared" si="8"/>
        <v>0</v>
      </c>
      <c r="R22" s="336">
        <f t="shared" si="8"/>
        <v>30</v>
      </c>
      <c r="S22" s="336">
        <f t="shared" si="8"/>
        <v>26</v>
      </c>
      <c r="T22" s="336">
        <f t="shared" si="8"/>
        <v>2817.29</v>
      </c>
      <c r="U22" s="336">
        <f t="shared" si="8"/>
        <v>0</v>
      </c>
      <c r="V22" s="336">
        <f t="shared" si="8"/>
        <v>0</v>
      </c>
      <c r="W22" s="336">
        <f t="shared" si="8"/>
        <v>0</v>
      </c>
      <c r="X22" s="336">
        <f t="shared" si="8"/>
        <v>56431.37</v>
      </c>
      <c r="Y22" s="336">
        <f t="shared" si="8"/>
        <v>0</v>
      </c>
      <c r="Z22" s="336">
        <f t="shared" si="8"/>
        <v>130173.14</v>
      </c>
      <c r="AA22" s="336">
        <f t="shared" si="8"/>
        <v>0</v>
      </c>
      <c r="AB22" s="336">
        <f t="shared" si="8"/>
        <v>8486.94</v>
      </c>
      <c r="AC22" s="336">
        <f t="shared" si="8"/>
        <v>0</v>
      </c>
      <c r="AD22" s="336">
        <f t="shared" si="8"/>
        <v>2321.06</v>
      </c>
      <c r="AE22" s="336">
        <f t="shared" si="8"/>
        <v>0</v>
      </c>
      <c r="AF22" s="1137" t="s">
        <v>602</v>
      </c>
    </row>
    <row r="23" spans="1:32" ht="69" customHeight="1" x14ac:dyDescent="0.25">
      <c r="A23" s="814" t="s">
        <v>32</v>
      </c>
      <c r="B23" s="329">
        <f>H23+J23+L23+N23+P23+R23+T23+V23+X23+Z23+AB23+AD23</f>
        <v>54338.400000000001</v>
      </c>
      <c r="C23" s="329">
        <f>H23+J23+L23+N23+P23+R23</f>
        <v>0</v>
      </c>
      <c r="D23" s="329">
        <f>E23</f>
        <v>0</v>
      </c>
      <c r="E23" s="329">
        <f>I23+K23+M23+O23+Q23+S23+U23+W23+Y23+AA23+AC23+AE23</f>
        <v>0</v>
      </c>
      <c r="F23" s="329">
        <f>IFERROR(E23/B23%,0)</f>
        <v>0</v>
      </c>
      <c r="G23" s="329">
        <f>IFERROR(E23/C23%,0)</f>
        <v>0</v>
      </c>
      <c r="H23" s="328"/>
      <c r="I23" s="328"/>
      <c r="J23" s="328"/>
      <c r="K23" s="328"/>
      <c r="L23" s="328"/>
      <c r="M23" s="328"/>
      <c r="N23" s="328"/>
      <c r="O23" s="328"/>
      <c r="P23" s="328"/>
      <c r="Q23" s="328"/>
      <c r="R23" s="328"/>
      <c r="S23" s="328"/>
      <c r="T23" s="328"/>
      <c r="U23" s="328"/>
      <c r="V23" s="328"/>
      <c r="W23" s="328"/>
      <c r="X23" s="328"/>
      <c r="Y23" s="328"/>
      <c r="Z23" s="328">
        <v>54338.400000000001</v>
      </c>
      <c r="AA23" s="328"/>
      <c r="AB23" s="328"/>
      <c r="AC23" s="328"/>
      <c r="AD23" s="328"/>
      <c r="AE23" s="328"/>
      <c r="AF23" s="1126"/>
    </row>
    <row r="24" spans="1:32" ht="92.25" customHeight="1" x14ac:dyDescent="0.25">
      <c r="A24" s="327" t="s">
        <v>33</v>
      </c>
      <c r="B24" s="329">
        <f>H24+J24+L24+N24+P24+R24+T24+V24+X24+Z24+AB24+AD24</f>
        <v>18714.400000000001</v>
      </c>
      <c r="C24" s="329">
        <f>H24+J24+L24+N24+P24+R24</f>
        <v>89</v>
      </c>
      <c r="D24" s="329">
        <f>E24</f>
        <v>85</v>
      </c>
      <c r="E24" s="329">
        <f>I24+K24+M24+O24+Q24+S24+U24+W24+Y24+AA24+AC24+AE24</f>
        <v>85</v>
      </c>
      <c r="F24" s="329">
        <f>IFERROR(E24/B24%,0)</f>
        <v>0.4541956995682469</v>
      </c>
      <c r="G24" s="329">
        <f>IFERROR(E24/C24%,0)</f>
        <v>95.50561797752809</v>
      </c>
      <c r="H24" s="328"/>
      <c r="I24" s="328"/>
      <c r="J24" s="328"/>
      <c r="K24" s="328"/>
      <c r="L24" s="328">
        <v>59</v>
      </c>
      <c r="M24" s="328">
        <v>59</v>
      </c>
      <c r="N24" s="328"/>
      <c r="O24" s="328"/>
      <c r="P24" s="328"/>
      <c r="Q24" s="328"/>
      <c r="R24" s="328">
        <v>30</v>
      </c>
      <c r="S24" s="328">
        <v>26</v>
      </c>
      <c r="T24" s="328">
        <v>11</v>
      </c>
      <c r="U24" s="328"/>
      <c r="V24" s="328"/>
      <c r="W24" s="328"/>
      <c r="X24" s="328"/>
      <c r="Y24" s="328"/>
      <c r="Z24" s="328">
        <v>10414.299999999999</v>
      </c>
      <c r="AA24" s="328"/>
      <c r="AB24" s="328">
        <v>8200.1</v>
      </c>
      <c r="AC24" s="328"/>
      <c r="AD24" s="328"/>
      <c r="AE24" s="328"/>
      <c r="AF24" s="1126"/>
    </row>
    <row r="25" spans="1:32" ht="37.5" customHeight="1" x14ac:dyDescent="0.25">
      <c r="A25" s="341" t="s">
        <v>174</v>
      </c>
      <c r="B25" s="329"/>
      <c r="C25" s="329"/>
      <c r="D25" s="329"/>
      <c r="E25" s="329"/>
      <c r="F25" s="329"/>
      <c r="G25" s="329"/>
      <c r="H25" s="328"/>
      <c r="I25" s="328"/>
      <c r="J25" s="328"/>
      <c r="K25" s="328"/>
      <c r="L25" s="328"/>
      <c r="M25" s="328"/>
      <c r="N25" s="328"/>
      <c r="O25" s="328"/>
      <c r="P25" s="328"/>
      <c r="Q25" s="328"/>
      <c r="R25" s="328"/>
      <c r="S25" s="328"/>
      <c r="T25" s="328"/>
      <c r="U25" s="328"/>
      <c r="V25" s="328"/>
      <c r="W25" s="328"/>
      <c r="X25" s="328"/>
      <c r="Y25" s="328"/>
      <c r="Z25" s="328"/>
      <c r="AA25" s="328"/>
      <c r="AB25" s="328"/>
      <c r="AC25" s="328"/>
      <c r="AD25" s="328"/>
      <c r="AE25" s="328"/>
      <c r="AF25" s="1126"/>
    </row>
    <row r="26" spans="1:32" ht="113.25" customHeight="1" x14ac:dyDescent="0.25">
      <c r="A26" s="327" t="s">
        <v>374</v>
      </c>
      <c r="B26" s="329">
        <f>H26+J26+L26+N26+P26+R26+T26+V26+X26+Z26+AB26+AD26</f>
        <v>127266</v>
      </c>
      <c r="C26" s="329">
        <f>H26+J26+L26+N26+P26+R26</f>
        <v>0</v>
      </c>
      <c r="D26" s="329">
        <f>E26</f>
        <v>0</v>
      </c>
      <c r="E26" s="329">
        <f>I26+K26+M26+O26+Q26+S26+U26+W26+Y26+AA26+AC26+AE26</f>
        <v>0</v>
      </c>
      <c r="F26" s="329">
        <f>IFERROR(E26/B26%,0)</f>
        <v>0</v>
      </c>
      <c r="G26" s="329">
        <f>IFERROR(E26/C26%,0)</f>
        <v>0</v>
      </c>
      <c r="H26" s="328"/>
      <c r="I26" s="328"/>
      <c r="J26" s="328"/>
      <c r="K26" s="328"/>
      <c r="L26" s="328"/>
      <c r="M26" s="328"/>
      <c r="N26" s="328"/>
      <c r="O26" s="328"/>
      <c r="P26" s="328"/>
      <c r="Q26" s="328"/>
      <c r="R26" s="328"/>
      <c r="S26" s="328"/>
      <c r="T26" s="328">
        <v>2806.29</v>
      </c>
      <c r="U26" s="328"/>
      <c r="V26" s="328"/>
      <c r="W26" s="328"/>
      <c r="X26" s="328">
        <v>56431.37</v>
      </c>
      <c r="Y26" s="328"/>
      <c r="Z26" s="328">
        <v>65420.44</v>
      </c>
      <c r="AA26" s="328"/>
      <c r="AB26" s="328">
        <v>286.83999999999997</v>
      </c>
      <c r="AC26" s="328"/>
      <c r="AD26" s="328">
        <v>2321.06</v>
      </c>
      <c r="AE26" s="328"/>
      <c r="AF26" s="1127"/>
    </row>
    <row r="27" spans="1:32" x14ac:dyDescent="0.25">
      <c r="A27" s="1151" t="s">
        <v>402</v>
      </c>
      <c r="B27" s="1152"/>
      <c r="C27" s="1152"/>
      <c r="D27" s="1152"/>
      <c r="E27" s="1152"/>
      <c r="F27" s="1152"/>
      <c r="G27" s="1152"/>
      <c r="H27" s="1152"/>
      <c r="I27" s="1152"/>
      <c r="J27" s="1152"/>
      <c r="K27" s="1152"/>
      <c r="L27" s="1152"/>
      <c r="M27" s="1152"/>
      <c r="N27" s="1152"/>
      <c r="O27" s="1152"/>
      <c r="P27" s="1152"/>
      <c r="Q27" s="1152"/>
      <c r="R27" s="1152"/>
      <c r="S27" s="1152"/>
      <c r="T27" s="1152"/>
      <c r="U27" s="1152"/>
      <c r="V27" s="1152"/>
      <c r="W27" s="1152"/>
      <c r="X27" s="1152"/>
      <c r="Y27" s="1152"/>
      <c r="Z27" s="1152"/>
      <c r="AA27" s="1152"/>
      <c r="AB27" s="1152"/>
      <c r="AC27" s="1152"/>
      <c r="AD27" s="1152"/>
      <c r="AE27" s="1153"/>
      <c r="AF27" s="342"/>
    </row>
    <row r="28" spans="1:32" x14ac:dyDescent="0.25">
      <c r="A28" s="335" t="s">
        <v>31</v>
      </c>
      <c r="B28" s="336">
        <f>B29+B30+B31+B32</f>
        <v>1156.8</v>
      </c>
      <c r="C28" s="336">
        <f>C29+C30+C31+C32</f>
        <v>0</v>
      </c>
      <c r="D28" s="336">
        <f>D29+D30+D31+D32</f>
        <v>0</v>
      </c>
      <c r="E28" s="336">
        <f>E29+E30+E31+E32</f>
        <v>0</v>
      </c>
      <c r="F28" s="336">
        <f>IFERROR(E28/B28%,0)</f>
        <v>0</v>
      </c>
      <c r="G28" s="336">
        <f>IFERROR(E28/C28%,0)</f>
        <v>0</v>
      </c>
      <c r="H28" s="336">
        <f>H29+H30+H32</f>
        <v>0</v>
      </c>
      <c r="I28" s="336">
        <f t="shared" ref="I28:AE28" si="9">I29+I30+I32</f>
        <v>0</v>
      </c>
      <c r="J28" s="336">
        <f t="shared" si="9"/>
        <v>0</v>
      </c>
      <c r="K28" s="336">
        <f t="shared" si="9"/>
        <v>0</v>
      </c>
      <c r="L28" s="336">
        <f t="shared" si="9"/>
        <v>0</v>
      </c>
      <c r="M28" s="336">
        <f t="shared" si="9"/>
        <v>0</v>
      </c>
      <c r="N28" s="336">
        <f t="shared" si="9"/>
        <v>0</v>
      </c>
      <c r="O28" s="336">
        <f t="shared" si="9"/>
        <v>0</v>
      </c>
      <c r="P28" s="336">
        <f t="shared" si="9"/>
        <v>0</v>
      </c>
      <c r="Q28" s="336">
        <f t="shared" si="9"/>
        <v>0</v>
      </c>
      <c r="R28" s="336">
        <f t="shared" si="9"/>
        <v>0</v>
      </c>
      <c r="S28" s="336">
        <f t="shared" si="9"/>
        <v>0</v>
      </c>
      <c r="T28" s="336">
        <f t="shared" si="9"/>
        <v>0</v>
      </c>
      <c r="U28" s="336">
        <f t="shared" si="9"/>
        <v>0</v>
      </c>
      <c r="V28" s="336">
        <f t="shared" si="9"/>
        <v>0</v>
      </c>
      <c r="W28" s="336">
        <f t="shared" si="9"/>
        <v>0</v>
      </c>
      <c r="X28" s="336">
        <f t="shared" si="9"/>
        <v>0</v>
      </c>
      <c r="Y28" s="336">
        <f t="shared" si="9"/>
        <v>0</v>
      </c>
      <c r="Z28" s="336">
        <f t="shared" si="9"/>
        <v>0</v>
      </c>
      <c r="AA28" s="336">
        <f t="shared" si="9"/>
        <v>0</v>
      </c>
      <c r="AB28" s="336">
        <f t="shared" si="9"/>
        <v>1156.8</v>
      </c>
      <c r="AC28" s="336">
        <f t="shared" si="9"/>
        <v>0</v>
      </c>
      <c r="AD28" s="336">
        <f t="shared" si="9"/>
        <v>0</v>
      </c>
      <c r="AE28" s="336">
        <f t="shared" si="9"/>
        <v>0</v>
      </c>
      <c r="AF28" s="1137" t="s">
        <v>603</v>
      </c>
    </row>
    <row r="29" spans="1:32" x14ac:dyDescent="0.25">
      <c r="A29" s="327" t="s">
        <v>32</v>
      </c>
      <c r="B29" s="329"/>
      <c r="C29" s="328"/>
      <c r="D29" s="329"/>
      <c r="E29" s="329"/>
      <c r="F29" s="329"/>
      <c r="G29" s="329"/>
      <c r="H29" s="328"/>
      <c r="I29" s="328"/>
      <c r="J29" s="328"/>
      <c r="K29" s="328"/>
      <c r="L29" s="328"/>
      <c r="M29" s="328"/>
      <c r="N29" s="328"/>
      <c r="O29" s="328"/>
      <c r="P29" s="328"/>
      <c r="Q29" s="328"/>
      <c r="R29" s="328"/>
      <c r="S29" s="328"/>
      <c r="T29" s="328"/>
      <c r="U29" s="328"/>
      <c r="V29" s="328"/>
      <c r="W29" s="328"/>
      <c r="X29" s="328"/>
      <c r="Y29" s="328"/>
      <c r="Z29" s="328"/>
      <c r="AA29" s="328"/>
      <c r="AB29" s="328"/>
      <c r="AC29" s="328"/>
      <c r="AD29" s="328"/>
      <c r="AE29" s="328"/>
      <c r="AF29" s="1126"/>
    </row>
    <row r="30" spans="1:32" x14ac:dyDescent="0.25">
      <c r="A30" s="327" t="s">
        <v>33</v>
      </c>
      <c r="B30" s="329">
        <f>H30+J30+L30+N30+P30+R30+T30+V30+X30+Z30+AB30+AD30</f>
        <v>1156.8</v>
      </c>
      <c r="C30" s="328">
        <f>H30+J30+L30+N30+P30+R30</f>
        <v>0</v>
      </c>
      <c r="D30" s="329">
        <f>E30</f>
        <v>0</v>
      </c>
      <c r="E30" s="329">
        <f>I30+K30+M30+O30+Q30+S30+U30+W30+Y30+AA30+AC30+AE30</f>
        <v>0</v>
      </c>
      <c r="F30" s="329">
        <f>IFERROR(E30/B30%,0)</f>
        <v>0</v>
      </c>
      <c r="G30" s="329">
        <f>IFERROR(E30/C30%,0)</f>
        <v>0</v>
      </c>
      <c r="H30" s="328"/>
      <c r="I30" s="328"/>
      <c r="J30" s="328"/>
      <c r="K30" s="328"/>
      <c r="L30" s="328"/>
      <c r="M30" s="328"/>
      <c r="N30" s="328"/>
      <c r="O30" s="328"/>
      <c r="P30" s="328"/>
      <c r="Q30" s="328"/>
      <c r="R30" s="328"/>
      <c r="S30" s="328"/>
      <c r="T30" s="328"/>
      <c r="U30" s="328"/>
      <c r="V30" s="328"/>
      <c r="W30" s="328"/>
      <c r="X30" s="328"/>
      <c r="Y30" s="328"/>
      <c r="Z30" s="328"/>
      <c r="AA30" s="328"/>
      <c r="AB30" s="328">
        <v>1156.8</v>
      </c>
      <c r="AC30" s="328"/>
      <c r="AD30" s="328"/>
      <c r="AE30" s="328"/>
      <c r="AF30" s="1126"/>
    </row>
    <row r="31" spans="1:32" ht="31.5" x14ac:dyDescent="0.25">
      <c r="A31" s="341" t="s">
        <v>174</v>
      </c>
      <c r="B31" s="329"/>
      <c r="C31" s="328"/>
      <c r="D31" s="329"/>
      <c r="E31" s="329"/>
      <c r="F31" s="329"/>
      <c r="G31" s="329"/>
      <c r="H31" s="328"/>
      <c r="I31" s="328"/>
      <c r="J31" s="328"/>
      <c r="K31" s="328"/>
      <c r="L31" s="328"/>
      <c r="M31" s="328"/>
      <c r="N31" s="328"/>
      <c r="O31" s="328"/>
      <c r="P31" s="328"/>
      <c r="Q31" s="328"/>
      <c r="R31" s="328"/>
      <c r="S31" s="328"/>
      <c r="T31" s="328"/>
      <c r="U31" s="328"/>
      <c r="V31" s="328"/>
      <c r="W31" s="328"/>
      <c r="X31" s="328"/>
      <c r="Y31" s="328"/>
      <c r="Z31" s="328"/>
      <c r="AA31" s="328"/>
      <c r="AB31" s="328"/>
      <c r="AC31" s="328"/>
      <c r="AD31" s="328"/>
      <c r="AE31" s="328"/>
      <c r="AF31" s="1126"/>
    </row>
    <row r="32" spans="1:32" x14ac:dyDescent="0.25">
      <c r="A32" s="327" t="s">
        <v>374</v>
      </c>
      <c r="B32" s="329"/>
      <c r="C32" s="328"/>
      <c r="D32" s="329"/>
      <c r="E32" s="329"/>
      <c r="F32" s="329"/>
      <c r="G32" s="329"/>
      <c r="H32" s="328"/>
      <c r="I32" s="328"/>
      <c r="J32" s="328"/>
      <c r="K32" s="328"/>
      <c r="L32" s="328"/>
      <c r="M32" s="328"/>
      <c r="N32" s="328"/>
      <c r="O32" s="328"/>
      <c r="P32" s="328"/>
      <c r="Q32" s="328"/>
      <c r="R32" s="328"/>
      <c r="S32" s="328"/>
      <c r="T32" s="328"/>
      <c r="U32" s="328"/>
      <c r="V32" s="328"/>
      <c r="W32" s="328"/>
      <c r="X32" s="328"/>
      <c r="Y32" s="328"/>
      <c r="Z32" s="328"/>
      <c r="AA32" s="328"/>
      <c r="AB32" s="328"/>
      <c r="AC32" s="328"/>
      <c r="AD32" s="328"/>
      <c r="AE32" s="328"/>
      <c r="AF32" s="1127"/>
    </row>
    <row r="33" spans="1:32" x14ac:dyDescent="0.25">
      <c r="A33" s="1151" t="s">
        <v>472</v>
      </c>
      <c r="B33" s="1152"/>
      <c r="C33" s="1152"/>
      <c r="D33" s="1152"/>
      <c r="E33" s="1152"/>
      <c r="F33" s="1152"/>
      <c r="G33" s="1152"/>
      <c r="H33" s="1152"/>
      <c r="I33" s="1152"/>
      <c r="J33" s="1152"/>
      <c r="K33" s="1152"/>
      <c r="L33" s="1152"/>
      <c r="M33" s="1152"/>
      <c r="N33" s="1152"/>
      <c r="O33" s="1152"/>
      <c r="P33" s="1152"/>
      <c r="Q33" s="1152"/>
      <c r="R33" s="1152"/>
      <c r="S33" s="1152"/>
      <c r="T33" s="1152"/>
      <c r="U33" s="1152"/>
      <c r="V33" s="1152"/>
      <c r="W33" s="1152"/>
      <c r="X33" s="1152"/>
      <c r="Y33" s="1152"/>
      <c r="Z33" s="1152"/>
      <c r="AA33" s="1152"/>
      <c r="AB33" s="1152"/>
      <c r="AC33" s="1152"/>
      <c r="AD33" s="1152"/>
      <c r="AE33" s="1153"/>
      <c r="AF33" s="326"/>
    </row>
    <row r="34" spans="1:32" ht="63.75" customHeight="1" x14ac:dyDescent="0.25">
      <c r="A34" s="327" t="s">
        <v>31</v>
      </c>
      <c r="B34" s="329">
        <f>B35+B36+B38</f>
        <v>398109.48600000003</v>
      </c>
      <c r="C34" s="329">
        <f>C35+C36+C38</f>
        <v>180</v>
      </c>
      <c r="D34" s="329">
        <f>D35+D36+D38</f>
        <v>180</v>
      </c>
      <c r="E34" s="329">
        <f>E35+E36+E38</f>
        <v>180</v>
      </c>
      <c r="F34" s="329">
        <f>IFERROR(E34/B34%,0)</f>
        <v>4.5213692798066106E-2</v>
      </c>
      <c r="G34" s="329">
        <f>IFERROR(E34/C34%,0)</f>
        <v>100</v>
      </c>
      <c r="H34" s="329">
        <f>H35+H36+H38</f>
        <v>0</v>
      </c>
      <c r="I34" s="329">
        <f t="shared" ref="I34:AE34" si="10">I35+I36+I38</f>
        <v>0</v>
      </c>
      <c r="J34" s="329">
        <f t="shared" si="10"/>
        <v>0</v>
      </c>
      <c r="K34" s="329">
        <f t="shared" si="10"/>
        <v>0</v>
      </c>
      <c r="L34" s="329">
        <f t="shared" si="10"/>
        <v>0</v>
      </c>
      <c r="M34" s="329">
        <f t="shared" si="10"/>
        <v>0</v>
      </c>
      <c r="N34" s="329">
        <f t="shared" si="10"/>
        <v>180</v>
      </c>
      <c r="O34" s="329">
        <f t="shared" si="10"/>
        <v>180</v>
      </c>
      <c r="P34" s="329">
        <f t="shared" si="10"/>
        <v>0</v>
      </c>
      <c r="Q34" s="329">
        <f t="shared" si="10"/>
        <v>0</v>
      </c>
      <c r="R34" s="329">
        <f t="shared" si="10"/>
        <v>0</v>
      </c>
      <c r="S34" s="329">
        <f t="shared" si="10"/>
        <v>0</v>
      </c>
      <c r="T34" s="329">
        <f t="shared" si="10"/>
        <v>14031.45</v>
      </c>
      <c r="U34" s="329">
        <f t="shared" si="10"/>
        <v>0</v>
      </c>
      <c r="V34" s="329">
        <f t="shared" si="10"/>
        <v>0</v>
      </c>
      <c r="W34" s="329">
        <f t="shared" si="10"/>
        <v>0</v>
      </c>
      <c r="X34" s="329">
        <f t="shared" si="10"/>
        <v>282156.88</v>
      </c>
      <c r="Y34" s="329">
        <f t="shared" si="10"/>
        <v>0</v>
      </c>
      <c r="Z34" s="329">
        <f t="shared" si="10"/>
        <v>55794.895999999993</v>
      </c>
      <c r="AA34" s="329">
        <f t="shared" si="10"/>
        <v>0</v>
      </c>
      <c r="AB34" s="329">
        <f t="shared" si="10"/>
        <v>1434.1799999999998</v>
      </c>
      <c r="AC34" s="329">
        <f t="shared" si="10"/>
        <v>0</v>
      </c>
      <c r="AD34" s="329">
        <f t="shared" si="10"/>
        <v>44512.08</v>
      </c>
      <c r="AE34" s="329">
        <f t="shared" si="10"/>
        <v>0</v>
      </c>
      <c r="AF34" s="1137" t="s">
        <v>604</v>
      </c>
    </row>
    <row r="35" spans="1:32" ht="80.25" customHeight="1" x14ac:dyDescent="0.25">
      <c r="A35" s="681" t="s">
        <v>32</v>
      </c>
      <c r="B35" s="329">
        <f>H35+J35+L35+N35+P35+R35+T35+V35+X35+Z35+AB35+AD35</f>
        <v>156413.69600000003</v>
      </c>
      <c r="C35" s="328">
        <f>H35+J35+L35+N35+P35+R35</f>
        <v>0</v>
      </c>
      <c r="D35" s="329">
        <f>E35</f>
        <v>0</v>
      </c>
      <c r="E35" s="329">
        <f>I35+K35+M35+O35+Q35+S35+U35+W35+Y35+AA35+AC35+AE35</f>
        <v>0</v>
      </c>
      <c r="F35" s="337">
        <f>IFERROR(E35/B35%,0)</f>
        <v>0</v>
      </c>
      <c r="G35" s="337">
        <f>IFERROR(E35/C35%,0)</f>
        <v>0</v>
      </c>
      <c r="H35" s="328"/>
      <c r="I35" s="328"/>
      <c r="J35" s="328"/>
      <c r="K35" s="328"/>
      <c r="L35" s="328"/>
      <c r="M35" s="328"/>
      <c r="N35" s="328"/>
      <c r="O35" s="328"/>
      <c r="P35" s="328"/>
      <c r="Q35" s="328"/>
      <c r="R35" s="328"/>
      <c r="S35" s="328"/>
      <c r="T35" s="328">
        <v>5612.58</v>
      </c>
      <c r="U35" s="328"/>
      <c r="V35" s="328"/>
      <c r="W35" s="328"/>
      <c r="X35" s="328">
        <v>112862.75</v>
      </c>
      <c r="Y35" s="328"/>
      <c r="Z35" s="328">
        <v>22162.876</v>
      </c>
      <c r="AA35" s="328"/>
      <c r="AB35" s="328">
        <v>573.66999999999996</v>
      </c>
      <c r="AC35" s="328"/>
      <c r="AD35" s="328">
        <v>15201.82</v>
      </c>
      <c r="AE35" s="328"/>
      <c r="AF35" s="1126"/>
    </row>
    <row r="36" spans="1:32" ht="57" customHeight="1" x14ac:dyDescent="0.25">
      <c r="A36" s="327" t="s">
        <v>33</v>
      </c>
      <c r="B36" s="329">
        <f>H36+J36+L36+N36+P36+R36+T36+V36+X36+Z36+AB36+AD36</f>
        <v>12354.029999999999</v>
      </c>
      <c r="C36" s="328">
        <f>H36+J36+L36+N36+P36+R36</f>
        <v>180</v>
      </c>
      <c r="D36" s="329">
        <f>E36</f>
        <v>180</v>
      </c>
      <c r="E36" s="329">
        <f>I36+K36+M36+O36+Q36+S36+U36+W36+Y36+AA36+AC36+AE36</f>
        <v>180</v>
      </c>
      <c r="F36" s="337">
        <f>IFERROR(E36/B36%,0)</f>
        <v>1.4570144317279463</v>
      </c>
      <c r="G36" s="337">
        <f>IFERROR(E36/C36%,0)</f>
        <v>100</v>
      </c>
      <c r="H36" s="328"/>
      <c r="I36" s="328"/>
      <c r="J36" s="328"/>
      <c r="K36" s="328"/>
      <c r="L36" s="328"/>
      <c r="M36" s="328"/>
      <c r="N36" s="328">
        <v>180</v>
      </c>
      <c r="O36" s="328">
        <v>180</v>
      </c>
      <c r="P36" s="328"/>
      <c r="Q36" s="328"/>
      <c r="R36" s="328"/>
      <c r="S36" s="328"/>
      <c r="T36" s="328"/>
      <c r="U36" s="328"/>
      <c r="V36" s="328"/>
      <c r="W36" s="328"/>
      <c r="X36" s="328"/>
      <c r="Y36" s="328"/>
      <c r="Z36" s="328">
        <v>387.71</v>
      </c>
      <c r="AA36" s="328"/>
      <c r="AB36" s="328"/>
      <c r="AC36" s="328"/>
      <c r="AD36" s="328">
        <v>11786.32</v>
      </c>
      <c r="AE36" s="328"/>
      <c r="AF36" s="1126"/>
    </row>
    <row r="37" spans="1:32" ht="69.75" customHeight="1" x14ac:dyDescent="0.25">
      <c r="A37" s="815" t="s">
        <v>174</v>
      </c>
      <c r="B37" s="329"/>
      <c r="C37" s="328"/>
      <c r="D37" s="329"/>
      <c r="E37" s="329"/>
      <c r="F37" s="337"/>
      <c r="G37" s="337"/>
      <c r="H37" s="328"/>
      <c r="I37" s="328"/>
      <c r="J37" s="328"/>
      <c r="K37" s="328"/>
      <c r="L37" s="328"/>
      <c r="M37" s="328"/>
      <c r="N37" s="328"/>
      <c r="O37" s="328"/>
      <c r="P37" s="328"/>
      <c r="Q37" s="328"/>
      <c r="R37" s="328"/>
      <c r="S37" s="328"/>
      <c r="T37" s="328"/>
      <c r="U37" s="328"/>
      <c r="V37" s="328"/>
      <c r="W37" s="328"/>
      <c r="X37" s="328"/>
      <c r="Y37" s="328"/>
      <c r="Z37" s="328"/>
      <c r="AA37" s="328"/>
      <c r="AB37" s="328"/>
      <c r="AC37" s="328"/>
      <c r="AD37" s="328"/>
      <c r="AE37" s="328"/>
      <c r="AF37" s="1126"/>
    </row>
    <row r="38" spans="1:32" ht="60" customHeight="1" x14ac:dyDescent="0.25">
      <c r="A38" s="681" t="s">
        <v>374</v>
      </c>
      <c r="B38" s="329">
        <f>H38+J38+L38+N38+P38+R38+T38+V38+X38+Z38+AB38+AD38</f>
        <v>229341.76</v>
      </c>
      <c r="C38" s="328">
        <f>H38+J38+L38+N38+P38+R38</f>
        <v>0</v>
      </c>
      <c r="D38" s="329">
        <f>E38</f>
        <v>0</v>
      </c>
      <c r="E38" s="329">
        <f>I38+K38+M38+O38+Q38+S38+U38+W38+Y38+AA38+AC38+AE38</f>
        <v>0</v>
      </c>
      <c r="F38" s="337">
        <f>IFERROR(E38/B38%,0)</f>
        <v>0</v>
      </c>
      <c r="G38" s="337">
        <f>IFERROR(E38/C38%,0)</f>
        <v>0</v>
      </c>
      <c r="H38" s="328"/>
      <c r="I38" s="328"/>
      <c r="J38" s="328"/>
      <c r="K38" s="328"/>
      <c r="L38" s="328"/>
      <c r="M38" s="328"/>
      <c r="N38" s="328"/>
      <c r="O38" s="328"/>
      <c r="P38" s="328"/>
      <c r="Q38" s="328"/>
      <c r="R38" s="328"/>
      <c r="S38" s="328"/>
      <c r="T38" s="328">
        <v>8418.8700000000008</v>
      </c>
      <c r="U38" s="328"/>
      <c r="V38" s="328"/>
      <c r="W38" s="328"/>
      <c r="X38" s="328">
        <v>169294.13</v>
      </c>
      <c r="Y38" s="328"/>
      <c r="Z38" s="328">
        <v>33244.31</v>
      </c>
      <c r="AA38" s="328"/>
      <c r="AB38" s="328">
        <v>860.51</v>
      </c>
      <c r="AC38" s="328"/>
      <c r="AD38" s="328">
        <v>17523.939999999999</v>
      </c>
      <c r="AE38" s="328"/>
      <c r="AF38" s="1127"/>
    </row>
    <row r="39" spans="1:32" ht="18" customHeight="1" x14ac:dyDescent="0.25">
      <c r="A39" s="1151" t="s">
        <v>403</v>
      </c>
      <c r="B39" s="1152"/>
      <c r="C39" s="1152"/>
      <c r="D39" s="1152"/>
      <c r="E39" s="1152"/>
      <c r="F39" s="1152"/>
      <c r="G39" s="1152"/>
      <c r="H39" s="1152"/>
      <c r="I39" s="1152"/>
      <c r="J39" s="1152"/>
      <c r="K39" s="1152"/>
      <c r="L39" s="1152"/>
      <c r="M39" s="1152"/>
      <c r="N39" s="1152"/>
      <c r="O39" s="1152"/>
      <c r="P39" s="1152"/>
      <c r="Q39" s="1152"/>
      <c r="R39" s="1152"/>
      <c r="S39" s="1152"/>
      <c r="T39" s="1152"/>
      <c r="U39" s="1152"/>
      <c r="V39" s="1152"/>
      <c r="W39" s="1152"/>
      <c r="X39" s="1152"/>
      <c r="Y39" s="1152"/>
      <c r="Z39" s="1152"/>
      <c r="AA39" s="1152"/>
      <c r="AB39" s="1152"/>
      <c r="AC39" s="1152"/>
      <c r="AD39" s="1152"/>
      <c r="AE39" s="1153"/>
      <c r="AF39" s="342"/>
    </row>
    <row r="40" spans="1:32" ht="27" customHeight="1" x14ac:dyDescent="0.25">
      <c r="A40" s="327" t="s">
        <v>31</v>
      </c>
      <c r="B40" s="329">
        <f>B41+B42+B44</f>
        <v>0</v>
      </c>
      <c r="C40" s="329">
        <f>C41+C42+C44</f>
        <v>0</v>
      </c>
      <c r="D40" s="329">
        <f>D41+D42+D44</f>
        <v>0</v>
      </c>
      <c r="E40" s="329">
        <f>E41+E42+E44</f>
        <v>0</v>
      </c>
      <c r="F40" s="329">
        <f>IFERROR(E40/B40%,0)</f>
        <v>0</v>
      </c>
      <c r="G40" s="329">
        <f>IFERROR(E40/C40%,0)</f>
        <v>0</v>
      </c>
      <c r="H40" s="329">
        <f>H41+H42+H44</f>
        <v>0</v>
      </c>
      <c r="I40" s="329">
        <f t="shared" ref="I40:AE40" si="11">I41+I42+I44</f>
        <v>0</v>
      </c>
      <c r="J40" s="329">
        <f t="shared" si="11"/>
        <v>0</v>
      </c>
      <c r="K40" s="329">
        <f t="shared" si="11"/>
        <v>0</v>
      </c>
      <c r="L40" s="329">
        <f t="shared" si="11"/>
        <v>0</v>
      </c>
      <c r="M40" s="329">
        <f t="shared" si="11"/>
        <v>0</v>
      </c>
      <c r="N40" s="329">
        <f t="shared" si="11"/>
        <v>0</v>
      </c>
      <c r="O40" s="329">
        <f t="shared" si="11"/>
        <v>0</v>
      </c>
      <c r="P40" s="329">
        <f t="shared" si="11"/>
        <v>0</v>
      </c>
      <c r="Q40" s="329">
        <f t="shared" si="11"/>
        <v>0</v>
      </c>
      <c r="R40" s="329">
        <f t="shared" si="11"/>
        <v>0</v>
      </c>
      <c r="S40" s="329">
        <f t="shared" si="11"/>
        <v>0</v>
      </c>
      <c r="T40" s="329">
        <f t="shared" si="11"/>
        <v>0</v>
      </c>
      <c r="U40" s="329">
        <f t="shared" si="11"/>
        <v>0</v>
      </c>
      <c r="V40" s="329">
        <f t="shared" si="11"/>
        <v>0</v>
      </c>
      <c r="W40" s="329">
        <f t="shared" si="11"/>
        <v>0</v>
      </c>
      <c r="X40" s="329">
        <f t="shared" si="11"/>
        <v>0</v>
      </c>
      <c r="Y40" s="329">
        <f t="shared" si="11"/>
        <v>0</v>
      </c>
      <c r="Z40" s="329">
        <f t="shared" si="11"/>
        <v>0</v>
      </c>
      <c r="AA40" s="329">
        <f t="shared" si="11"/>
        <v>0</v>
      </c>
      <c r="AB40" s="329">
        <f t="shared" si="11"/>
        <v>0</v>
      </c>
      <c r="AC40" s="329">
        <f t="shared" si="11"/>
        <v>0</v>
      </c>
      <c r="AD40" s="329">
        <f t="shared" si="11"/>
        <v>0</v>
      </c>
      <c r="AE40" s="329">
        <f t="shared" si="11"/>
        <v>0</v>
      </c>
      <c r="AF40" s="1125" t="s">
        <v>535</v>
      </c>
    </row>
    <row r="41" spans="1:32" x14ac:dyDescent="0.25">
      <c r="A41" s="327" t="s">
        <v>32</v>
      </c>
      <c r="B41" s="329">
        <f>H41+J41+L41+N41+P41+R41+T41+V41+X41+Z41+AB41+AD41</f>
        <v>0</v>
      </c>
      <c r="C41" s="328">
        <f>H41+J41+L41+N41+P41+R41</f>
        <v>0</v>
      </c>
      <c r="D41" s="329">
        <f>E41</f>
        <v>0</v>
      </c>
      <c r="E41" s="329">
        <f>I41+K41+M41+O41+Q41+S41+U41+W41+Y41+AA41+AC41+AE41</f>
        <v>0</v>
      </c>
      <c r="F41" s="337">
        <f>IFERROR(E41/B41%,0)</f>
        <v>0</v>
      </c>
      <c r="G41" s="337">
        <f>IFERROR(E41/C41%,0)</f>
        <v>0</v>
      </c>
      <c r="H41" s="328"/>
      <c r="I41" s="328"/>
      <c r="J41" s="328"/>
      <c r="K41" s="328"/>
      <c r="L41" s="328"/>
      <c r="M41" s="328"/>
      <c r="N41" s="328"/>
      <c r="O41" s="328"/>
      <c r="P41" s="328"/>
      <c r="Q41" s="328"/>
      <c r="R41" s="328"/>
      <c r="S41" s="328"/>
      <c r="T41" s="328"/>
      <c r="U41" s="328"/>
      <c r="V41" s="328"/>
      <c r="W41" s="328"/>
      <c r="X41" s="328"/>
      <c r="Y41" s="328"/>
      <c r="Z41" s="328"/>
      <c r="AA41" s="328"/>
      <c r="AB41" s="328"/>
      <c r="AC41" s="328"/>
      <c r="AD41" s="328"/>
      <c r="AE41" s="328"/>
      <c r="AF41" s="1125"/>
    </row>
    <row r="42" spans="1:32" ht="25.5" customHeight="1" x14ac:dyDescent="0.25">
      <c r="A42" s="327" t="s">
        <v>33</v>
      </c>
      <c r="B42" s="329">
        <f>H42+J42+L42+N42+P42+R42+T42+V42+X42+Z42+AB42+AD42</f>
        <v>0</v>
      </c>
      <c r="C42" s="328">
        <f>H42+J42+L42+N42+P42+R42</f>
        <v>0</v>
      </c>
      <c r="D42" s="329">
        <f>E42</f>
        <v>0</v>
      </c>
      <c r="E42" s="329">
        <f>I42+K42+M42+O42+Q42+S42+U42+W42+Y42+AA42+AC42+AE42</f>
        <v>0</v>
      </c>
      <c r="F42" s="337">
        <f>IFERROR(E42/B42%,0)</f>
        <v>0</v>
      </c>
      <c r="G42" s="337">
        <f>IFERROR(E42/C42%,0)</f>
        <v>0</v>
      </c>
      <c r="H42" s="328"/>
      <c r="I42" s="328"/>
      <c r="J42" s="328"/>
      <c r="K42" s="328"/>
      <c r="L42" s="328"/>
      <c r="M42" s="328"/>
      <c r="N42" s="328"/>
      <c r="O42" s="328"/>
      <c r="P42" s="328"/>
      <c r="Q42" s="328"/>
      <c r="R42" s="328"/>
      <c r="S42" s="328"/>
      <c r="T42" s="328"/>
      <c r="U42" s="328"/>
      <c r="V42" s="328"/>
      <c r="W42" s="328"/>
      <c r="X42" s="328"/>
      <c r="Y42" s="328"/>
      <c r="Z42" s="328"/>
      <c r="AA42" s="328"/>
      <c r="AB42" s="328"/>
      <c r="AC42" s="328"/>
      <c r="AD42" s="328"/>
      <c r="AE42" s="328"/>
      <c r="AF42" s="1125"/>
    </row>
    <row r="43" spans="1:32" ht="31.5" x14ac:dyDescent="0.25">
      <c r="A43" s="341" t="s">
        <v>174</v>
      </c>
      <c r="B43" s="329">
        <f>H43+J43+L43+N43+P43+R43+T43+V43+X43+Z43+AB43+AD43</f>
        <v>0</v>
      </c>
      <c r="C43" s="328">
        <f>H43+J43+L43+N43+P43+R43</f>
        <v>0</v>
      </c>
      <c r="D43" s="329">
        <f>E43</f>
        <v>0</v>
      </c>
      <c r="E43" s="329">
        <f>I43+K43+M43+O43+Q43+S43+U43+W43+Y43+AA43+AC43+AE43</f>
        <v>0</v>
      </c>
      <c r="F43" s="337">
        <f>IFERROR(E43/B43%,0)</f>
        <v>0</v>
      </c>
      <c r="G43" s="337">
        <f>IFERROR(E43/C43%,0)</f>
        <v>0</v>
      </c>
      <c r="H43" s="328"/>
      <c r="I43" s="328"/>
      <c r="J43" s="328"/>
      <c r="K43" s="328"/>
      <c r="L43" s="328"/>
      <c r="M43" s="328"/>
      <c r="N43" s="328"/>
      <c r="O43" s="328"/>
      <c r="P43" s="328"/>
      <c r="Q43" s="328"/>
      <c r="R43" s="328"/>
      <c r="S43" s="328"/>
      <c r="T43" s="328"/>
      <c r="U43" s="328"/>
      <c r="V43" s="328"/>
      <c r="W43" s="328"/>
      <c r="X43" s="328"/>
      <c r="Y43" s="328"/>
      <c r="Z43" s="328"/>
      <c r="AA43" s="328"/>
      <c r="AB43" s="328"/>
      <c r="AC43" s="328"/>
      <c r="AD43" s="328"/>
      <c r="AE43" s="328"/>
      <c r="AF43" s="1125"/>
    </row>
    <row r="44" spans="1:32" x14ac:dyDescent="0.25">
      <c r="A44" s="327" t="s">
        <v>374</v>
      </c>
      <c r="B44" s="329">
        <f>H44+J44+L44+N44+P44+R44+T44+V44+X44+Z44+AB44+AD44</f>
        <v>0</v>
      </c>
      <c r="C44" s="328">
        <f>H44+J44+L44+N44+P44+R44</f>
        <v>0</v>
      </c>
      <c r="D44" s="329">
        <f>E44</f>
        <v>0</v>
      </c>
      <c r="E44" s="329">
        <f>I44+K44+M44+O44+Q44+S44+U44+W44+Y44+AA44+AC44+AE44</f>
        <v>0</v>
      </c>
      <c r="F44" s="337">
        <f>IFERROR(E44/B44%,0)</f>
        <v>0</v>
      </c>
      <c r="G44" s="337">
        <f>IFERROR(E44/C44%,0)</f>
        <v>0</v>
      </c>
      <c r="H44" s="328"/>
      <c r="I44" s="328"/>
      <c r="J44" s="328"/>
      <c r="K44" s="328"/>
      <c r="L44" s="328"/>
      <c r="M44" s="328"/>
      <c r="N44" s="328"/>
      <c r="O44" s="328"/>
      <c r="P44" s="328"/>
      <c r="Q44" s="328"/>
      <c r="R44" s="328"/>
      <c r="S44" s="328"/>
      <c r="T44" s="328"/>
      <c r="U44" s="328"/>
      <c r="V44" s="328"/>
      <c r="W44" s="328"/>
      <c r="X44" s="328"/>
      <c r="Y44" s="328"/>
      <c r="Z44" s="328"/>
      <c r="AA44" s="328"/>
      <c r="AB44" s="328"/>
      <c r="AC44" s="328"/>
      <c r="AD44" s="328"/>
      <c r="AE44" s="328"/>
      <c r="AF44" s="1134"/>
    </row>
    <row r="45" spans="1:32" x14ac:dyDescent="0.25">
      <c r="A45" s="1151" t="s">
        <v>404</v>
      </c>
      <c r="B45" s="1152"/>
      <c r="C45" s="1152"/>
      <c r="D45" s="1152"/>
      <c r="E45" s="1152"/>
      <c r="F45" s="1152"/>
      <c r="G45" s="1152"/>
      <c r="H45" s="1152"/>
      <c r="I45" s="1152"/>
      <c r="J45" s="1152"/>
      <c r="K45" s="1152"/>
      <c r="L45" s="1152"/>
      <c r="M45" s="1152"/>
      <c r="N45" s="1152"/>
      <c r="O45" s="1152"/>
      <c r="P45" s="1152"/>
      <c r="Q45" s="1152"/>
      <c r="R45" s="1152"/>
      <c r="S45" s="1152"/>
      <c r="T45" s="1152"/>
      <c r="U45" s="1152"/>
      <c r="V45" s="1152"/>
      <c r="W45" s="1152"/>
      <c r="X45" s="1152"/>
      <c r="Y45" s="1152"/>
      <c r="Z45" s="1152"/>
      <c r="AA45" s="1152"/>
      <c r="AB45" s="1152"/>
      <c r="AC45" s="1152"/>
      <c r="AD45" s="1152"/>
      <c r="AE45" s="1153"/>
      <c r="AF45" s="342"/>
    </row>
    <row r="46" spans="1:32" x14ac:dyDescent="0.25">
      <c r="A46" s="327" t="s">
        <v>31</v>
      </c>
      <c r="B46" s="329">
        <f>B47+B48+B50</f>
        <v>4540.54</v>
      </c>
      <c r="C46" s="329">
        <f>C47+C48+C50</f>
        <v>4540.54</v>
      </c>
      <c r="D46" s="329">
        <f>D47+D48+D50</f>
        <v>4540.54</v>
      </c>
      <c r="E46" s="329">
        <f>E47+E48+E50</f>
        <v>4540.54</v>
      </c>
      <c r="F46" s="329">
        <f>IFERROR(E46/B46%,0)</f>
        <v>100</v>
      </c>
      <c r="G46" s="329">
        <f>IFERROR(E46/C46%,0)</f>
        <v>100</v>
      </c>
      <c r="H46" s="329">
        <f>H47+H48+H50</f>
        <v>0</v>
      </c>
      <c r="I46" s="329">
        <f t="shared" ref="I46:AE46" si="12">I47+I48+I50</f>
        <v>0</v>
      </c>
      <c r="J46" s="329">
        <f t="shared" si="12"/>
        <v>4540.54</v>
      </c>
      <c r="K46" s="329">
        <f t="shared" si="12"/>
        <v>4540.54</v>
      </c>
      <c r="L46" s="329">
        <f t="shared" si="12"/>
        <v>0</v>
      </c>
      <c r="M46" s="329">
        <f t="shared" si="12"/>
        <v>0</v>
      </c>
      <c r="N46" s="329">
        <f t="shared" si="12"/>
        <v>0</v>
      </c>
      <c r="O46" s="329">
        <f t="shared" si="12"/>
        <v>0</v>
      </c>
      <c r="P46" s="329">
        <f t="shared" si="12"/>
        <v>0</v>
      </c>
      <c r="Q46" s="329">
        <f t="shared" si="12"/>
        <v>0</v>
      </c>
      <c r="R46" s="329">
        <f t="shared" si="12"/>
        <v>0</v>
      </c>
      <c r="S46" s="329">
        <f t="shared" si="12"/>
        <v>0</v>
      </c>
      <c r="T46" s="329">
        <f t="shared" si="12"/>
        <v>0</v>
      </c>
      <c r="U46" s="329">
        <f t="shared" si="12"/>
        <v>0</v>
      </c>
      <c r="V46" s="329">
        <f t="shared" si="12"/>
        <v>0</v>
      </c>
      <c r="W46" s="329">
        <f t="shared" si="12"/>
        <v>0</v>
      </c>
      <c r="X46" s="329">
        <f t="shared" si="12"/>
        <v>0</v>
      </c>
      <c r="Y46" s="329">
        <f t="shared" si="12"/>
        <v>0</v>
      </c>
      <c r="Z46" s="329">
        <f t="shared" si="12"/>
        <v>0</v>
      </c>
      <c r="AA46" s="329">
        <f t="shared" si="12"/>
        <v>0</v>
      </c>
      <c r="AB46" s="329">
        <f t="shared" si="12"/>
        <v>0</v>
      </c>
      <c r="AC46" s="329">
        <f t="shared" si="12"/>
        <v>0</v>
      </c>
      <c r="AD46" s="329">
        <f t="shared" si="12"/>
        <v>0</v>
      </c>
      <c r="AE46" s="329">
        <f t="shared" si="12"/>
        <v>0</v>
      </c>
      <c r="AF46" s="1125" t="s">
        <v>482</v>
      </c>
    </row>
    <row r="47" spans="1:32" x14ac:dyDescent="0.25">
      <c r="A47" s="327" t="s">
        <v>32</v>
      </c>
      <c r="B47" s="329">
        <f>H47+J47+L47+N47+P47+R47+T47+V47+X47+Z47+AB47+AD47</f>
        <v>0</v>
      </c>
      <c r="C47" s="328">
        <f>H47+J47+L47+N47+P47+R47</f>
        <v>0</v>
      </c>
      <c r="D47" s="329">
        <f>E47</f>
        <v>0</v>
      </c>
      <c r="E47" s="329">
        <f>I47+K47+M47+O47+Q47+S47+U47+W47+Y47+AA47+AC47+AE47</f>
        <v>0</v>
      </c>
      <c r="F47" s="337">
        <f>IFERROR(E47/B47%,0)</f>
        <v>0</v>
      </c>
      <c r="G47" s="337">
        <f>IFERROR(E47/C47%,0)</f>
        <v>0</v>
      </c>
      <c r="H47" s="328"/>
      <c r="I47" s="328"/>
      <c r="J47" s="328"/>
      <c r="K47" s="328"/>
      <c r="L47" s="328"/>
      <c r="M47" s="328"/>
      <c r="N47" s="328"/>
      <c r="O47" s="328"/>
      <c r="P47" s="328"/>
      <c r="Q47" s="328"/>
      <c r="R47" s="328"/>
      <c r="S47" s="328"/>
      <c r="T47" s="328"/>
      <c r="U47" s="328"/>
      <c r="V47" s="328"/>
      <c r="W47" s="328"/>
      <c r="X47" s="328"/>
      <c r="Y47" s="328"/>
      <c r="Z47" s="328"/>
      <c r="AA47" s="328"/>
      <c r="AB47" s="328"/>
      <c r="AC47" s="328"/>
      <c r="AD47" s="328"/>
      <c r="AE47" s="328"/>
      <c r="AF47" s="1125"/>
    </row>
    <row r="48" spans="1:32" ht="30" customHeight="1" x14ac:dyDescent="0.25">
      <c r="A48" s="327" t="s">
        <v>33</v>
      </c>
      <c r="B48" s="329">
        <f>H48+J48+L48+N48+P48+R48+T48+V48+X48+Z48+AB48+AD48</f>
        <v>4540.54</v>
      </c>
      <c r="C48" s="328">
        <f>H48+J48+L48+N48+P48+R48</f>
        <v>4540.54</v>
      </c>
      <c r="D48" s="329">
        <f>E48</f>
        <v>4540.54</v>
      </c>
      <c r="E48" s="329">
        <f>I48+K48+M48+O48+Q48+S48+U48+W48+Y48+AA48+AC48+AE48</f>
        <v>4540.54</v>
      </c>
      <c r="F48" s="337">
        <f>IFERROR(E48/B48%,0)</f>
        <v>100</v>
      </c>
      <c r="G48" s="337">
        <f>IFERROR(E48/C48%,0)</f>
        <v>100</v>
      </c>
      <c r="H48" s="328"/>
      <c r="I48" s="328"/>
      <c r="J48" s="328">
        <v>4540.54</v>
      </c>
      <c r="K48" s="328">
        <v>4540.54</v>
      </c>
      <c r="L48" s="328"/>
      <c r="M48" s="328"/>
      <c r="N48" s="328"/>
      <c r="O48" s="328"/>
      <c r="P48" s="328"/>
      <c r="Q48" s="328"/>
      <c r="R48" s="328"/>
      <c r="S48" s="328"/>
      <c r="T48" s="328"/>
      <c r="U48" s="328"/>
      <c r="V48" s="328"/>
      <c r="W48" s="328"/>
      <c r="X48" s="328"/>
      <c r="Y48" s="328"/>
      <c r="Z48" s="328"/>
      <c r="AA48" s="328"/>
      <c r="AB48" s="328"/>
      <c r="AC48" s="328"/>
      <c r="AD48" s="328"/>
      <c r="AE48" s="328"/>
      <c r="AF48" s="1125"/>
    </row>
    <row r="49" spans="1:32" ht="31.5" x14ac:dyDescent="0.25">
      <c r="A49" s="341" t="s">
        <v>174</v>
      </c>
      <c r="B49" s="329">
        <f>H49+J49+L49+N49+P49+R49+T49+V49+X49+Z49+AB49+AD49</f>
        <v>0</v>
      </c>
      <c r="C49" s="328">
        <f>H49+J49+L49+N49+P49+R49</f>
        <v>0</v>
      </c>
      <c r="D49" s="329">
        <f>E49</f>
        <v>0</v>
      </c>
      <c r="E49" s="329">
        <f>I49+K49+M49+O49+Q49+S49+U49+W49+Y49+AA49+AC49+AE49</f>
        <v>0</v>
      </c>
      <c r="F49" s="337">
        <f>IFERROR(E49/B49%,0)</f>
        <v>0</v>
      </c>
      <c r="G49" s="337">
        <f>IFERROR(E49/C49%,0)</f>
        <v>0</v>
      </c>
      <c r="H49" s="328"/>
      <c r="I49" s="328"/>
      <c r="J49" s="328"/>
      <c r="K49" s="328"/>
      <c r="L49" s="328"/>
      <c r="M49" s="328"/>
      <c r="N49" s="328"/>
      <c r="O49" s="328"/>
      <c r="P49" s="328"/>
      <c r="Q49" s="328"/>
      <c r="R49" s="328"/>
      <c r="S49" s="328"/>
      <c r="T49" s="328"/>
      <c r="U49" s="328"/>
      <c r="V49" s="328"/>
      <c r="W49" s="328"/>
      <c r="X49" s="328"/>
      <c r="Y49" s="328"/>
      <c r="Z49" s="328"/>
      <c r="AA49" s="328"/>
      <c r="AB49" s="328"/>
      <c r="AC49" s="328"/>
      <c r="AD49" s="328"/>
      <c r="AE49" s="328"/>
      <c r="AF49" s="1125"/>
    </row>
    <row r="50" spans="1:32" ht="20.25" customHeight="1" x14ac:dyDescent="0.25">
      <c r="A50" s="327" t="s">
        <v>374</v>
      </c>
      <c r="B50" s="329">
        <f>H50+J50+L50+N50+P50+R50+T50+V50+X50+Z50+AB50+AD50</f>
        <v>0</v>
      </c>
      <c r="C50" s="328">
        <f>H50+J50+L50+N50+P50+R50</f>
        <v>0</v>
      </c>
      <c r="D50" s="329">
        <f>E50</f>
        <v>0</v>
      </c>
      <c r="E50" s="329">
        <f>I50+K50+M50+O50+Q50+S50+U50+W50+Y50+AA50+AC50+AE50</f>
        <v>0</v>
      </c>
      <c r="F50" s="337">
        <f>IFERROR(E50/B50%,0)</f>
        <v>0</v>
      </c>
      <c r="G50" s="337">
        <f>IFERROR(E50/C50%,0)</f>
        <v>0</v>
      </c>
      <c r="H50" s="328"/>
      <c r="I50" s="328"/>
      <c r="J50" s="328"/>
      <c r="K50" s="328"/>
      <c r="L50" s="328"/>
      <c r="M50" s="328"/>
      <c r="N50" s="328"/>
      <c r="O50" s="328"/>
      <c r="P50" s="328"/>
      <c r="Q50" s="328"/>
      <c r="R50" s="328"/>
      <c r="S50" s="328"/>
      <c r="T50" s="328"/>
      <c r="U50" s="328"/>
      <c r="V50" s="328"/>
      <c r="W50" s="328"/>
      <c r="X50" s="328"/>
      <c r="Y50" s="328"/>
      <c r="Z50" s="328"/>
      <c r="AA50" s="328"/>
      <c r="AB50" s="328"/>
      <c r="AC50" s="328"/>
      <c r="AD50" s="328"/>
      <c r="AE50" s="328"/>
      <c r="AF50" s="1125"/>
    </row>
    <row r="51" spans="1:32" x14ac:dyDescent="0.25">
      <c r="A51" s="1147" t="s">
        <v>405</v>
      </c>
      <c r="B51" s="1148"/>
      <c r="C51" s="1148"/>
      <c r="D51" s="1148"/>
      <c r="E51" s="1148"/>
      <c r="F51" s="1148"/>
      <c r="G51" s="1148"/>
      <c r="H51" s="1148"/>
      <c r="I51" s="1148"/>
      <c r="J51" s="1148"/>
      <c r="K51" s="1148"/>
      <c r="L51" s="1148"/>
      <c r="M51" s="1148"/>
      <c r="N51" s="1148"/>
      <c r="O51" s="1148"/>
      <c r="P51" s="1148"/>
      <c r="Q51" s="1148"/>
      <c r="R51" s="1148"/>
      <c r="S51" s="1148"/>
      <c r="T51" s="1148"/>
      <c r="U51" s="1148"/>
      <c r="V51" s="1148"/>
      <c r="W51" s="1148"/>
      <c r="X51" s="1148"/>
      <c r="Y51" s="1148"/>
      <c r="Z51" s="1148"/>
      <c r="AA51" s="1148"/>
      <c r="AB51" s="1148"/>
      <c r="AC51" s="1148"/>
      <c r="AD51" s="1148"/>
      <c r="AE51" s="1149"/>
      <c r="AF51" s="342"/>
    </row>
    <row r="52" spans="1:32" x14ac:dyDescent="0.25">
      <c r="A52" s="335" t="s">
        <v>31</v>
      </c>
      <c r="B52" s="336">
        <f>B53+B54+B56</f>
        <v>233136.86500000002</v>
      </c>
      <c r="C52" s="336">
        <f>C53+C54+C56</f>
        <v>143610.69899999999</v>
      </c>
      <c r="D52" s="336">
        <f>D53+D54+D56</f>
        <v>122039.58000000002</v>
      </c>
      <c r="E52" s="336">
        <f>E53+E54+E56</f>
        <v>122039.58000000002</v>
      </c>
      <c r="F52" s="336">
        <f>E52/B52*100</f>
        <v>52.346753483195371</v>
      </c>
      <c r="G52" s="336">
        <f>E52/C52*100</f>
        <v>84.9794485019532</v>
      </c>
      <c r="H52" s="336">
        <f>H53+H54+H56</f>
        <v>33912.783000000003</v>
      </c>
      <c r="I52" s="336">
        <f t="shared" ref="I52:AE52" si="13">I53+I54+I56</f>
        <v>17885.599999999999</v>
      </c>
      <c r="J52" s="336">
        <f t="shared" si="13"/>
        <v>22577.74</v>
      </c>
      <c r="K52" s="336">
        <f t="shared" si="13"/>
        <v>25737.760000000002</v>
      </c>
      <c r="L52" s="336">
        <f t="shared" si="13"/>
        <v>23431.416000000005</v>
      </c>
      <c r="M52" s="336">
        <f t="shared" si="13"/>
        <v>19123.32</v>
      </c>
      <c r="N52" s="336">
        <f t="shared" si="13"/>
        <v>28452.109000000004</v>
      </c>
      <c r="O52" s="336">
        <f t="shared" si="13"/>
        <v>20062.2</v>
      </c>
      <c r="P52" s="336">
        <f t="shared" si="13"/>
        <v>18063.654000000002</v>
      </c>
      <c r="Q52" s="336">
        <f t="shared" si="13"/>
        <v>20171.210000000003</v>
      </c>
      <c r="R52" s="336">
        <f t="shared" si="13"/>
        <v>17240.697</v>
      </c>
      <c r="S52" s="336">
        <f t="shared" si="13"/>
        <v>19059.489999999998</v>
      </c>
      <c r="T52" s="336">
        <f t="shared" si="13"/>
        <v>19712.449000000004</v>
      </c>
      <c r="U52" s="336">
        <f t="shared" si="13"/>
        <v>0</v>
      </c>
      <c r="V52" s="336">
        <f t="shared" si="13"/>
        <v>15524.217000000001</v>
      </c>
      <c r="W52" s="336">
        <f t="shared" si="13"/>
        <v>0</v>
      </c>
      <c r="X52" s="336">
        <f t="shared" si="13"/>
        <v>11058.033000000001</v>
      </c>
      <c r="Y52" s="336">
        <f t="shared" si="13"/>
        <v>0</v>
      </c>
      <c r="Z52" s="336">
        <f t="shared" si="13"/>
        <v>20898.490000000002</v>
      </c>
      <c r="AA52" s="336">
        <f t="shared" si="13"/>
        <v>0</v>
      </c>
      <c r="AB52" s="336">
        <f t="shared" si="13"/>
        <v>12038.495000000001</v>
      </c>
      <c r="AC52" s="336">
        <f t="shared" si="13"/>
        <v>0</v>
      </c>
      <c r="AD52" s="336">
        <f t="shared" si="13"/>
        <v>10226.781999999999</v>
      </c>
      <c r="AE52" s="336">
        <f t="shared" si="13"/>
        <v>0</v>
      </c>
      <c r="AF52" s="1137" t="s">
        <v>609</v>
      </c>
    </row>
    <row r="53" spans="1:32" x14ac:dyDescent="0.25">
      <c r="A53" s="327" t="s">
        <v>32</v>
      </c>
      <c r="B53" s="329">
        <f>H53+J53+L53+N53+P53+R53+T53+V53+X53+Z53+AB53+AD53</f>
        <v>0</v>
      </c>
      <c r="C53" s="329">
        <f>C59+C77+C83+C89</f>
        <v>0</v>
      </c>
      <c r="D53" s="329">
        <f>E53</f>
        <v>0</v>
      </c>
      <c r="E53" s="329">
        <f>I53+K53+M53+O53+Q53+S53+U53+W53+Y53+AA53+AC53+AE53</f>
        <v>0</v>
      </c>
      <c r="F53" s="329">
        <f>IFERROR(E53/B53*100,0)</f>
        <v>0</v>
      </c>
      <c r="G53" s="329">
        <f>IFERROR(E53/C53*100,0)</f>
        <v>0</v>
      </c>
      <c r="H53" s="328">
        <f t="shared" ref="H53:AE53" si="14">H59+H77+H83+H89+H95+H101</f>
        <v>0</v>
      </c>
      <c r="I53" s="328">
        <f t="shared" si="14"/>
        <v>0</v>
      </c>
      <c r="J53" s="328">
        <f t="shared" si="14"/>
        <v>0</v>
      </c>
      <c r="K53" s="328">
        <f t="shared" si="14"/>
        <v>0</v>
      </c>
      <c r="L53" s="328">
        <f t="shared" si="14"/>
        <v>0</v>
      </c>
      <c r="M53" s="328">
        <f t="shared" si="14"/>
        <v>0</v>
      </c>
      <c r="N53" s="328">
        <f t="shared" si="14"/>
        <v>0</v>
      </c>
      <c r="O53" s="328">
        <f t="shared" si="14"/>
        <v>0</v>
      </c>
      <c r="P53" s="328">
        <f t="shared" si="14"/>
        <v>0</v>
      </c>
      <c r="Q53" s="328">
        <f t="shared" si="14"/>
        <v>0</v>
      </c>
      <c r="R53" s="328">
        <f t="shared" si="14"/>
        <v>0</v>
      </c>
      <c r="S53" s="328">
        <f t="shared" si="14"/>
        <v>0</v>
      </c>
      <c r="T53" s="328">
        <f t="shared" si="14"/>
        <v>0</v>
      </c>
      <c r="U53" s="328">
        <f t="shared" si="14"/>
        <v>0</v>
      </c>
      <c r="V53" s="328">
        <f t="shared" si="14"/>
        <v>0</v>
      </c>
      <c r="W53" s="328">
        <f t="shared" si="14"/>
        <v>0</v>
      </c>
      <c r="X53" s="328">
        <f t="shared" si="14"/>
        <v>0</v>
      </c>
      <c r="Y53" s="328">
        <f t="shared" si="14"/>
        <v>0</v>
      </c>
      <c r="Z53" s="328">
        <f t="shared" si="14"/>
        <v>0</v>
      </c>
      <c r="AA53" s="328">
        <f t="shared" si="14"/>
        <v>0</v>
      </c>
      <c r="AB53" s="328">
        <f t="shared" si="14"/>
        <v>0</v>
      </c>
      <c r="AC53" s="328">
        <f t="shared" si="14"/>
        <v>0</v>
      </c>
      <c r="AD53" s="328">
        <f t="shared" si="14"/>
        <v>0</v>
      </c>
      <c r="AE53" s="328">
        <f t="shared" si="14"/>
        <v>0</v>
      </c>
      <c r="AF53" s="1125"/>
    </row>
    <row r="54" spans="1:32" x14ac:dyDescent="0.25">
      <c r="A54" s="327" t="s">
        <v>33</v>
      </c>
      <c r="B54" s="329">
        <f>H54+J54+L54+N54+P54+R54+T54+V54+X54+Z54+AB54+AD54</f>
        <v>233136.86500000002</v>
      </c>
      <c r="C54" s="329">
        <f>C60+C78+C84+C90</f>
        <v>143610.69899999999</v>
      </c>
      <c r="D54" s="329">
        <f>E54</f>
        <v>122039.58000000002</v>
      </c>
      <c r="E54" s="329">
        <f>I54+K54+M54+O54+Q54+S54+U54+W54+Y54+AA54+AC54+AE54</f>
        <v>122039.58000000002</v>
      </c>
      <c r="F54" s="329">
        <f>IFERROR(E54/B54*100,0)</f>
        <v>52.346753483195371</v>
      </c>
      <c r="G54" s="329">
        <f>IFERROR(E54/C54*100,0)</f>
        <v>84.9794485019532</v>
      </c>
      <c r="H54" s="328">
        <f t="shared" ref="H54:AE54" si="15">H60+H78+H84+H90+H96+H102</f>
        <v>33912.783000000003</v>
      </c>
      <c r="I54" s="328">
        <f t="shared" si="15"/>
        <v>17885.599999999999</v>
      </c>
      <c r="J54" s="328">
        <f t="shared" si="15"/>
        <v>22577.74</v>
      </c>
      <c r="K54" s="328">
        <f t="shared" si="15"/>
        <v>25737.760000000002</v>
      </c>
      <c r="L54" s="328">
        <f t="shared" si="15"/>
        <v>23431.416000000005</v>
      </c>
      <c r="M54" s="328">
        <f t="shared" si="15"/>
        <v>19123.32</v>
      </c>
      <c r="N54" s="328">
        <f t="shared" si="15"/>
        <v>28452.109000000004</v>
      </c>
      <c r="O54" s="328">
        <f t="shared" si="15"/>
        <v>20062.2</v>
      </c>
      <c r="P54" s="328">
        <f t="shared" si="15"/>
        <v>18063.654000000002</v>
      </c>
      <c r="Q54" s="328">
        <f t="shared" si="15"/>
        <v>20171.210000000003</v>
      </c>
      <c r="R54" s="328">
        <f t="shared" si="15"/>
        <v>17240.697</v>
      </c>
      <c r="S54" s="328">
        <f t="shared" si="15"/>
        <v>19059.489999999998</v>
      </c>
      <c r="T54" s="328">
        <f t="shared" si="15"/>
        <v>19712.449000000004</v>
      </c>
      <c r="U54" s="328">
        <f t="shared" si="15"/>
        <v>0</v>
      </c>
      <c r="V54" s="328">
        <f t="shared" si="15"/>
        <v>15524.217000000001</v>
      </c>
      <c r="W54" s="328">
        <f t="shared" si="15"/>
        <v>0</v>
      </c>
      <c r="X54" s="328">
        <f t="shared" si="15"/>
        <v>11058.033000000001</v>
      </c>
      <c r="Y54" s="328">
        <f t="shared" si="15"/>
        <v>0</v>
      </c>
      <c r="Z54" s="328">
        <f t="shared" si="15"/>
        <v>20898.490000000002</v>
      </c>
      <c r="AA54" s="328">
        <f t="shared" si="15"/>
        <v>0</v>
      </c>
      <c r="AB54" s="328">
        <f t="shared" si="15"/>
        <v>12038.495000000001</v>
      </c>
      <c r="AC54" s="328">
        <f t="shared" si="15"/>
        <v>0</v>
      </c>
      <c r="AD54" s="328">
        <f t="shared" si="15"/>
        <v>10226.781999999999</v>
      </c>
      <c r="AE54" s="328">
        <f t="shared" si="15"/>
        <v>0</v>
      </c>
      <c r="AF54" s="1125"/>
    </row>
    <row r="55" spans="1:32" ht="31.5" x14ac:dyDescent="0.25">
      <c r="A55" s="341" t="s">
        <v>174</v>
      </c>
      <c r="B55" s="329">
        <f>H55+J55+L55+N55+P55+R55+T55+V55+X55+Z55+AB55+AD55</f>
        <v>0</v>
      </c>
      <c r="C55" s="329">
        <f>C61+C79+C85+C91</f>
        <v>0</v>
      </c>
      <c r="D55" s="329">
        <f>E55</f>
        <v>0</v>
      </c>
      <c r="E55" s="329">
        <f>I55+K55+M55+O55+Q55+S55+U55+W55+Y55+AA55+AC55+AE55</f>
        <v>0</v>
      </c>
      <c r="F55" s="329">
        <f>IFERROR(E55/B55*100,0)</f>
        <v>0</v>
      </c>
      <c r="G55" s="329">
        <f>IFERROR(E55/C55*100,0)</f>
        <v>0</v>
      </c>
      <c r="H55" s="328">
        <f t="shared" ref="H55:AE55" si="16">H61+H79+H85+H91+H97+H103</f>
        <v>0</v>
      </c>
      <c r="I55" s="328">
        <f t="shared" si="16"/>
        <v>0</v>
      </c>
      <c r="J55" s="328">
        <f t="shared" si="16"/>
        <v>0</v>
      </c>
      <c r="K55" s="328">
        <f t="shared" si="16"/>
        <v>0</v>
      </c>
      <c r="L55" s="328">
        <f t="shared" si="16"/>
        <v>0</v>
      </c>
      <c r="M55" s="328">
        <f t="shared" si="16"/>
        <v>0</v>
      </c>
      <c r="N55" s="328">
        <f t="shared" si="16"/>
        <v>0</v>
      </c>
      <c r="O55" s="328">
        <f t="shared" si="16"/>
        <v>0</v>
      </c>
      <c r="P55" s="328">
        <f t="shared" si="16"/>
        <v>0</v>
      </c>
      <c r="Q55" s="328">
        <f t="shared" si="16"/>
        <v>0</v>
      </c>
      <c r="R55" s="328">
        <f t="shared" si="16"/>
        <v>0</v>
      </c>
      <c r="S55" s="328">
        <f t="shared" si="16"/>
        <v>0</v>
      </c>
      <c r="T55" s="328">
        <f t="shared" si="16"/>
        <v>0</v>
      </c>
      <c r="U55" s="328">
        <f t="shared" si="16"/>
        <v>0</v>
      </c>
      <c r="V55" s="328">
        <f t="shared" si="16"/>
        <v>0</v>
      </c>
      <c r="W55" s="328">
        <f t="shared" si="16"/>
        <v>0</v>
      </c>
      <c r="X55" s="328">
        <f t="shared" si="16"/>
        <v>0</v>
      </c>
      <c r="Y55" s="328">
        <f t="shared" si="16"/>
        <v>0</v>
      </c>
      <c r="Z55" s="328">
        <f t="shared" si="16"/>
        <v>0</v>
      </c>
      <c r="AA55" s="328">
        <f t="shared" si="16"/>
        <v>0</v>
      </c>
      <c r="AB55" s="328">
        <f t="shared" si="16"/>
        <v>0</v>
      </c>
      <c r="AC55" s="328">
        <f t="shared" si="16"/>
        <v>0</v>
      </c>
      <c r="AD55" s="328">
        <f t="shared" si="16"/>
        <v>0</v>
      </c>
      <c r="AE55" s="328">
        <f t="shared" si="16"/>
        <v>0</v>
      </c>
      <c r="AF55" s="1125"/>
    </row>
    <row r="56" spans="1:32" x14ac:dyDescent="0.25">
      <c r="A56" s="327" t="s">
        <v>374</v>
      </c>
      <c r="B56" s="329">
        <f>H56+J56+L56+N56+P56+R56+T56+V56+X56+Z56+AB56+AD56</f>
        <v>0</v>
      </c>
      <c r="C56" s="329">
        <f>C62+C80+C86+C92</f>
        <v>0</v>
      </c>
      <c r="D56" s="329">
        <f>E56</f>
        <v>0</v>
      </c>
      <c r="E56" s="329">
        <f>I56+K56+M56+O56+Q56+S56+U56+W56+Y56+AA56+AC56+AE56</f>
        <v>0</v>
      </c>
      <c r="F56" s="329">
        <f>IFERROR(E56/B56*100,0)</f>
        <v>0</v>
      </c>
      <c r="G56" s="329">
        <f>IFERROR(E56/C56*100,0)</f>
        <v>0</v>
      </c>
      <c r="H56" s="328">
        <f t="shared" ref="H56:AE56" si="17">H62+H80+H86+H92+H98+H104</f>
        <v>0</v>
      </c>
      <c r="I56" s="328">
        <f t="shared" si="17"/>
        <v>0</v>
      </c>
      <c r="J56" s="328">
        <f t="shared" si="17"/>
        <v>0</v>
      </c>
      <c r="K56" s="328">
        <f t="shared" si="17"/>
        <v>0</v>
      </c>
      <c r="L56" s="328">
        <f t="shared" si="17"/>
        <v>0</v>
      </c>
      <c r="M56" s="328">
        <f t="shared" si="17"/>
        <v>0</v>
      </c>
      <c r="N56" s="328">
        <f t="shared" si="17"/>
        <v>0</v>
      </c>
      <c r="O56" s="328">
        <f t="shared" si="17"/>
        <v>0</v>
      </c>
      <c r="P56" s="328">
        <f t="shared" si="17"/>
        <v>0</v>
      </c>
      <c r="Q56" s="328">
        <f t="shared" si="17"/>
        <v>0</v>
      </c>
      <c r="R56" s="328">
        <f t="shared" si="17"/>
        <v>0</v>
      </c>
      <c r="S56" s="328">
        <f t="shared" si="17"/>
        <v>0</v>
      </c>
      <c r="T56" s="328">
        <f t="shared" si="17"/>
        <v>0</v>
      </c>
      <c r="U56" s="328">
        <f t="shared" si="17"/>
        <v>0</v>
      </c>
      <c r="V56" s="328">
        <f t="shared" si="17"/>
        <v>0</v>
      </c>
      <c r="W56" s="328">
        <f t="shared" si="17"/>
        <v>0</v>
      </c>
      <c r="X56" s="328">
        <f t="shared" si="17"/>
        <v>0</v>
      </c>
      <c r="Y56" s="328">
        <f t="shared" si="17"/>
        <v>0</v>
      </c>
      <c r="Z56" s="328">
        <f t="shared" si="17"/>
        <v>0</v>
      </c>
      <c r="AA56" s="328">
        <f t="shared" si="17"/>
        <v>0</v>
      </c>
      <c r="AB56" s="328">
        <f t="shared" si="17"/>
        <v>0</v>
      </c>
      <c r="AC56" s="328">
        <f t="shared" si="17"/>
        <v>0</v>
      </c>
      <c r="AD56" s="328">
        <f t="shared" si="17"/>
        <v>0</v>
      </c>
      <c r="AE56" s="328">
        <f t="shared" si="17"/>
        <v>0</v>
      </c>
      <c r="AF56" s="1125"/>
    </row>
    <row r="57" spans="1:32" x14ac:dyDescent="0.25">
      <c r="A57" s="1151" t="s">
        <v>406</v>
      </c>
      <c r="B57" s="1152"/>
      <c r="C57" s="1152"/>
      <c r="D57" s="1152"/>
      <c r="E57" s="1152"/>
      <c r="F57" s="1152"/>
      <c r="G57" s="1152"/>
      <c r="H57" s="1152"/>
      <c r="I57" s="1152"/>
      <c r="J57" s="1152"/>
      <c r="K57" s="1152"/>
      <c r="L57" s="1152"/>
      <c r="M57" s="1152"/>
      <c r="N57" s="1152"/>
      <c r="O57" s="1152"/>
      <c r="P57" s="1152"/>
      <c r="Q57" s="1152"/>
      <c r="R57" s="1152"/>
      <c r="S57" s="1152"/>
      <c r="T57" s="1152"/>
      <c r="U57" s="1152"/>
      <c r="V57" s="1152"/>
      <c r="W57" s="1152"/>
      <c r="X57" s="1152"/>
      <c r="Y57" s="1152"/>
      <c r="Z57" s="1152"/>
      <c r="AA57" s="1152"/>
      <c r="AB57" s="1152"/>
      <c r="AC57" s="1152"/>
      <c r="AD57" s="1152"/>
      <c r="AE57" s="1153"/>
      <c r="AF57" s="1125"/>
    </row>
    <row r="58" spans="1:32" ht="15.75" customHeight="1" x14ac:dyDescent="0.25">
      <c r="A58" s="327" t="s">
        <v>31</v>
      </c>
      <c r="B58" s="329">
        <f>B59+B60+B62</f>
        <v>215219.50599999996</v>
      </c>
      <c r="C58" s="329">
        <f>C59+C60+C62</f>
        <v>140517.68</v>
      </c>
      <c r="D58" s="329">
        <f>D59+D60+D62</f>
        <v>119504.38</v>
      </c>
      <c r="E58" s="329">
        <f>E59+E60+E62</f>
        <v>119504.38</v>
      </c>
      <c r="F58" s="329">
        <f>E58/B58*100</f>
        <v>55.526742078852287</v>
      </c>
      <c r="G58" s="329">
        <f>E58/C58*100</f>
        <v>85.045796372385325</v>
      </c>
      <c r="H58" s="329">
        <f>H59+H60+H62</f>
        <v>33667.464</v>
      </c>
      <c r="I58" s="329">
        <f t="shared" ref="I58:AE58" si="18">I59+I60+I62</f>
        <v>17651.48</v>
      </c>
      <c r="J58" s="329">
        <f t="shared" si="18"/>
        <v>21980.66</v>
      </c>
      <c r="K58" s="329">
        <f t="shared" si="18"/>
        <v>25296.47</v>
      </c>
      <c r="L58" s="329">
        <f t="shared" si="18"/>
        <v>22854.336000000003</v>
      </c>
      <c r="M58" s="329">
        <f t="shared" si="18"/>
        <v>18701.060000000001</v>
      </c>
      <c r="N58" s="329">
        <f t="shared" si="18"/>
        <v>27865.029000000002</v>
      </c>
      <c r="O58" s="329">
        <f t="shared" si="18"/>
        <v>19626.32</v>
      </c>
      <c r="P58" s="329">
        <f t="shared" si="18"/>
        <v>17496.574000000001</v>
      </c>
      <c r="Q58" s="329">
        <f t="shared" si="18"/>
        <v>19769.440000000002</v>
      </c>
      <c r="R58" s="329">
        <f t="shared" si="18"/>
        <v>16653.616999999998</v>
      </c>
      <c r="S58" s="329">
        <f t="shared" si="18"/>
        <v>18459.61</v>
      </c>
      <c r="T58" s="329">
        <f t="shared" si="18"/>
        <v>18860.369000000002</v>
      </c>
      <c r="U58" s="329">
        <f t="shared" si="18"/>
        <v>0</v>
      </c>
      <c r="V58" s="329">
        <f t="shared" si="18"/>
        <v>11510.277</v>
      </c>
      <c r="W58" s="329">
        <f t="shared" si="18"/>
        <v>0</v>
      </c>
      <c r="X58" s="329">
        <f t="shared" si="18"/>
        <v>10480.953000000001</v>
      </c>
      <c r="Y58" s="329">
        <f t="shared" si="18"/>
        <v>0</v>
      </c>
      <c r="Z58" s="329">
        <f t="shared" si="18"/>
        <v>12955.810000000001</v>
      </c>
      <c r="AA58" s="329">
        <f t="shared" si="18"/>
        <v>0</v>
      </c>
      <c r="AB58" s="329">
        <f t="shared" si="18"/>
        <v>11461.415000000001</v>
      </c>
      <c r="AC58" s="329">
        <f t="shared" si="18"/>
        <v>0</v>
      </c>
      <c r="AD58" s="329">
        <f t="shared" si="18"/>
        <v>9433.0020000000004</v>
      </c>
      <c r="AE58" s="329">
        <f t="shared" si="18"/>
        <v>0</v>
      </c>
      <c r="AF58" s="1125"/>
    </row>
    <row r="59" spans="1:32" x14ac:dyDescent="0.25">
      <c r="A59" s="327" t="s">
        <v>32</v>
      </c>
      <c r="B59" s="328">
        <f t="shared" ref="B59:E60" si="19">B65+B71</f>
        <v>0</v>
      </c>
      <c r="C59" s="328">
        <f t="shared" si="19"/>
        <v>0</v>
      </c>
      <c r="D59" s="328">
        <f t="shared" si="19"/>
        <v>0</v>
      </c>
      <c r="E59" s="328">
        <f t="shared" si="19"/>
        <v>0</v>
      </c>
      <c r="F59" s="343">
        <f>IFERROR(E59/B59*100,0)</f>
        <v>0</v>
      </c>
      <c r="G59" s="343">
        <f>IFERROR(E59/C59*100,0)</f>
        <v>0</v>
      </c>
      <c r="H59" s="328">
        <f>H65+H71</f>
        <v>0</v>
      </c>
      <c r="I59" s="328">
        <f t="shared" ref="I59:AE62" si="20">I65+I71</f>
        <v>0</v>
      </c>
      <c r="J59" s="328">
        <f t="shared" si="20"/>
        <v>0</v>
      </c>
      <c r="K59" s="328">
        <f t="shared" si="20"/>
        <v>0</v>
      </c>
      <c r="L59" s="328">
        <f t="shared" si="20"/>
        <v>0</v>
      </c>
      <c r="M59" s="328">
        <f t="shared" si="20"/>
        <v>0</v>
      </c>
      <c r="N59" s="328">
        <f t="shared" si="20"/>
        <v>0</v>
      </c>
      <c r="O59" s="328">
        <f t="shared" si="20"/>
        <v>0</v>
      </c>
      <c r="P59" s="328">
        <f t="shared" si="20"/>
        <v>0</v>
      </c>
      <c r="Q59" s="328">
        <f t="shared" si="20"/>
        <v>0</v>
      </c>
      <c r="R59" s="328">
        <f t="shared" si="20"/>
        <v>0</v>
      </c>
      <c r="S59" s="328">
        <f t="shared" si="20"/>
        <v>0</v>
      </c>
      <c r="T59" s="328">
        <f t="shared" si="20"/>
        <v>0</v>
      </c>
      <c r="U59" s="328">
        <f t="shared" si="20"/>
        <v>0</v>
      </c>
      <c r="V59" s="328">
        <f t="shared" si="20"/>
        <v>0</v>
      </c>
      <c r="W59" s="328">
        <f t="shared" si="20"/>
        <v>0</v>
      </c>
      <c r="X59" s="328">
        <f t="shared" si="20"/>
        <v>0</v>
      </c>
      <c r="Y59" s="328">
        <f t="shared" si="20"/>
        <v>0</v>
      </c>
      <c r="Z59" s="328">
        <f t="shared" si="20"/>
        <v>0</v>
      </c>
      <c r="AA59" s="328">
        <f t="shared" si="20"/>
        <v>0</v>
      </c>
      <c r="AB59" s="328">
        <f t="shared" si="20"/>
        <v>0</v>
      </c>
      <c r="AC59" s="328">
        <f t="shared" si="20"/>
        <v>0</v>
      </c>
      <c r="AD59" s="328">
        <f t="shared" si="20"/>
        <v>0</v>
      </c>
      <c r="AE59" s="328">
        <f t="shared" si="20"/>
        <v>0</v>
      </c>
      <c r="AF59" s="1125"/>
    </row>
    <row r="60" spans="1:32" x14ac:dyDescent="0.25">
      <c r="A60" s="327" t="s">
        <v>33</v>
      </c>
      <c r="B60" s="328">
        <f t="shared" si="19"/>
        <v>215219.50599999996</v>
      </c>
      <c r="C60" s="328">
        <f t="shared" si="19"/>
        <v>140517.68</v>
      </c>
      <c r="D60" s="328">
        <f t="shared" si="19"/>
        <v>119504.38</v>
      </c>
      <c r="E60" s="328">
        <f t="shared" si="19"/>
        <v>119504.38</v>
      </c>
      <c r="F60" s="343">
        <f>IFERROR(E60/B60*100,0)</f>
        <v>55.526742078852287</v>
      </c>
      <c r="G60" s="343">
        <f>IFERROR(E60/C60*100,0)</f>
        <v>85.045796372385325</v>
      </c>
      <c r="H60" s="328">
        <f>H66+H72</f>
        <v>33667.464</v>
      </c>
      <c r="I60" s="328">
        <f t="shared" si="20"/>
        <v>17651.48</v>
      </c>
      <c r="J60" s="328">
        <f t="shared" si="20"/>
        <v>21980.66</v>
      </c>
      <c r="K60" s="328">
        <f t="shared" si="20"/>
        <v>25296.47</v>
      </c>
      <c r="L60" s="328">
        <f t="shared" si="20"/>
        <v>22854.336000000003</v>
      </c>
      <c r="M60" s="328">
        <f t="shared" si="20"/>
        <v>18701.060000000001</v>
      </c>
      <c r="N60" s="328">
        <f t="shared" si="20"/>
        <v>27865.029000000002</v>
      </c>
      <c r="O60" s="328">
        <f t="shared" si="20"/>
        <v>19626.32</v>
      </c>
      <c r="P60" s="328">
        <f t="shared" si="20"/>
        <v>17496.574000000001</v>
      </c>
      <c r="Q60" s="328">
        <f t="shared" si="20"/>
        <v>19769.440000000002</v>
      </c>
      <c r="R60" s="328">
        <f t="shared" si="20"/>
        <v>16653.616999999998</v>
      </c>
      <c r="S60" s="328">
        <f t="shared" si="20"/>
        <v>18459.61</v>
      </c>
      <c r="T60" s="328">
        <f t="shared" si="20"/>
        <v>18860.369000000002</v>
      </c>
      <c r="U60" s="328">
        <f t="shared" si="20"/>
        <v>0</v>
      </c>
      <c r="V60" s="328">
        <f t="shared" si="20"/>
        <v>11510.277</v>
      </c>
      <c r="W60" s="328">
        <f t="shared" si="20"/>
        <v>0</v>
      </c>
      <c r="X60" s="328">
        <f t="shared" si="20"/>
        <v>10480.953000000001</v>
      </c>
      <c r="Y60" s="328">
        <f t="shared" si="20"/>
        <v>0</v>
      </c>
      <c r="Z60" s="328">
        <f t="shared" si="20"/>
        <v>12955.810000000001</v>
      </c>
      <c r="AA60" s="328">
        <f t="shared" si="20"/>
        <v>0</v>
      </c>
      <c r="AB60" s="328">
        <f t="shared" si="20"/>
        <v>11461.415000000001</v>
      </c>
      <c r="AC60" s="328">
        <f t="shared" si="20"/>
        <v>0</v>
      </c>
      <c r="AD60" s="328">
        <f t="shared" si="20"/>
        <v>9433.0020000000004</v>
      </c>
      <c r="AE60" s="328">
        <f t="shared" si="20"/>
        <v>0</v>
      </c>
      <c r="AF60" s="1125"/>
    </row>
    <row r="61" spans="1:32" ht="31.5" x14ac:dyDescent="0.25">
      <c r="A61" s="341" t="s">
        <v>174</v>
      </c>
      <c r="B61" s="328">
        <f t="shared" ref="B61:E62" si="21">B67+B73</f>
        <v>0</v>
      </c>
      <c r="C61" s="328">
        <f t="shared" si="21"/>
        <v>0</v>
      </c>
      <c r="D61" s="328">
        <f t="shared" si="21"/>
        <v>0</v>
      </c>
      <c r="E61" s="328">
        <f t="shared" si="21"/>
        <v>0</v>
      </c>
      <c r="F61" s="343">
        <f>IFERROR(E61/B61*100,0)</f>
        <v>0</v>
      </c>
      <c r="G61" s="343">
        <f>IFERROR(E61/C61*100,0)</f>
        <v>0</v>
      </c>
      <c r="H61" s="328">
        <f t="shared" ref="H61:W62" si="22">H67+H73</f>
        <v>0</v>
      </c>
      <c r="I61" s="328">
        <f t="shared" si="22"/>
        <v>0</v>
      </c>
      <c r="J61" s="328">
        <f t="shared" si="22"/>
        <v>0</v>
      </c>
      <c r="K61" s="328">
        <f t="shared" si="22"/>
        <v>0</v>
      </c>
      <c r="L61" s="328">
        <f t="shared" si="22"/>
        <v>0</v>
      </c>
      <c r="M61" s="328">
        <f t="shared" si="22"/>
        <v>0</v>
      </c>
      <c r="N61" s="328">
        <f t="shared" si="22"/>
        <v>0</v>
      </c>
      <c r="O61" s="328">
        <f t="shared" si="22"/>
        <v>0</v>
      </c>
      <c r="P61" s="328">
        <f t="shared" si="22"/>
        <v>0</v>
      </c>
      <c r="Q61" s="328">
        <f t="shared" si="22"/>
        <v>0</v>
      </c>
      <c r="R61" s="328">
        <f t="shared" si="22"/>
        <v>0</v>
      </c>
      <c r="S61" s="328">
        <f t="shared" si="22"/>
        <v>0</v>
      </c>
      <c r="T61" s="328">
        <f t="shared" si="22"/>
        <v>0</v>
      </c>
      <c r="U61" s="328">
        <f t="shared" si="22"/>
        <v>0</v>
      </c>
      <c r="V61" s="328">
        <f t="shared" si="22"/>
        <v>0</v>
      </c>
      <c r="W61" s="328">
        <f t="shared" si="22"/>
        <v>0</v>
      </c>
      <c r="X61" s="328">
        <f t="shared" si="20"/>
        <v>0</v>
      </c>
      <c r="Y61" s="328">
        <f t="shared" si="20"/>
        <v>0</v>
      </c>
      <c r="Z61" s="328">
        <f t="shared" si="20"/>
        <v>0</v>
      </c>
      <c r="AA61" s="328">
        <f t="shared" si="20"/>
        <v>0</v>
      </c>
      <c r="AB61" s="328">
        <f t="shared" si="20"/>
        <v>0</v>
      </c>
      <c r="AC61" s="328">
        <f t="shared" si="20"/>
        <v>0</v>
      </c>
      <c r="AD61" s="328">
        <f t="shared" si="20"/>
        <v>0</v>
      </c>
      <c r="AE61" s="328">
        <f t="shared" si="20"/>
        <v>0</v>
      </c>
      <c r="AF61" s="1125"/>
    </row>
    <row r="62" spans="1:32" x14ac:dyDescent="0.25">
      <c r="A62" s="327" t="s">
        <v>374</v>
      </c>
      <c r="B62" s="328">
        <f t="shared" si="21"/>
        <v>0</v>
      </c>
      <c r="C62" s="328">
        <f t="shared" si="21"/>
        <v>0</v>
      </c>
      <c r="D62" s="328">
        <f t="shared" si="21"/>
        <v>0</v>
      </c>
      <c r="E62" s="328">
        <f t="shared" si="21"/>
        <v>0</v>
      </c>
      <c r="F62" s="343">
        <f>IFERROR(E62/B62*100,0)</f>
        <v>0</v>
      </c>
      <c r="G62" s="343">
        <f>IFERROR(E62/C62*100,0)</f>
        <v>0</v>
      </c>
      <c r="H62" s="328">
        <f t="shared" si="22"/>
        <v>0</v>
      </c>
      <c r="I62" s="328">
        <f t="shared" si="22"/>
        <v>0</v>
      </c>
      <c r="J62" s="328">
        <f t="shared" si="22"/>
        <v>0</v>
      </c>
      <c r="K62" s="328">
        <f t="shared" si="22"/>
        <v>0</v>
      </c>
      <c r="L62" s="328">
        <f t="shared" si="22"/>
        <v>0</v>
      </c>
      <c r="M62" s="328">
        <f t="shared" si="22"/>
        <v>0</v>
      </c>
      <c r="N62" s="328">
        <f t="shared" si="22"/>
        <v>0</v>
      </c>
      <c r="O62" s="328">
        <f t="shared" si="22"/>
        <v>0</v>
      </c>
      <c r="P62" s="328">
        <f t="shared" si="22"/>
        <v>0</v>
      </c>
      <c r="Q62" s="328">
        <f t="shared" si="22"/>
        <v>0</v>
      </c>
      <c r="R62" s="328">
        <f t="shared" si="22"/>
        <v>0</v>
      </c>
      <c r="S62" s="328">
        <f t="shared" si="22"/>
        <v>0</v>
      </c>
      <c r="T62" s="328">
        <f t="shared" si="22"/>
        <v>0</v>
      </c>
      <c r="U62" s="328">
        <f t="shared" si="22"/>
        <v>0</v>
      </c>
      <c r="V62" s="328">
        <f t="shared" si="22"/>
        <v>0</v>
      </c>
      <c r="W62" s="328">
        <f t="shared" si="22"/>
        <v>0</v>
      </c>
      <c r="X62" s="328">
        <f t="shared" si="20"/>
        <v>0</v>
      </c>
      <c r="Y62" s="328">
        <f t="shared" si="20"/>
        <v>0</v>
      </c>
      <c r="Z62" s="328">
        <f t="shared" si="20"/>
        <v>0</v>
      </c>
      <c r="AA62" s="328">
        <f t="shared" si="20"/>
        <v>0</v>
      </c>
      <c r="AB62" s="328">
        <f t="shared" si="20"/>
        <v>0</v>
      </c>
      <c r="AC62" s="328">
        <f t="shared" si="20"/>
        <v>0</v>
      </c>
      <c r="AD62" s="328">
        <f t="shared" si="20"/>
        <v>0</v>
      </c>
      <c r="AE62" s="328">
        <f t="shared" si="20"/>
        <v>0</v>
      </c>
      <c r="AF62" s="1125"/>
    </row>
    <row r="63" spans="1:32" x14ac:dyDescent="0.25">
      <c r="A63" s="1151" t="s">
        <v>407</v>
      </c>
      <c r="B63" s="1152"/>
      <c r="C63" s="1152"/>
      <c r="D63" s="1152"/>
      <c r="E63" s="1152"/>
      <c r="F63" s="1152"/>
      <c r="G63" s="1152"/>
      <c r="H63" s="1152"/>
      <c r="I63" s="1152"/>
      <c r="J63" s="1152"/>
      <c r="K63" s="1152"/>
      <c r="L63" s="1152"/>
      <c r="M63" s="1152"/>
      <c r="N63" s="1152"/>
      <c r="O63" s="1152"/>
      <c r="P63" s="1152"/>
      <c r="Q63" s="1152"/>
      <c r="R63" s="1152"/>
      <c r="S63" s="1152"/>
      <c r="T63" s="1152"/>
      <c r="U63" s="1152"/>
      <c r="V63" s="1152"/>
      <c r="W63" s="1152"/>
      <c r="X63" s="1152"/>
      <c r="Y63" s="1152"/>
      <c r="Z63" s="1152"/>
      <c r="AA63" s="1152"/>
      <c r="AB63" s="1152"/>
      <c r="AC63" s="1152"/>
      <c r="AD63" s="1152"/>
      <c r="AE63" s="1153"/>
      <c r="AF63" s="1125"/>
    </row>
    <row r="64" spans="1:32" x14ac:dyDescent="0.25">
      <c r="A64" s="327" t="s">
        <v>31</v>
      </c>
      <c r="B64" s="343">
        <f>B65+B66+B68</f>
        <v>195874.58499999996</v>
      </c>
      <c r="C64" s="343">
        <f>C65+C66+C68</f>
        <v>126588.459</v>
      </c>
      <c r="D64" s="343">
        <f>D65+D66+D68</f>
        <v>105945.11</v>
      </c>
      <c r="E64" s="343">
        <f>E65+E66+E68</f>
        <v>105945.11</v>
      </c>
      <c r="F64" s="343">
        <f>E64/B64*100</f>
        <v>54.088237123769787</v>
      </c>
      <c r="G64" s="343">
        <f>E64/C64*100</f>
        <v>83.692550519159099</v>
      </c>
      <c r="H64" s="343">
        <f>H65+H66+H68</f>
        <v>24766.143</v>
      </c>
      <c r="I64" s="343">
        <f t="shared" ref="I64:AE64" si="23">I65+I66+I68</f>
        <v>8911.5</v>
      </c>
      <c r="J64" s="343">
        <f t="shared" si="23"/>
        <v>20856.759999999998</v>
      </c>
      <c r="K64" s="343">
        <f t="shared" si="23"/>
        <v>24332.61</v>
      </c>
      <c r="L64" s="343">
        <f t="shared" si="23"/>
        <v>21730.436000000002</v>
      </c>
      <c r="M64" s="343">
        <f t="shared" si="23"/>
        <v>17737.2</v>
      </c>
      <c r="N64" s="329">
        <f t="shared" si="23"/>
        <v>26938.329000000002</v>
      </c>
      <c r="O64" s="329">
        <f t="shared" si="23"/>
        <v>18662.47</v>
      </c>
      <c r="P64" s="329">
        <f t="shared" si="23"/>
        <v>16569.874</v>
      </c>
      <c r="Q64" s="329">
        <f t="shared" si="23"/>
        <v>18805.580000000002</v>
      </c>
      <c r="R64" s="329">
        <f t="shared" si="23"/>
        <v>15726.916999999999</v>
      </c>
      <c r="S64" s="329">
        <f t="shared" si="23"/>
        <v>17495.75</v>
      </c>
      <c r="T64" s="329">
        <f t="shared" si="23"/>
        <v>17933.669000000002</v>
      </c>
      <c r="U64" s="329">
        <f t="shared" si="23"/>
        <v>0</v>
      </c>
      <c r="V64" s="329">
        <f t="shared" si="23"/>
        <v>10583.576999999999</v>
      </c>
      <c r="W64" s="329">
        <f t="shared" si="23"/>
        <v>0</v>
      </c>
      <c r="X64" s="329">
        <f t="shared" si="23"/>
        <v>9554.2530000000006</v>
      </c>
      <c r="Y64" s="329">
        <f t="shared" si="23"/>
        <v>0</v>
      </c>
      <c r="Z64" s="329">
        <f t="shared" si="23"/>
        <v>12029.11</v>
      </c>
      <c r="AA64" s="329">
        <f t="shared" si="23"/>
        <v>0</v>
      </c>
      <c r="AB64" s="329">
        <f t="shared" si="23"/>
        <v>10534.715</v>
      </c>
      <c r="AC64" s="329"/>
      <c r="AD64" s="329">
        <f t="shared" si="23"/>
        <v>8650.8019999999997</v>
      </c>
      <c r="AE64" s="329">
        <f t="shared" si="23"/>
        <v>0</v>
      </c>
      <c r="AF64" s="1125"/>
    </row>
    <row r="65" spans="1:32" x14ac:dyDescent="0.25">
      <c r="A65" s="327" t="s">
        <v>32</v>
      </c>
      <c r="B65" s="343"/>
      <c r="C65" s="644"/>
      <c r="D65" s="343"/>
      <c r="E65" s="343"/>
      <c r="F65" s="343"/>
      <c r="G65" s="343"/>
      <c r="H65" s="644"/>
      <c r="I65" s="644"/>
      <c r="J65" s="644"/>
      <c r="K65" s="644"/>
      <c r="L65" s="644"/>
      <c r="M65" s="644"/>
      <c r="N65" s="328"/>
      <c r="O65" s="328"/>
      <c r="P65" s="328"/>
      <c r="Q65" s="328"/>
      <c r="R65" s="328"/>
      <c r="S65" s="328"/>
      <c r="T65" s="328"/>
      <c r="U65" s="328"/>
      <c r="V65" s="328"/>
      <c r="W65" s="328"/>
      <c r="X65" s="328"/>
      <c r="Y65" s="328"/>
      <c r="Z65" s="328"/>
      <c r="AA65" s="328"/>
      <c r="AB65" s="328"/>
      <c r="AC65" s="328"/>
      <c r="AD65" s="328"/>
      <c r="AE65" s="328"/>
      <c r="AF65" s="1125"/>
    </row>
    <row r="66" spans="1:32" x14ac:dyDescent="0.25">
      <c r="A66" s="327" t="s">
        <v>33</v>
      </c>
      <c r="B66" s="343">
        <f>H66+J66+L66+N66+P66+R66+T66+V66+X66+Z66+AB66+AD66</f>
        <v>195874.58499999996</v>
      </c>
      <c r="C66" s="644">
        <f>H66+J66+L66+N66+P66+R66</f>
        <v>126588.459</v>
      </c>
      <c r="D66" s="343">
        <f>E66</f>
        <v>105945.11</v>
      </c>
      <c r="E66" s="343">
        <f>I66+K66+M66+O66+Q66+S66+U66+W66+Y66+AA66+AC66+AE66</f>
        <v>105945.11</v>
      </c>
      <c r="F66" s="343">
        <f>IFERROR(E66/B66*100,0)</f>
        <v>54.088237123769787</v>
      </c>
      <c r="G66" s="343">
        <f>IFERROR(E66/C66*100,0)</f>
        <v>83.692550519159099</v>
      </c>
      <c r="H66" s="644">
        <v>24766.143</v>
      </c>
      <c r="I66" s="644">
        <v>8911.5</v>
      </c>
      <c r="J66" s="644">
        <v>20856.759999999998</v>
      </c>
      <c r="K66" s="644">
        <v>24332.61</v>
      </c>
      <c r="L66" s="644">
        <v>21730.436000000002</v>
      </c>
      <c r="M66" s="644">
        <v>17737.2</v>
      </c>
      <c r="N66" s="328">
        <v>26938.329000000002</v>
      </c>
      <c r="O66" s="328">
        <v>18662.47</v>
      </c>
      <c r="P66" s="328">
        <v>16569.874</v>
      </c>
      <c r="Q66" s="328">
        <v>18805.580000000002</v>
      </c>
      <c r="R66" s="328">
        <v>15726.916999999999</v>
      </c>
      <c r="S66" s="328">
        <v>17495.75</v>
      </c>
      <c r="T66" s="328">
        <v>17933.669000000002</v>
      </c>
      <c r="U66" s="328"/>
      <c r="V66" s="328">
        <v>10583.576999999999</v>
      </c>
      <c r="W66" s="328"/>
      <c r="X66" s="328">
        <v>9554.2530000000006</v>
      </c>
      <c r="Y66" s="328"/>
      <c r="Z66" s="328">
        <v>12029.11</v>
      </c>
      <c r="AA66" s="328"/>
      <c r="AB66" s="328">
        <v>10534.715</v>
      </c>
      <c r="AC66" s="328"/>
      <c r="AD66" s="328">
        <v>8650.8019999999997</v>
      </c>
      <c r="AE66" s="328"/>
      <c r="AF66" s="1125"/>
    </row>
    <row r="67" spans="1:32" ht="31.5" x14ac:dyDescent="0.25">
      <c r="A67" s="341" t="s">
        <v>174</v>
      </c>
      <c r="B67" s="343"/>
      <c r="C67" s="644"/>
      <c r="D67" s="343"/>
      <c r="E67" s="343"/>
      <c r="F67" s="343"/>
      <c r="G67" s="343"/>
      <c r="H67" s="644"/>
      <c r="I67" s="644"/>
      <c r="J67" s="644"/>
      <c r="K67" s="644"/>
      <c r="L67" s="644"/>
      <c r="M67" s="644"/>
      <c r="N67" s="328"/>
      <c r="O67" s="328"/>
      <c r="P67" s="328"/>
      <c r="Q67" s="328"/>
      <c r="R67" s="328"/>
      <c r="S67" s="328"/>
      <c r="T67" s="328"/>
      <c r="U67" s="328"/>
      <c r="V67" s="328"/>
      <c r="W67" s="328"/>
      <c r="X67" s="328"/>
      <c r="Y67" s="328"/>
      <c r="Z67" s="328"/>
      <c r="AA67" s="328"/>
      <c r="AB67" s="328"/>
      <c r="AC67" s="328"/>
      <c r="AD67" s="328"/>
      <c r="AE67" s="328"/>
      <c r="AF67" s="1125"/>
    </row>
    <row r="68" spans="1:32" x14ac:dyDescent="0.25">
      <c r="A68" s="327" t="s">
        <v>374</v>
      </c>
      <c r="B68" s="329"/>
      <c r="C68" s="644"/>
      <c r="D68" s="329"/>
      <c r="E68" s="329"/>
      <c r="F68" s="343"/>
      <c r="G68" s="343"/>
      <c r="H68" s="328"/>
      <c r="I68" s="328"/>
      <c r="J68" s="328"/>
      <c r="K68" s="328"/>
      <c r="L68" s="328"/>
      <c r="M68" s="328"/>
      <c r="N68" s="328"/>
      <c r="O68" s="328"/>
      <c r="P68" s="328"/>
      <c r="Q68" s="328"/>
      <c r="R68" s="328"/>
      <c r="S68" s="328"/>
      <c r="T68" s="328"/>
      <c r="U68" s="328"/>
      <c r="V68" s="328"/>
      <c r="W68" s="328"/>
      <c r="X68" s="328"/>
      <c r="Y68" s="328"/>
      <c r="Z68" s="328"/>
      <c r="AA68" s="328"/>
      <c r="AB68" s="328"/>
      <c r="AC68" s="328"/>
      <c r="AD68" s="328"/>
      <c r="AE68" s="328"/>
      <c r="AF68" s="1134"/>
    </row>
    <row r="69" spans="1:32" x14ac:dyDescent="0.25">
      <c r="A69" s="1151" t="s">
        <v>408</v>
      </c>
      <c r="B69" s="1152"/>
      <c r="C69" s="1152"/>
      <c r="D69" s="1152"/>
      <c r="E69" s="1152"/>
      <c r="F69" s="1152"/>
      <c r="G69" s="1152"/>
      <c r="H69" s="1152"/>
      <c r="I69" s="1152"/>
      <c r="J69" s="1152"/>
      <c r="K69" s="1152"/>
      <c r="L69" s="1152"/>
      <c r="M69" s="1152"/>
      <c r="N69" s="1152"/>
      <c r="O69" s="1152"/>
      <c r="P69" s="1152"/>
      <c r="Q69" s="1152"/>
      <c r="R69" s="1152"/>
      <c r="S69" s="1152"/>
      <c r="T69" s="1152"/>
      <c r="U69" s="1152"/>
      <c r="V69" s="1152"/>
      <c r="W69" s="1152"/>
      <c r="X69" s="1152"/>
      <c r="Y69" s="1152"/>
      <c r="Z69" s="1152"/>
      <c r="AA69" s="1152"/>
      <c r="AB69" s="1152"/>
      <c r="AC69" s="1152"/>
      <c r="AD69" s="1152"/>
      <c r="AE69" s="1153"/>
      <c r="AF69" s="344"/>
    </row>
    <row r="70" spans="1:32" x14ac:dyDescent="0.25">
      <c r="A70" s="327" t="s">
        <v>31</v>
      </c>
      <c r="B70" s="343">
        <f>B71+B72+B74</f>
        <v>19344.921000000006</v>
      </c>
      <c r="C70" s="343">
        <f>C71+C72+C74</f>
        <v>13929.221000000001</v>
      </c>
      <c r="D70" s="343">
        <f>D71+D72+D74</f>
        <v>13559.270000000002</v>
      </c>
      <c r="E70" s="343">
        <f>E71+E72+E74</f>
        <v>13559.270000000002</v>
      </c>
      <c r="F70" s="329">
        <f>F72</f>
        <v>70.092144599608332</v>
      </c>
      <c r="G70" s="329">
        <f>G72</f>
        <v>97.344065400355134</v>
      </c>
      <c r="H70" s="328">
        <f>H71+H72+H74</f>
        <v>8901.3209999999999</v>
      </c>
      <c r="I70" s="328">
        <f t="shared" ref="I70:AE70" si="24">I71+I72+I74</f>
        <v>8739.98</v>
      </c>
      <c r="J70" s="328">
        <f t="shared" si="24"/>
        <v>1123.9000000000001</v>
      </c>
      <c r="K70" s="328">
        <f t="shared" si="24"/>
        <v>963.86</v>
      </c>
      <c r="L70" s="328">
        <f t="shared" si="24"/>
        <v>1123.9000000000001</v>
      </c>
      <c r="M70" s="328">
        <f t="shared" si="24"/>
        <v>963.86</v>
      </c>
      <c r="N70" s="328">
        <f t="shared" si="24"/>
        <v>926.7</v>
      </c>
      <c r="O70" s="328">
        <f t="shared" si="24"/>
        <v>963.85</v>
      </c>
      <c r="P70" s="328">
        <f t="shared" si="24"/>
        <v>926.7</v>
      </c>
      <c r="Q70" s="328">
        <f t="shared" si="24"/>
        <v>963.86</v>
      </c>
      <c r="R70" s="328">
        <f t="shared" si="24"/>
        <v>926.7</v>
      </c>
      <c r="S70" s="328">
        <f t="shared" si="24"/>
        <v>963.86</v>
      </c>
      <c r="T70" s="328">
        <f t="shared" si="24"/>
        <v>926.7</v>
      </c>
      <c r="U70" s="328">
        <f t="shared" si="24"/>
        <v>0</v>
      </c>
      <c r="V70" s="328">
        <f t="shared" si="24"/>
        <v>926.7</v>
      </c>
      <c r="W70" s="328">
        <f t="shared" si="24"/>
        <v>0</v>
      </c>
      <c r="X70" s="328">
        <f t="shared" si="24"/>
        <v>926.7</v>
      </c>
      <c r="Y70" s="328">
        <f t="shared" si="24"/>
        <v>0</v>
      </c>
      <c r="Z70" s="328">
        <f t="shared" si="24"/>
        <v>926.7</v>
      </c>
      <c r="AA70" s="328">
        <f t="shared" si="24"/>
        <v>0</v>
      </c>
      <c r="AB70" s="328">
        <f t="shared" si="24"/>
        <v>926.7</v>
      </c>
      <c r="AC70" s="328">
        <f t="shared" si="24"/>
        <v>0</v>
      </c>
      <c r="AD70" s="328">
        <f t="shared" si="24"/>
        <v>782.2</v>
      </c>
      <c r="AE70" s="328">
        <f t="shared" si="24"/>
        <v>0</v>
      </c>
      <c r="AF70" s="1154" t="s">
        <v>534</v>
      </c>
    </row>
    <row r="71" spans="1:32" x14ac:dyDescent="0.25">
      <c r="A71" s="327" t="s">
        <v>32</v>
      </c>
      <c r="B71" s="329"/>
      <c r="C71" s="328"/>
      <c r="D71" s="329"/>
      <c r="E71" s="329"/>
      <c r="F71" s="329"/>
      <c r="G71" s="329"/>
      <c r="H71" s="328"/>
      <c r="I71" s="328"/>
      <c r="J71" s="328"/>
      <c r="K71" s="328"/>
      <c r="L71" s="328"/>
      <c r="M71" s="328"/>
      <c r="N71" s="328"/>
      <c r="O71" s="328"/>
      <c r="P71" s="328"/>
      <c r="Q71" s="328"/>
      <c r="R71" s="328"/>
      <c r="S71" s="328"/>
      <c r="T71" s="328"/>
      <c r="U71" s="328"/>
      <c r="V71" s="328"/>
      <c r="W71" s="328"/>
      <c r="X71" s="328"/>
      <c r="Y71" s="328"/>
      <c r="Z71" s="328"/>
      <c r="AA71" s="328"/>
      <c r="AB71" s="328"/>
      <c r="AC71" s="328"/>
      <c r="AD71" s="328"/>
      <c r="AE71" s="328"/>
      <c r="AF71" s="1126"/>
    </row>
    <row r="72" spans="1:32" x14ac:dyDescent="0.25">
      <c r="A72" s="327" t="s">
        <v>33</v>
      </c>
      <c r="B72" s="329">
        <f>H72+J72+L72+N72+P72+R72+T72+V72+X72+Z72+AB72+AD72</f>
        <v>19344.921000000006</v>
      </c>
      <c r="C72" s="328">
        <f>H72+J72+L72+N72+P72+R72</f>
        <v>13929.221000000001</v>
      </c>
      <c r="D72" s="329">
        <f>E72</f>
        <v>13559.270000000002</v>
      </c>
      <c r="E72" s="329">
        <f>I72+K72+M72+O72+Q72+S72+U72+W72+Y72+AA72+AC72+AE72</f>
        <v>13559.270000000002</v>
      </c>
      <c r="F72" s="329">
        <f>IFERROR(E72/B72*100,0)</f>
        <v>70.092144599608332</v>
      </c>
      <c r="G72" s="329">
        <f>IFERROR(E72/C72*100,0)</f>
        <v>97.344065400355134</v>
      </c>
      <c r="H72" s="328">
        <v>8901.3209999999999</v>
      </c>
      <c r="I72" s="328">
        <v>8739.98</v>
      </c>
      <c r="J72" s="328">
        <v>1123.9000000000001</v>
      </c>
      <c r="K72" s="328">
        <v>963.86</v>
      </c>
      <c r="L72" s="328">
        <v>1123.9000000000001</v>
      </c>
      <c r="M72" s="328">
        <v>963.86</v>
      </c>
      <c r="N72" s="328">
        <v>926.7</v>
      </c>
      <c r="O72" s="328">
        <v>963.85</v>
      </c>
      <c r="P72" s="328">
        <v>926.7</v>
      </c>
      <c r="Q72" s="328">
        <v>963.86</v>
      </c>
      <c r="R72" s="328">
        <v>926.7</v>
      </c>
      <c r="S72" s="328">
        <v>963.86</v>
      </c>
      <c r="T72" s="328">
        <v>926.7</v>
      </c>
      <c r="U72" s="328"/>
      <c r="V72" s="328">
        <v>926.7</v>
      </c>
      <c r="W72" s="328"/>
      <c r="X72" s="328">
        <v>926.7</v>
      </c>
      <c r="Y72" s="328"/>
      <c r="Z72" s="328">
        <v>926.7</v>
      </c>
      <c r="AA72" s="328"/>
      <c r="AB72" s="328">
        <v>926.7</v>
      </c>
      <c r="AC72" s="328"/>
      <c r="AD72" s="328">
        <v>782.2</v>
      </c>
      <c r="AE72" s="328"/>
      <c r="AF72" s="1126"/>
    </row>
    <row r="73" spans="1:32" ht="31.5" x14ac:dyDescent="0.25">
      <c r="A73" s="341" t="s">
        <v>174</v>
      </c>
      <c r="B73" s="329"/>
      <c r="C73" s="328"/>
      <c r="D73" s="329"/>
      <c r="E73" s="329"/>
      <c r="F73" s="329"/>
      <c r="G73" s="329"/>
      <c r="H73" s="328"/>
      <c r="I73" s="328"/>
      <c r="J73" s="328"/>
      <c r="K73" s="328"/>
      <c r="L73" s="328"/>
      <c r="M73" s="328"/>
      <c r="N73" s="328"/>
      <c r="O73" s="328"/>
      <c r="P73" s="328"/>
      <c r="Q73" s="328"/>
      <c r="R73" s="328"/>
      <c r="S73" s="328"/>
      <c r="T73" s="328"/>
      <c r="U73" s="328"/>
      <c r="V73" s="328"/>
      <c r="W73" s="328"/>
      <c r="X73" s="328"/>
      <c r="Y73" s="328"/>
      <c r="Z73" s="328"/>
      <c r="AA73" s="328"/>
      <c r="AB73" s="328"/>
      <c r="AC73" s="328"/>
      <c r="AD73" s="328"/>
      <c r="AE73" s="328"/>
      <c r="AF73" s="1126"/>
    </row>
    <row r="74" spans="1:32" x14ac:dyDescent="0.25">
      <c r="A74" s="327" t="s">
        <v>374</v>
      </c>
      <c r="B74" s="329"/>
      <c r="C74" s="328"/>
      <c r="D74" s="329"/>
      <c r="E74" s="329"/>
      <c r="F74" s="329"/>
      <c r="G74" s="329"/>
      <c r="H74" s="328"/>
      <c r="I74" s="328"/>
      <c r="J74" s="328"/>
      <c r="K74" s="328"/>
      <c r="L74" s="328"/>
      <c r="M74" s="328"/>
      <c r="N74" s="328"/>
      <c r="O74" s="328"/>
      <c r="P74" s="328"/>
      <c r="Q74" s="328"/>
      <c r="R74" s="328"/>
      <c r="S74" s="328"/>
      <c r="T74" s="328"/>
      <c r="U74" s="328"/>
      <c r="V74" s="328"/>
      <c r="W74" s="328"/>
      <c r="X74" s="328"/>
      <c r="Y74" s="328"/>
      <c r="Z74" s="328"/>
      <c r="AA74" s="328"/>
      <c r="AB74" s="328"/>
      <c r="AC74" s="328"/>
      <c r="AD74" s="328"/>
      <c r="AE74" s="328"/>
      <c r="AF74" s="1127"/>
    </row>
    <row r="75" spans="1:32" x14ac:dyDescent="0.25">
      <c r="A75" s="1151" t="s">
        <v>409</v>
      </c>
      <c r="B75" s="1152"/>
      <c r="C75" s="1152"/>
      <c r="D75" s="1152"/>
      <c r="E75" s="1152"/>
      <c r="F75" s="1152"/>
      <c r="G75" s="1152"/>
      <c r="H75" s="1152"/>
      <c r="I75" s="1152"/>
      <c r="J75" s="1152"/>
      <c r="K75" s="1152"/>
      <c r="L75" s="1152"/>
      <c r="M75" s="1152"/>
      <c r="N75" s="1152"/>
      <c r="O75" s="1152"/>
      <c r="P75" s="1152"/>
      <c r="Q75" s="1152"/>
      <c r="R75" s="1152"/>
      <c r="S75" s="1152"/>
      <c r="T75" s="1152"/>
      <c r="U75" s="1152"/>
      <c r="V75" s="1152"/>
      <c r="W75" s="1152"/>
      <c r="X75" s="1152"/>
      <c r="Y75" s="1152"/>
      <c r="Z75" s="1152"/>
      <c r="AA75" s="1152"/>
      <c r="AB75" s="1152"/>
      <c r="AC75" s="1152"/>
      <c r="AD75" s="1152"/>
      <c r="AE75" s="1153"/>
      <c r="AF75" s="326"/>
    </row>
    <row r="76" spans="1:32" x14ac:dyDescent="0.25">
      <c r="A76" s="327" t="s">
        <v>31</v>
      </c>
      <c r="B76" s="329">
        <f>B77+B78+B80</f>
        <v>6062.2990000000009</v>
      </c>
      <c r="C76" s="343">
        <f>C77+C78+C80</f>
        <v>2799.4190000000003</v>
      </c>
      <c r="D76" s="343">
        <f>D77+D78+D80</f>
        <v>2398.9</v>
      </c>
      <c r="E76" s="329">
        <f>E77+E78+E80</f>
        <v>2398.9</v>
      </c>
      <c r="F76" s="329">
        <f>F78</f>
        <v>39.570796491562028</v>
      </c>
      <c r="G76" s="329">
        <f>G78</f>
        <v>85.69278125210981</v>
      </c>
      <c r="H76" s="328">
        <f>H77+H78+H80</f>
        <v>222.51900000000001</v>
      </c>
      <c r="I76" s="328">
        <f t="shared" ref="I76:AE76" si="25">I77+I78+I80</f>
        <v>211.32</v>
      </c>
      <c r="J76" s="328">
        <f t="shared" si="25"/>
        <v>529.38</v>
      </c>
      <c r="K76" s="328">
        <f t="shared" si="25"/>
        <v>424.49</v>
      </c>
      <c r="L76" s="328">
        <f t="shared" si="25"/>
        <v>509.38</v>
      </c>
      <c r="M76" s="328">
        <f t="shared" si="25"/>
        <v>393.66</v>
      </c>
      <c r="N76" s="328">
        <f t="shared" si="25"/>
        <v>519.38</v>
      </c>
      <c r="O76" s="328">
        <f t="shared" si="25"/>
        <v>413.18</v>
      </c>
      <c r="P76" s="328">
        <f t="shared" si="25"/>
        <v>499.38</v>
      </c>
      <c r="Q76" s="328">
        <f t="shared" si="25"/>
        <v>384.97</v>
      </c>
      <c r="R76" s="328">
        <f t="shared" si="25"/>
        <v>519.38</v>
      </c>
      <c r="S76" s="328">
        <f t="shared" si="25"/>
        <v>571.28</v>
      </c>
      <c r="T76" s="328">
        <f t="shared" si="25"/>
        <v>509.38</v>
      </c>
      <c r="U76" s="328">
        <f t="shared" si="25"/>
        <v>0</v>
      </c>
      <c r="V76" s="328">
        <f t="shared" si="25"/>
        <v>499.38</v>
      </c>
      <c r="W76" s="328">
        <f t="shared" si="25"/>
        <v>0</v>
      </c>
      <c r="X76" s="328">
        <f t="shared" si="25"/>
        <v>509.38</v>
      </c>
      <c r="Y76" s="328">
        <f t="shared" si="25"/>
        <v>0</v>
      </c>
      <c r="Z76" s="328">
        <f t="shared" si="25"/>
        <v>509.38</v>
      </c>
      <c r="AA76" s="328">
        <f t="shared" si="25"/>
        <v>0</v>
      </c>
      <c r="AB76" s="328">
        <f t="shared" si="25"/>
        <v>509.38</v>
      </c>
      <c r="AC76" s="328">
        <f t="shared" si="25"/>
        <v>0</v>
      </c>
      <c r="AD76" s="328">
        <f t="shared" si="25"/>
        <v>725.98</v>
      </c>
      <c r="AE76" s="328">
        <f t="shared" si="25"/>
        <v>0</v>
      </c>
      <c r="AF76" s="1137" t="s">
        <v>474</v>
      </c>
    </row>
    <row r="77" spans="1:32" ht="33" customHeight="1" x14ac:dyDescent="0.25">
      <c r="A77" s="327" t="s">
        <v>32</v>
      </c>
      <c r="B77" s="329"/>
      <c r="C77" s="328"/>
      <c r="D77" s="329"/>
      <c r="E77" s="329"/>
      <c r="F77" s="329"/>
      <c r="G77" s="329"/>
      <c r="H77" s="328"/>
      <c r="I77" s="328"/>
      <c r="J77" s="328"/>
      <c r="K77" s="328"/>
      <c r="L77" s="328"/>
      <c r="M77" s="328"/>
      <c r="N77" s="328"/>
      <c r="O77" s="328"/>
      <c r="P77" s="328"/>
      <c r="Q77" s="328"/>
      <c r="R77" s="328"/>
      <c r="S77" s="328"/>
      <c r="T77" s="328"/>
      <c r="U77" s="328"/>
      <c r="V77" s="328"/>
      <c r="W77" s="328"/>
      <c r="X77" s="328"/>
      <c r="Y77" s="328"/>
      <c r="Z77" s="328"/>
      <c r="AA77" s="328"/>
      <c r="AB77" s="328"/>
      <c r="AC77" s="328"/>
      <c r="AD77" s="328"/>
      <c r="AE77" s="328"/>
      <c r="AF77" s="1125"/>
    </row>
    <row r="78" spans="1:32" ht="118.5" customHeight="1" x14ac:dyDescent="0.25">
      <c r="A78" s="327" t="s">
        <v>33</v>
      </c>
      <c r="B78" s="329">
        <f>H78+J78+L78+N78+P78+R78+T78+V78+X78+Z78+AB78+AD78</f>
        <v>6062.2990000000009</v>
      </c>
      <c r="C78" s="328">
        <f>H78+J78+L78+N78+P78+R78</f>
        <v>2799.4190000000003</v>
      </c>
      <c r="D78" s="329">
        <f>E78</f>
        <v>2398.9</v>
      </c>
      <c r="E78" s="329">
        <f>I78+K78+M78+O78+Q78+S78+U78+W78+Y78+AA78+AC78+AE78</f>
        <v>2398.9</v>
      </c>
      <c r="F78" s="329">
        <f>IFERROR(E78/B78*100,0)</f>
        <v>39.570796491562028</v>
      </c>
      <c r="G78" s="329">
        <f>IFERROR(E78/C78*100,0)</f>
        <v>85.69278125210981</v>
      </c>
      <c r="H78" s="328">
        <v>222.51900000000001</v>
      </c>
      <c r="I78" s="328">
        <v>211.32</v>
      </c>
      <c r="J78" s="328">
        <v>529.38</v>
      </c>
      <c r="K78" s="328">
        <v>424.49</v>
      </c>
      <c r="L78" s="328">
        <v>509.38</v>
      </c>
      <c r="M78" s="328">
        <v>393.66</v>
      </c>
      <c r="N78" s="328">
        <v>519.38</v>
      </c>
      <c r="O78" s="328">
        <v>413.18</v>
      </c>
      <c r="P78" s="328">
        <v>499.38</v>
      </c>
      <c r="Q78" s="328">
        <v>384.97</v>
      </c>
      <c r="R78" s="328">
        <v>519.38</v>
      </c>
      <c r="S78" s="328">
        <v>571.28</v>
      </c>
      <c r="T78" s="328">
        <v>509.38</v>
      </c>
      <c r="U78" s="328"/>
      <c r="V78" s="328">
        <v>499.38</v>
      </c>
      <c r="W78" s="328"/>
      <c r="X78" s="328">
        <v>509.38</v>
      </c>
      <c r="Y78" s="328"/>
      <c r="Z78" s="328">
        <v>509.38</v>
      </c>
      <c r="AA78" s="328"/>
      <c r="AB78" s="328">
        <v>509.38</v>
      </c>
      <c r="AC78" s="328"/>
      <c r="AD78" s="328">
        <v>725.98</v>
      </c>
      <c r="AE78" s="328"/>
      <c r="AF78" s="1125"/>
    </row>
    <row r="79" spans="1:32" ht="42" customHeight="1" x14ac:dyDescent="0.25">
      <c r="A79" s="341" t="s">
        <v>174</v>
      </c>
      <c r="B79" s="329"/>
      <c r="C79" s="328"/>
      <c r="D79" s="329"/>
      <c r="E79" s="329"/>
      <c r="F79" s="329"/>
      <c r="G79" s="329"/>
      <c r="H79" s="328"/>
      <c r="I79" s="328"/>
      <c r="J79" s="328"/>
      <c r="K79" s="328"/>
      <c r="L79" s="328"/>
      <c r="M79" s="328"/>
      <c r="N79" s="328"/>
      <c r="O79" s="328"/>
      <c r="P79" s="328"/>
      <c r="Q79" s="328"/>
      <c r="R79" s="328"/>
      <c r="S79" s="328"/>
      <c r="T79" s="328"/>
      <c r="U79" s="328"/>
      <c r="V79" s="328"/>
      <c r="W79" s="328"/>
      <c r="X79" s="328"/>
      <c r="Y79" s="328"/>
      <c r="Z79" s="328"/>
      <c r="AA79" s="328"/>
      <c r="AB79" s="328"/>
      <c r="AC79" s="328"/>
      <c r="AD79" s="328"/>
      <c r="AE79" s="328"/>
      <c r="AF79" s="1125"/>
    </row>
    <row r="80" spans="1:32" ht="63" customHeight="1" x14ac:dyDescent="0.25">
      <c r="A80" s="327" t="s">
        <v>374</v>
      </c>
      <c r="B80" s="329"/>
      <c r="C80" s="328"/>
      <c r="D80" s="329"/>
      <c r="E80" s="329"/>
      <c r="F80" s="329"/>
      <c r="G80" s="329"/>
      <c r="H80" s="328"/>
      <c r="I80" s="328"/>
      <c r="J80" s="328"/>
      <c r="K80" s="328"/>
      <c r="L80" s="328"/>
      <c r="M80" s="328"/>
      <c r="N80" s="328"/>
      <c r="O80" s="328"/>
      <c r="P80" s="328"/>
      <c r="Q80" s="328"/>
      <c r="R80" s="328"/>
      <c r="S80" s="328"/>
      <c r="T80" s="328"/>
      <c r="U80" s="328"/>
      <c r="V80" s="328"/>
      <c r="W80" s="328"/>
      <c r="X80" s="328"/>
      <c r="Y80" s="328"/>
      <c r="Z80" s="328"/>
      <c r="AA80" s="328"/>
      <c r="AB80" s="328"/>
      <c r="AC80" s="328"/>
      <c r="AD80" s="328"/>
      <c r="AE80" s="328"/>
      <c r="AF80" s="1134"/>
    </row>
    <row r="81" spans="1:32" x14ac:dyDescent="0.25">
      <c r="A81" s="1151" t="s">
        <v>410</v>
      </c>
      <c r="B81" s="1152"/>
      <c r="C81" s="1152"/>
      <c r="D81" s="1152"/>
      <c r="E81" s="1152"/>
      <c r="F81" s="1152"/>
      <c r="G81" s="1152"/>
      <c r="H81" s="1152"/>
      <c r="I81" s="1152"/>
      <c r="J81" s="1152"/>
      <c r="K81" s="1152"/>
      <c r="L81" s="1152"/>
      <c r="M81" s="1152"/>
      <c r="N81" s="1152"/>
      <c r="O81" s="1152"/>
      <c r="P81" s="1152"/>
      <c r="Q81" s="1152"/>
      <c r="R81" s="1152"/>
      <c r="S81" s="1152"/>
      <c r="T81" s="1152"/>
      <c r="U81" s="1152"/>
      <c r="V81" s="1152"/>
      <c r="W81" s="1152"/>
      <c r="X81" s="1152"/>
      <c r="Y81" s="1152"/>
      <c r="Z81" s="1152"/>
      <c r="AA81" s="1152"/>
      <c r="AB81" s="1152"/>
      <c r="AC81" s="1152"/>
      <c r="AD81" s="1152"/>
      <c r="AE81" s="1153"/>
      <c r="AF81" s="345"/>
    </row>
    <row r="82" spans="1:32" ht="24.75" customHeight="1" x14ac:dyDescent="0.25">
      <c r="A82" s="327" t="s">
        <v>31</v>
      </c>
      <c r="B82" s="343">
        <f>B83+B84+B86</f>
        <v>767.6</v>
      </c>
      <c r="C82" s="343">
        <f>C83+C84+C86</f>
        <v>293.59999999999997</v>
      </c>
      <c r="D82" s="343">
        <f>D83+D84+D86</f>
        <v>136.30000000000001</v>
      </c>
      <c r="E82" s="329">
        <f>E83+E84+E86</f>
        <v>136.30000000000001</v>
      </c>
      <c r="F82" s="329">
        <f>F84</f>
        <v>17.756644085461179</v>
      </c>
      <c r="G82" s="329">
        <f>G84</f>
        <v>46.423705722070849</v>
      </c>
      <c r="H82" s="328">
        <f>H83+H84+H86</f>
        <v>22.8</v>
      </c>
      <c r="I82" s="328">
        <f t="shared" ref="I82:AE82" si="26">I83+I84+I86</f>
        <v>22.8</v>
      </c>
      <c r="J82" s="328">
        <f t="shared" si="26"/>
        <v>67.7</v>
      </c>
      <c r="K82" s="328">
        <f t="shared" si="26"/>
        <v>16.8</v>
      </c>
      <c r="L82" s="328">
        <f t="shared" si="26"/>
        <v>67.7</v>
      </c>
      <c r="M82" s="328">
        <f t="shared" si="26"/>
        <v>28.6</v>
      </c>
      <c r="N82" s="328">
        <f t="shared" si="26"/>
        <v>67.7</v>
      </c>
      <c r="O82" s="328">
        <f t="shared" si="26"/>
        <v>22.7</v>
      </c>
      <c r="P82" s="328">
        <f t="shared" si="26"/>
        <v>67.7</v>
      </c>
      <c r="Q82" s="328">
        <f t="shared" si="26"/>
        <v>16.8</v>
      </c>
      <c r="R82" s="328">
        <f t="shared" si="26"/>
        <v>67.7</v>
      </c>
      <c r="S82" s="328">
        <f t="shared" si="26"/>
        <v>28.6</v>
      </c>
      <c r="T82" s="328">
        <f t="shared" si="26"/>
        <v>67.7</v>
      </c>
      <c r="U82" s="328">
        <f t="shared" si="26"/>
        <v>0</v>
      </c>
      <c r="V82" s="328">
        <f t="shared" si="26"/>
        <v>67.7</v>
      </c>
      <c r="W82" s="328">
        <f t="shared" si="26"/>
        <v>0</v>
      </c>
      <c r="X82" s="328">
        <f t="shared" si="26"/>
        <v>67.7</v>
      </c>
      <c r="Y82" s="328">
        <f t="shared" si="26"/>
        <v>0</v>
      </c>
      <c r="Z82" s="328">
        <f t="shared" si="26"/>
        <v>67.7</v>
      </c>
      <c r="AA82" s="328">
        <f t="shared" si="26"/>
        <v>0</v>
      </c>
      <c r="AB82" s="328">
        <f t="shared" si="26"/>
        <v>67.7</v>
      </c>
      <c r="AC82" s="328">
        <f t="shared" si="26"/>
        <v>0</v>
      </c>
      <c r="AD82" s="328">
        <f t="shared" si="26"/>
        <v>67.8</v>
      </c>
      <c r="AE82" s="328">
        <f t="shared" si="26"/>
        <v>0</v>
      </c>
      <c r="AF82" s="1137" t="s">
        <v>483</v>
      </c>
    </row>
    <row r="83" spans="1:32" ht="42" customHeight="1" x14ac:dyDescent="0.25">
      <c r="A83" s="327" t="s">
        <v>32</v>
      </c>
      <c r="B83" s="329"/>
      <c r="C83" s="328"/>
      <c r="D83" s="329"/>
      <c r="E83" s="329"/>
      <c r="F83" s="329"/>
      <c r="G83" s="329"/>
      <c r="H83" s="328"/>
      <c r="I83" s="328"/>
      <c r="J83" s="328"/>
      <c r="K83" s="328"/>
      <c r="L83" s="328"/>
      <c r="M83" s="328"/>
      <c r="N83" s="328"/>
      <c r="O83" s="328"/>
      <c r="P83" s="328"/>
      <c r="Q83" s="328"/>
      <c r="R83" s="328"/>
      <c r="S83" s="328"/>
      <c r="T83" s="328"/>
      <c r="U83" s="328"/>
      <c r="V83" s="328"/>
      <c r="W83" s="328"/>
      <c r="X83" s="328"/>
      <c r="Y83" s="328"/>
      <c r="Z83" s="328"/>
      <c r="AA83" s="328"/>
      <c r="AB83" s="328"/>
      <c r="AC83" s="328"/>
      <c r="AD83" s="328"/>
      <c r="AE83" s="328"/>
      <c r="AF83" s="1125"/>
    </row>
    <row r="84" spans="1:32" ht="34.5" customHeight="1" x14ac:dyDescent="0.25">
      <c r="A84" s="327" t="s">
        <v>33</v>
      </c>
      <c r="B84" s="329">
        <f>H84+J84+L84+N84+P84+R84+T84+V84+X84+Z84+AB84+AD84</f>
        <v>767.6</v>
      </c>
      <c r="C84" s="328">
        <f>H84+J84+L84+N84+P84</f>
        <v>293.59999999999997</v>
      </c>
      <c r="D84" s="329">
        <f>E84</f>
        <v>136.30000000000001</v>
      </c>
      <c r="E84" s="329">
        <f>I84+K84+M84+O84+Q84+S84+U84+W84+Y84+AA84+AC84+AE84</f>
        <v>136.30000000000001</v>
      </c>
      <c r="F84" s="329">
        <f>IFERROR(E84/B84*100,0)</f>
        <v>17.756644085461179</v>
      </c>
      <c r="G84" s="329">
        <f>IFERROR(E84/C84*100,0)</f>
        <v>46.423705722070849</v>
      </c>
      <c r="H84" s="328">
        <v>22.8</v>
      </c>
      <c r="I84" s="328">
        <v>22.8</v>
      </c>
      <c r="J84" s="328">
        <v>67.7</v>
      </c>
      <c r="K84" s="328">
        <v>16.8</v>
      </c>
      <c r="L84" s="328">
        <v>67.7</v>
      </c>
      <c r="M84" s="328">
        <v>28.6</v>
      </c>
      <c r="N84" s="328">
        <v>67.7</v>
      </c>
      <c r="O84" s="328">
        <v>22.7</v>
      </c>
      <c r="P84" s="328">
        <v>67.7</v>
      </c>
      <c r="Q84" s="328">
        <v>16.8</v>
      </c>
      <c r="R84" s="328">
        <v>67.7</v>
      </c>
      <c r="S84" s="328">
        <v>28.6</v>
      </c>
      <c r="T84" s="328">
        <v>67.7</v>
      </c>
      <c r="U84" s="328"/>
      <c r="V84" s="328">
        <v>67.7</v>
      </c>
      <c r="W84" s="328"/>
      <c r="X84" s="328">
        <v>67.7</v>
      </c>
      <c r="Y84" s="328"/>
      <c r="Z84" s="328">
        <v>67.7</v>
      </c>
      <c r="AA84" s="328"/>
      <c r="AB84" s="328">
        <v>67.7</v>
      </c>
      <c r="AC84" s="328"/>
      <c r="AD84" s="328">
        <v>67.8</v>
      </c>
      <c r="AE84" s="328"/>
      <c r="AF84" s="1125"/>
    </row>
    <row r="85" spans="1:32" ht="45" customHeight="1" x14ac:dyDescent="0.25">
      <c r="A85" s="341" t="s">
        <v>174</v>
      </c>
      <c r="B85" s="329"/>
      <c r="C85" s="328"/>
      <c r="D85" s="329"/>
      <c r="E85" s="329"/>
      <c r="F85" s="329"/>
      <c r="G85" s="329"/>
      <c r="H85" s="328"/>
      <c r="I85" s="328"/>
      <c r="J85" s="328"/>
      <c r="K85" s="328"/>
      <c r="L85" s="328"/>
      <c r="M85" s="328"/>
      <c r="N85" s="328"/>
      <c r="O85" s="328"/>
      <c r="P85" s="328"/>
      <c r="Q85" s="328"/>
      <c r="R85" s="328"/>
      <c r="S85" s="328"/>
      <c r="T85" s="328"/>
      <c r="U85" s="328"/>
      <c r="V85" s="328"/>
      <c r="W85" s="328"/>
      <c r="X85" s="328"/>
      <c r="Y85" s="328"/>
      <c r="Z85" s="328"/>
      <c r="AA85" s="328"/>
      <c r="AB85" s="328"/>
      <c r="AC85" s="328"/>
      <c r="AD85" s="328"/>
      <c r="AE85" s="328"/>
      <c r="AF85" s="1125"/>
    </row>
    <row r="86" spans="1:32" x14ac:dyDescent="0.25">
      <c r="A86" s="327" t="s">
        <v>374</v>
      </c>
      <c r="B86" s="329"/>
      <c r="C86" s="328"/>
      <c r="D86" s="329"/>
      <c r="E86" s="329"/>
      <c r="F86" s="329"/>
      <c r="G86" s="329"/>
      <c r="H86" s="328"/>
      <c r="I86" s="328"/>
      <c r="J86" s="328"/>
      <c r="K86" s="328"/>
      <c r="L86" s="328"/>
      <c r="M86" s="328"/>
      <c r="N86" s="328"/>
      <c r="O86" s="328"/>
      <c r="P86" s="328"/>
      <c r="Q86" s="328"/>
      <c r="R86" s="328"/>
      <c r="S86" s="328"/>
      <c r="T86" s="328"/>
      <c r="U86" s="328"/>
      <c r="V86" s="328"/>
      <c r="W86" s="328"/>
      <c r="X86" s="328"/>
      <c r="Y86" s="328"/>
      <c r="Z86" s="328"/>
      <c r="AA86" s="328"/>
      <c r="AB86" s="328"/>
      <c r="AC86" s="328"/>
      <c r="AD86" s="328"/>
      <c r="AE86" s="328"/>
      <c r="AF86" s="1134"/>
    </row>
    <row r="87" spans="1:32" x14ac:dyDescent="0.25">
      <c r="A87" s="1151" t="s">
        <v>411</v>
      </c>
      <c r="B87" s="1152"/>
      <c r="C87" s="1152"/>
      <c r="D87" s="1152"/>
      <c r="E87" s="1152"/>
      <c r="F87" s="1152"/>
      <c r="G87" s="1152"/>
      <c r="H87" s="1152"/>
      <c r="I87" s="1152"/>
      <c r="J87" s="1152"/>
      <c r="K87" s="1152"/>
      <c r="L87" s="1152"/>
      <c r="M87" s="1152"/>
      <c r="N87" s="1152"/>
      <c r="O87" s="1152"/>
      <c r="P87" s="1152"/>
      <c r="Q87" s="1152"/>
      <c r="R87" s="1152"/>
      <c r="S87" s="1152"/>
      <c r="T87" s="1152"/>
      <c r="U87" s="1152"/>
      <c r="V87" s="1152"/>
      <c r="W87" s="1152"/>
      <c r="X87" s="1152"/>
      <c r="Y87" s="1152"/>
      <c r="Z87" s="1152"/>
      <c r="AA87" s="1152"/>
      <c r="AB87" s="1152"/>
      <c r="AC87" s="1152"/>
      <c r="AD87" s="1152"/>
      <c r="AE87" s="1153"/>
      <c r="AF87" s="345"/>
    </row>
    <row r="88" spans="1:32" x14ac:dyDescent="0.25">
      <c r="A88" s="327" t="s">
        <v>31</v>
      </c>
      <c r="B88" s="343">
        <f>B89+B90+B92</f>
        <v>7140.6</v>
      </c>
      <c r="C88" s="343">
        <f>C89+C90+C92</f>
        <v>0</v>
      </c>
      <c r="D88" s="343">
        <f>D89+D90+D92</f>
        <v>0</v>
      </c>
      <c r="E88" s="329">
        <f>E89+E90+E92</f>
        <v>0</v>
      </c>
      <c r="F88" s="329">
        <f>F90</f>
        <v>0</v>
      </c>
      <c r="G88" s="329">
        <f>G90</f>
        <v>0</v>
      </c>
      <c r="H88" s="328">
        <f>H89+H90+H92</f>
        <v>0</v>
      </c>
      <c r="I88" s="328">
        <f t="shared" ref="I88:AE88" si="27">I89+I90+I92</f>
        <v>0</v>
      </c>
      <c r="J88" s="328">
        <f t="shared" si="27"/>
        <v>0</v>
      </c>
      <c r="K88" s="328">
        <f t="shared" si="27"/>
        <v>0</v>
      </c>
      <c r="L88" s="328">
        <f t="shared" si="27"/>
        <v>0</v>
      </c>
      <c r="M88" s="328">
        <f t="shared" si="27"/>
        <v>0</v>
      </c>
      <c r="N88" s="328">
        <f t="shared" si="27"/>
        <v>0</v>
      </c>
      <c r="O88" s="328">
        <f t="shared" si="27"/>
        <v>0</v>
      </c>
      <c r="P88" s="328">
        <f t="shared" si="27"/>
        <v>0</v>
      </c>
      <c r="Q88" s="328">
        <f t="shared" si="27"/>
        <v>0</v>
      </c>
      <c r="R88" s="328">
        <f t="shared" si="27"/>
        <v>0</v>
      </c>
      <c r="S88" s="328">
        <f t="shared" si="27"/>
        <v>0</v>
      </c>
      <c r="T88" s="328">
        <f t="shared" si="27"/>
        <v>275</v>
      </c>
      <c r="U88" s="328">
        <f t="shared" si="27"/>
        <v>0</v>
      </c>
      <c r="V88" s="328">
        <f t="shared" si="27"/>
        <v>0</v>
      </c>
      <c r="W88" s="328">
        <f t="shared" si="27"/>
        <v>0</v>
      </c>
      <c r="X88" s="328">
        <f t="shared" si="27"/>
        <v>0</v>
      </c>
      <c r="Y88" s="328">
        <f t="shared" si="27"/>
        <v>0</v>
      </c>
      <c r="Z88" s="328">
        <f t="shared" si="27"/>
        <v>6865.6</v>
      </c>
      <c r="AA88" s="328">
        <f t="shared" si="27"/>
        <v>0</v>
      </c>
      <c r="AB88" s="328">
        <f t="shared" si="27"/>
        <v>0</v>
      </c>
      <c r="AC88" s="328">
        <f t="shared" si="27"/>
        <v>0</v>
      </c>
      <c r="AD88" s="328">
        <f t="shared" si="27"/>
        <v>0</v>
      </c>
      <c r="AE88" s="328">
        <f t="shared" si="27"/>
        <v>0</v>
      </c>
      <c r="AF88" s="1155" t="s">
        <v>605</v>
      </c>
    </row>
    <row r="89" spans="1:32" x14ac:dyDescent="0.25">
      <c r="A89" s="327" t="s">
        <v>32</v>
      </c>
      <c r="B89" s="329"/>
      <c r="C89" s="328"/>
      <c r="D89" s="329"/>
      <c r="E89" s="329"/>
      <c r="F89" s="337"/>
      <c r="G89" s="337"/>
      <c r="H89" s="328"/>
      <c r="I89" s="328"/>
      <c r="J89" s="328"/>
      <c r="K89" s="328"/>
      <c r="L89" s="328"/>
      <c r="M89" s="328"/>
      <c r="N89" s="328"/>
      <c r="O89" s="328"/>
      <c r="P89" s="328"/>
      <c r="Q89" s="328"/>
      <c r="R89" s="328"/>
      <c r="S89" s="328"/>
      <c r="T89" s="328"/>
      <c r="U89" s="328"/>
      <c r="V89" s="328"/>
      <c r="W89" s="328"/>
      <c r="X89" s="328"/>
      <c r="Y89" s="328"/>
      <c r="Z89" s="328"/>
      <c r="AA89" s="328"/>
      <c r="AB89" s="328"/>
      <c r="AC89" s="328"/>
      <c r="AD89" s="328"/>
      <c r="AE89" s="328"/>
      <c r="AF89" s="1135"/>
    </row>
    <row r="90" spans="1:32" x14ac:dyDescent="0.25">
      <c r="A90" s="681" t="s">
        <v>33</v>
      </c>
      <c r="B90" s="329">
        <f>H90+J90+L90+N90+P90+R90+T90+V90+X90+Z90+AB90+AD90</f>
        <v>7140.6</v>
      </c>
      <c r="C90" s="328">
        <f>H90+J90+L90+N90+P90+R90</f>
        <v>0</v>
      </c>
      <c r="D90" s="329">
        <f>E90</f>
        <v>0</v>
      </c>
      <c r="E90" s="329">
        <f>I90+K90+M90+O90+Q90+S90+U90+W90+Y90+AA90+AC90+AE90</f>
        <v>0</v>
      </c>
      <c r="F90" s="337">
        <f>IFERROR(E90/B90%,0)</f>
        <v>0</v>
      </c>
      <c r="G90" s="337">
        <f>IFERROR(E90/C90%,0)</f>
        <v>0</v>
      </c>
      <c r="H90" s="328"/>
      <c r="I90" s="328"/>
      <c r="J90" s="328"/>
      <c r="K90" s="328"/>
      <c r="L90" s="328"/>
      <c r="M90" s="328"/>
      <c r="N90" s="328"/>
      <c r="O90" s="328"/>
      <c r="P90" s="328"/>
      <c r="Q90" s="328"/>
      <c r="R90" s="328"/>
      <c r="S90" s="328"/>
      <c r="T90" s="328">
        <v>275</v>
      </c>
      <c r="U90" s="328"/>
      <c r="V90" s="328"/>
      <c r="W90" s="328"/>
      <c r="X90" s="328"/>
      <c r="Y90" s="328"/>
      <c r="Z90" s="328">
        <v>6865.6</v>
      </c>
      <c r="AA90" s="328"/>
      <c r="AB90" s="328"/>
      <c r="AC90" s="328"/>
      <c r="AD90" s="328"/>
      <c r="AE90" s="328"/>
      <c r="AF90" s="1135"/>
    </row>
    <row r="91" spans="1:32" ht="31.5" x14ac:dyDescent="0.25">
      <c r="A91" s="341" t="s">
        <v>174</v>
      </c>
      <c r="B91" s="329"/>
      <c r="C91" s="328"/>
      <c r="D91" s="329"/>
      <c r="E91" s="329"/>
      <c r="F91" s="337"/>
      <c r="G91" s="337"/>
      <c r="H91" s="328"/>
      <c r="I91" s="328"/>
      <c r="J91" s="328"/>
      <c r="K91" s="328"/>
      <c r="L91" s="328"/>
      <c r="M91" s="328"/>
      <c r="N91" s="328"/>
      <c r="O91" s="328"/>
      <c r="P91" s="328"/>
      <c r="Q91" s="328"/>
      <c r="R91" s="328"/>
      <c r="S91" s="328"/>
      <c r="T91" s="328"/>
      <c r="U91" s="328"/>
      <c r="V91" s="328"/>
      <c r="W91" s="328"/>
      <c r="X91" s="328"/>
      <c r="Y91" s="328"/>
      <c r="Z91" s="328"/>
      <c r="AA91" s="328"/>
      <c r="AB91" s="328"/>
      <c r="AC91" s="328"/>
      <c r="AD91" s="328"/>
      <c r="AE91" s="328"/>
      <c r="AF91" s="1135"/>
    </row>
    <row r="92" spans="1:32" x14ac:dyDescent="0.25">
      <c r="A92" s="327" t="s">
        <v>374</v>
      </c>
      <c r="B92" s="329"/>
      <c r="C92" s="328"/>
      <c r="D92" s="329"/>
      <c r="E92" s="329"/>
      <c r="F92" s="337"/>
      <c r="G92" s="337"/>
      <c r="H92" s="328"/>
      <c r="I92" s="328"/>
      <c r="J92" s="328"/>
      <c r="K92" s="328"/>
      <c r="L92" s="328"/>
      <c r="M92" s="328"/>
      <c r="N92" s="328"/>
      <c r="O92" s="328"/>
      <c r="P92" s="328"/>
      <c r="Q92" s="328"/>
      <c r="R92" s="328"/>
      <c r="S92" s="328"/>
      <c r="T92" s="328"/>
      <c r="U92" s="328"/>
      <c r="V92" s="328"/>
      <c r="W92" s="328"/>
      <c r="X92" s="328"/>
      <c r="Y92" s="328"/>
      <c r="Z92" s="328"/>
      <c r="AA92" s="328"/>
      <c r="AB92" s="328"/>
      <c r="AC92" s="328"/>
      <c r="AD92" s="328"/>
      <c r="AE92" s="328"/>
      <c r="AF92" s="1156"/>
    </row>
    <row r="93" spans="1:32" x14ac:dyDescent="0.25">
      <c r="A93" s="1151" t="s">
        <v>484</v>
      </c>
      <c r="B93" s="1152"/>
      <c r="C93" s="1152"/>
      <c r="D93" s="1152"/>
      <c r="E93" s="1152"/>
      <c r="F93" s="1152"/>
      <c r="G93" s="1152"/>
      <c r="H93" s="1152"/>
      <c r="I93" s="1152"/>
      <c r="J93" s="1152"/>
      <c r="K93" s="1152"/>
      <c r="L93" s="1152"/>
      <c r="M93" s="1152"/>
      <c r="N93" s="1152"/>
      <c r="O93" s="1152"/>
      <c r="P93" s="1152"/>
      <c r="Q93" s="1152"/>
      <c r="R93" s="1152"/>
      <c r="S93" s="1152"/>
      <c r="T93" s="1152"/>
      <c r="U93" s="1152"/>
      <c r="V93" s="1152"/>
      <c r="W93" s="1152"/>
      <c r="X93" s="1152"/>
      <c r="Y93" s="1152"/>
      <c r="Z93" s="1152"/>
      <c r="AA93" s="1152"/>
      <c r="AB93" s="1152"/>
      <c r="AC93" s="1152"/>
      <c r="AD93" s="1152"/>
      <c r="AE93" s="1153"/>
      <c r="AF93" s="346"/>
    </row>
    <row r="94" spans="1:32" x14ac:dyDescent="0.25">
      <c r="A94" s="327" t="s">
        <v>31</v>
      </c>
      <c r="B94" s="343">
        <f>B95+B96+B98</f>
        <v>500</v>
      </c>
      <c r="C94" s="343">
        <f>C95+C96+C98</f>
        <v>0</v>
      </c>
      <c r="D94" s="343">
        <f>D95+D96+D98</f>
        <v>0</v>
      </c>
      <c r="E94" s="329">
        <f>E95+E96+E98</f>
        <v>0</v>
      </c>
      <c r="F94" s="329">
        <f>F96</f>
        <v>0</v>
      </c>
      <c r="G94" s="329">
        <f>G96</f>
        <v>0</v>
      </c>
      <c r="H94" s="328">
        <f>H95+H96+H98</f>
        <v>0</v>
      </c>
      <c r="I94" s="328">
        <f t="shared" ref="I94:AE94" si="28">I95+I96+I98</f>
        <v>0</v>
      </c>
      <c r="J94" s="328">
        <f t="shared" si="28"/>
        <v>0</v>
      </c>
      <c r="K94" s="328">
        <f t="shared" si="28"/>
        <v>0</v>
      </c>
      <c r="L94" s="328">
        <f t="shared" si="28"/>
        <v>0</v>
      </c>
      <c r="M94" s="328">
        <f t="shared" si="28"/>
        <v>0</v>
      </c>
      <c r="N94" s="328">
        <f t="shared" si="28"/>
        <v>0</v>
      </c>
      <c r="O94" s="328">
        <f t="shared" si="28"/>
        <v>0</v>
      </c>
      <c r="P94" s="328">
        <f t="shared" si="28"/>
        <v>0</v>
      </c>
      <c r="Q94" s="328">
        <f t="shared" si="28"/>
        <v>0</v>
      </c>
      <c r="R94" s="328">
        <f t="shared" si="28"/>
        <v>0</v>
      </c>
      <c r="S94" s="328">
        <f t="shared" si="28"/>
        <v>0</v>
      </c>
      <c r="T94" s="328">
        <f t="shared" si="28"/>
        <v>0</v>
      </c>
      <c r="U94" s="328">
        <f t="shared" si="28"/>
        <v>0</v>
      </c>
      <c r="V94" s="328">
        <f t="shared" si="28"/>
        <v>0</v>
      </c>
      <c r="W94" s="328">
        <f t="shared" si="28"/>
        <v>0</v>
      </c>
      <c r="X94" s="328">
        <f t="shared" si="28"/>
        <v>0</v>
      </c>
      <c r="Y94" s="328">
        <f t="shared" si="28"/>
        <v>0</v>
      </c>
      <c r="Z94" s="328">
        <f t="shared" si="28"/>
        <v>500</v>
      </c>
      <c r="AA94" s="328">
        <f t="shared" si="28"/>
        <v>0</v>
      </c>
      <c r="AB94" s="328">
        <f t="shared" si="28"/>
        <v>0</v>
      </c>
      <c r="AC94" s="328">
        <f t="shared" si="28"/>
        <v>0</v>
      </c>
      <c r="AD94" s="328">
        <f t="shared" si="28"/>
        <v>0</v>
      </c>
      <c r="AE94" s="328">
        <f t="shared" si="28"/>
        <v>0</v>
      </c>
      <c r="AF94" s="1135" t="s">
        <v>557</v>
      </c>
    </row>
    <row r="95" spans="1:32" x14ac:dyDescent="0.25">
      <c r="A95" s="327" t="s">
        <v>32</v>
      </c>
      <c r="B95" s="329"/>
      <c r="C95" s="328"/>
      <c r="D95" s="329"/>
      <c r="E95" s="329"/>
      <c r="F95" s="337"/>
      <c r="G95" s="337"/>
      <c r="H95" s="328"/>
      <c r="I95" s="328"/>
      <c r="J95" s="328"/>
      <c r="K95" s="328"/>
      <c r="L95" s="328"/>
      <c r="M95" s="328"/>
      <c r="N95" s="328"/>
      <c r="O95" s="328"/>
      <c r="P95" s="328"/>
      <c r="Q95" s="328"/>
      <c r="R95" s="328"/>
      <c r="S95" s="328"/>
      <c r="T95" s="328"/>
      <c r="U95" s="328"/>
      <c r="V95" s="328"/>
      <c r="W95" s="328"/>
      <c r="X95" s="328"/>
      <c r="Y95" s="328"/>
      <c r="Z95" s="328"/>
      <c r="AA95" s="328"/>
      <c r="AB95" s="328"/>
      <c r="AC95" s="328"/>
      <c r="AD95" s="328"/>
      <c r="AE95" s="328"/>
      <c r="AF95" s="1135"/>
    </row>
    <row r="96" spans="1:32" x14ac:dyDescent="0.25">
      <c r="A96" s="327" t="s">
        <v>33</v>
      </c>
      <c r="B96" s="329">
        <f>H96+J96+L96+N96+P96+R96+T96+V96+X96+Z96+AB96+AD96</f>
        <v>500</v>
      </c>
      <c r="C96" s="328">
        <f>H96+J96+L96+N96+P96+R96</f>
        <v>0</v>
      </c>
      <c r="D96" s="329">
        <f>E96</f>
        <v>0</v>
      </c>
      <c r="E96" s="329">
        <f>I96+K96+M96+O96+Q96+S96+U96+W96+Y96+AA96+AC96+AE96</f>
        <v>0</v>
      </c>
      <c r="F96" s="337">
        <f>IFERROR(E96/B96%,0)</f>
        <v>0</v>
      </c>
      <c r="G96" s="337">
        <f>IFERROR(E96/C96%,0)</f>
        <v>0</v>
      </c>
      <c r="H96" s="328"/>
      <c r="I96" s="328"/>
      <c r="J96" s="328"/>
      <c r="K96" s="328"/>
      <c r="L96" s="328"/>
      <c r="M96" s="328"/>
      <c r="N96" s="328"/>
      <c r="O96" s="328"/>
      <c r="P96" s="328"/>
      <c r="Q96" s="328"/>
      <c r="R96" s="328"/>
      <c r="S96" s="328"/>
      <c r="T96" s="328"/>
      <c r="U96" s="328"/>
      <c r="V96" s="328"/>
      <c r="W96" s="328"/>
      <c r="X96" s="328"/>
      <c r="Y96" s="328"/>
      <c r="Z96" s="328">
        <v>500</v>
      </c>
      <c r="AA96" s="328"/>
      <c r="AB96" s="328"/>
      <c r="AC96" s="328"/>
      <c r="AD96" s="328"/>
      <c r="AE96" s="328"/>
      <c r="AF96" s="1135"/>
    </row>
    <row r="97" spans="1:32" ht="31.5" x14ac:dyDescent="0.25">
      <c r="A97" s="341" t="s">
        <v>174</v>
      </c>
      <c r="B97" s="329"/>
      <c r="C97" s="328"/>
      <c r="D97" s="329"/>
      <c r="E97" s="329"/>
      <c r="F97" s="337"/>
      <c r="G97" s="337"/>
      <c r="H97" s="328"/>
      <c r="I97" s="328"/>
      <c r="J97" s="328"/>
      <c r="K97" s="328"/>
      <c r="L97" s="328"/>
      <c r="M97" s="328"/>
      <c r="N97" s="328"/>
      <c r="O97" s="328"/>
      <c r="P97" s="328"/>
      <c r="Q97" s="328"/>
      <c r="R97" s="328"/>
      <c r="S97" s="328"/>
      <c r="T97" s="328"/>
      <c r="U97" s="328"/>
      <c r="V97" s="328"/>
      <c r="W97" s="328"/>
      <c r="X97" s="328"/>
      <c r="Y97" s="328"/>
      <c r="Z97" s="328"/>
      <c r="AA97" s="328"/>
      <c r="AB97" s="328"/>
      <c r="AC97" s="328"/>
      <c r="AD97" s="328"/>
      <c r="AE97" s="328"/>
      <c r="AF97" s="1135"/>
    </row>
    <row r="98" spans="1:32" x14ac:dyDescent="0.25">
      <c r="A98" s="327" t="s">
        <v>374</v>
      </c>
      <c r="B98" s="329"/>
      <c r="C98" s="328"/>
      <c r="D98" s="329"/>
      <c r="E98" s="329"/>
      <c r="F98" s="337"/>
      <c r="G98" s="337"/>
      <c r="H98" s="328"/>
      <c r="I98" s="328"/>
      <c r="J98" s="328"/>
      <c r="K98" s="328"/>
      <c r="L98" s="328"/>
      <c r="M98" s="328"/>
      <c r="N98" s="328"/>
      <c r="O98" s="328"/>
      <c r="P98" s="328"/>
      <c r="Q98" s="328"/>
      <c r="R98" s="328"/>
      <c r="S98" s="328"/>
      <c r="T98" s="328"/>
      <c r="U98" s="328"/>
      <c r="V98" s="328"/>
      <c r="W98" s="328"/>
      <c r="X98" s="328"/>
      <c r="Y98" s="328"/>
      <c r="Z98" s="328"/>
      <c r="AA98" s="328"/>
      <c r="AB98" s="328"/>
      <c r="AC98" s="328"/>
      <c r="AD98" s="328"/>
      <c r="AE98" s="328"/>
      <c r="AF98" s="1135"/>
    </row>
    <row r="99" spans="1:32" ht="63" x14ac:dyDescent="0.25">
      <c r="A99" s="861" t="s">
        <v>558</v>
      </c>
      <c r="B99" s="862"/>
      <c r="C99" s="863"/>
      <c r="D99" s="862"/>
      <c r="E99" s="862"/>
      <c r="F99" s="864"/>
      <c r="G99" s="864"/>
      <c r="H99" s="863"/>
      <c r="I99" s="863"/>
      <c r="J99" s="863"/>
      <c r="K99" s="863"/>
      <c r="L99" s="863"/>
      <c r="M99" s="863"/>
      <c r="N99" s="863"/>
      <c r="O99" s="863"/>
      <c r="P99" s="863"/>
      <c r="Q99" s="863"/>
      <c r="R99" s="863"/>
      <c r="S99" s="863"/>
      <c r="T99" s="863"/>
      <c r="U99" s="863"/>
      <c r="V99" s="863"/>
      <c r="W99" s="863"/>
      <c r="X99" s="863"/>
      <c r="Y99" s="863"/>
      <c r="Z99" s="863"/>
      <c r="AA99" s="863"/>
      <c r="AB99" s="863"/>
      <c r="AC99" s="863"/>
      <c r="AD99" s="863"/>
      <c r="AE99" s="865"/>
      <c r="AF99" s="860"/>
    </row>
    <row r="100" spans="1:32" x14ac:dyDescent="0.25">
      <c r="A100" s="327" t="s">
        <v>31</v>
      </c>
      <c r="B100" s="343">
        <f>B101+B102+B104</f>
        <v>3446.8599999999997</v>
      </c>
      <c r="C100" s="343">
        <f>C101+C102+C104</f>
        <v>0</v>
      </c>
      <c r="D100" s="343">
        <f>D101+D102+D104</f>
        <v>0</v>
      </c>
      <c r="E100" s="329">
        <f>E101+E102+E104</f>
        <v>0</v>
      </c>
      <c r="F100" s="362">
        <f>F102</f>
        <v>0</v>
      </c>
      <c r="G100" s="362">
        <f>G102</f>
        <v>0</v>
      </c>
      <c r="H100" s="328">
        <f t="shared" ref="H100:AE100" si="29">H101+H102+H104</f>
        <v>0</v>
      </c>
      <c r="I100" s="328">
        <f t="shared" si="29"/>
        <v>0</v>
      </c>
      <c r="J100" s="328">
        <f t="shared" si="29"/>
        <v>0</v>
      </c>
      <c r="K100" s="328">
        <f t="shared" si="29"/>
        <v>0</v>
      </c>
      <c r="L100" s="328">
        <f t="shared" si="29"/>
        <v>0</v>
      </c>
      <c r="M100" s="328">
        <f t="shared" si="29"/>
        <v>0</v>
      </c>
      <c r="N100" s="328">
        <f t="shared" si="29"/>
        <v>0</v>
      </c>
      <c r="O100" s="328">
        <f t="shared" si="29"/>
        <v>0</v>
      </c>
      <c r="P100" s="328">
        <f t="shared" si="29"/>
        <v>0</v>
      </c>
      <c r="Q100" s="328">
        <f t="shared" si="29"/>
        <v>0</v>
      </c>
      <c r="R100" s="328">
        <f t="shared" si="29"/>
        <v>0</v>
      </c>
      <c r="S100" s="328">
        <f t="shared" si="29"/>
        <v>0</v>
      </c>
      <c r="T100" s="328">
        <f t="shared" si="29"/>
        <v>0</v>
      </c>
      <c r="U100" s="328">
        <f t="shared" si="29"/>
        <v>0</v>
      </c>
      <c r="V100" s="328">
        <f t="shared" si="29"/>
        <v>3446.8599999999997</v>
      </c>
      <c r="W100" s="328">
        <f t="shared" si="29"/>
        <v>0</v>
      </c>
      <c r="X100" s="328">
        <f t="shared" si="29"/>
        <v>0</v>
      </c>
      <c r="Y100" s="328">
        <f t="shared" si="29"/>
        <v>0</v>
      </c>
      <c r="Z100" s="328">
        <f t="shared" si="29"/>
        <v>0</v>
      </c>
      <c r="AA100" s="328">
        <f t="shared" si="29"/>
        <v>0</v>
      </c>
      <c r="AB100" s="328">
        <f t="shared" si="29"/>
        <v>0</v>
      </c>
      <c r="AC100" s="328">
        <f t="shared" si="29"/>
        <v>0</v>
      </c>
      <c r="AD100" s="328">
        <f t="shared" si="29"/>
        <v>0</v>
      </c>
      <c r="AE100" s="328">
        <f t="shared" si="29"/>
        <v>0</v>
      </c>
      <c r="AF100" s="866" t="s">
        <v>559</v>
      </c>
    </row>
    <row r="101" spans="1:32" x14ac:dyDescent="0.25">
      <c r="A101" s="327" t="s">
        <v>32</v>
      </c>
      <c r="B101" s="329"/>
      <c r="C101" s="328"/>
      <c r="D101" s="329"/>
      <c r="E101" s="329"/>
      <c r="F101" s="337"/>
      <c r="G101" s="337"/>
      <c r="H101" s="328"/>
      <c r="I101" s="328"/>
      <c r="J101" s="328"/>
      <c r="K101" s="328"/>
      <c r="L101" s="328"/>
      <c r="M101" s="328"/>
      <c r="N101" s="328"/>
      <c r="O101" s="328"/>
      <c r="P101" s="328"/>
      <c r="Q101" s="328"/>
      <c r="R101" s="328"/>
      <c r="S101" s="328"/>
      <c r="T101" s="328"/>
      <c r="U101" s="328"/>
      <c r="V101" s="328"/>
      <c r="W101" s="328"/>
      <c r="X101" s="328"/>
      <c r="Y101" s="328"/>
      <c r="Z101" s="328"/>
      <c r="AA101" s="328"/>
      <c r="AB101" s="328"/>
      <c r="AC101" s="328"/>
      <c r="AD101" s="328"/>
      <c r="AE101" s="328"/>
      <c r="AF101" s="860"/>
    </row>
    <row r="102" spans="1:32" x14ac:dyDescent="0.25">
      <c r="A102" s="327" t="s">
        <v>33</v>
      </c>
      <c r="B102" s="329">
        <f>H102+J102+L102+N102+P102+R102+T102+V102+X102+Z102+AB102+AD102</f>
        <v>3446.8599999999997</v>
      </c>
      <c r="C102" s="328">
        <f>H102+J102+L102+N102+P102+R102</f>
        <v>0</v>
      </c>
      <c r="D102" s="329">
        <f>E102</f>
        <v>0</v>
      </c>
      <c r="E102" s="329">
        <f>I102+K102+M102+O102+Q102+S102+U102+W102+Y102+AA102+AC102+AE102</f>
        <v>0</v>
      </c>
      <c r="F102" s="337">
        <f>IFERROR(E102/B102%,0)</f>
        <v>0</v>
      </c>
      <c r="G102" s="337">
        <f>IFERROR(E102/C102%,0)</f>
        <v>0</v>
      </c>
      <c r="H102" s="328"/>
      <c r="I102" s="328"/>
      <c r="J102" s="328"/>
      <c r="K102" s="328"/>
      <c r="L102" s="328"/>
      <c r="M102" s="328"/>
      <c r="N102" s="328"/>
      <c r="O102" s="328"/>
      <c r="P102" s="328"/>
      <c r="Q102" s="328"/>
      <c r="R102" s="328"/>
      <c r="S102" s="328"/>
      <c r="T102" s="328"/>
      <c r="U102" s="328"/>
      <c r="V102" s="328">
        <f>2333.75+1113.11</f>
        <v>3446.8599999999997</v>
      </c>
      <c r="W102" s="328"/>
      <c r="X102" s="328"/>
      <c r="Y102" s="328"/>
      <c r="Z102" s="328"/>
      <c r="AA102" s="328"/>
      <c r="AB102" s="328"/>
      <c r="AC102" s="328"/>
      <c r="AD102" s="328"/>
      <c r="AE102" s="328"/>
      <c r="AF102" s="860"/>
    </row>
    <row r="103" spans="1:32" ht="31.5" x14ac:dyDescent="0.25">
      <c r="A103" s="341" t="s">
        <v>174</v>
      </c>
      <c r="B103" s="329"/>
      <c r="C103" s="328"/>
      <c r="D103" s="329"/>
      <c r="E103" s="329"/>
      <c r="F103" s="337"/>
      <c r="G103" s="337"/>
      <c r="H103" s="328"/>
      <c r="I103" s="328"/>
      <c r="J103" s="328"/>
      <c r="K103" s="328"/>
      <c r="L103" s="328"/>
      <c r="M103" s="328"/>
      <c r="N103" s="328"/>
      <c r="O103" s="328"/>
      <c r="P103" s="328"/>
      <c r="Q103" s="328"/>
      <c r="R103" s="328"/>
      <c r="S103" s="328"/>
      <c r="T103" s="328"/>
      <c r="U103" s="328"/>
      <c r="V103" s="328"/>
      <c r="W103" s="328"/>
      <c r="X103" s="328"/>
      <c r="Y103" s="328"/>
      <c r="Z103" s="328"/>
      <c r="AA103" s="328"/>
      <c r="AB103" s="328"/>
      <c r="AC103" s="328"/>
      <c r="AD103" s="328"/>
      <c r="AE103" s="328"/>
      <c r="AF103" s="860"/>
    </row>
    <row r="104" spans="1:32" x14ac:dyDescent="0.25">
      <c r="A104" s="327" t="s">
        <v>374</v>
      </c>
      <c r="B104" s="329"/>
      <c r="C104" s="328"/>
      <c r="D104" s="329"/>
      <c r="E104" s="329"/>
      <c r="F104" s="337"/>
      <c r="G104" s="337"/>
      <c r="H104" s="328"/>
      <c r="I104" s="328"/>
      <c r="J104" s="328"/>
      <c r="K104" s="328"/>
      <c r="L104" s="328"/>
      <c r="M104" s="328"/>
      <c r="N104" s="328"/>
      <c r="O104" s="328"/>
      <c r="P104" s="328"/>
      <c r="Q104" s="328"/>
      <c r="R104" s="328"/>
      <c r="S104" s="328"/>
      <c r="T104" s="328"/>
      <c r="U104" s="328"/>
      <c r="V104" s="328"/>
      <c r="W104" s="328"/>
      <c r="X104" s="328"/>
      <c r="Y104" s="328"/>
      <c r="Z104" s="328"/>
      <c r="AA104" s="328"/>
      <c r="AB104" s="328"/>
      <c r="AC104" s="328"/>
      <c r="AD104" s="328"/>
      <c r="AE104" s="328"/>
      <c r="AF104" s="860"/>
    </row>
    <row r="105" spans="1:32" x14ac:dyDescent="0.25">
      <c r="A105" s="1147" t="s">
        <v>412</v>
      </c>
      <c r="B105" s="1148"/>
      <c r="C105" s="1148"/>
      <c r="D105" s="1148"/>
      <c r="E105" s="1148"/>
      <c r="F105" s="1148"/>
      <c r="G105" s="1148"/>
      <c r="H105" s="1148"/>
      <c r="I105" s="1148"/>
      <c r="J105" s="1148"/>
      <c r="K105" s="1148"/>
      <c r="L105" s="1148"/>
      <c r="M105" s="1148"/>
      <c r="N105" s="1148"/>
      <c r="O105" s="1148"/>
      <c r="P105" s="1148"/>
      <c r="Q105" s="1148"/>
      <c r="R105" s="1148"/>
      <c r="S105" s="1148"/>
      <c r="T105" s="1148"/>
      <c r="U105" s="1148"/>
      <c r="V105" s="1148"/>
      <c r="W105" s="1148"/>
      <c r="X105" s="1148"/>
      <c r="Y105" s="1148"/>
      <c r="Z105" s="1148"/>
      <c r="AA105" s="1148"/>
      <c r="AB105" s="1148"/>
      <c r="AC105" s="1148"/>
      <c r="AD105" s="1148"/>
      <c r="AE105" s="1149"/>
      <c r="AF105" s="346"/>
    </row>
    <row r="106" spans="1:32" x14ac:dyDescent="0.25">
      <c r="A106" s="327" t="s">
        <v>31</v>
      </c>
      <c r="B106" s="343">
        <f>B107+B108+B110</f>
        <v>4262.7</v>
      </c>
      <c r="C106" s="343">
        <f>C107+C108+C110</f>
        <v>0</v>
      </c>
      <c r="D106" s="343">
        <f>D107+D108+D110</f>
        <v>0</v>
      </c>
      <c r="E106" s="329">
        <f>E107+E108+E110</f>
        <v>0</v>
      </c>
      <c r="F106" s="329">
        <f>F108</f>
        <v>0</v>
      </c>
      <c r="G106" s="329">
        <f>G108</f>
        <v>0</v>
      </c>
      <c r="H106" s="328">
        <f>H107+H108+H110</f>
        <v>0</v>
      </c>
      <c r="I106" s="328">
        <f t="shared" ref="I106:AE106" si="30">I107+I108+I110</f>
        <v>0</v>
      </c>
      <c r="J106" s="328">
        <f t="shared" si="30"/>
        <v>0</v>
      </c>
      <c r="K106" s="328">
        <f t="shared" si="30"/>
        <v>0</v>
      </c>
      <c r="L106" s="328">
        <f t="shared" si="30"/>
        <v>0</v>
      </c>
      <c r="M106" s="328">
        <f t="shared" si="30"/>
        <v>0</v>
      </c>
      <c r="N106" s="328">
        <f t="shared" si="30"/>
        <v>0</v>
      </c>
      <c r="O106" s="328">
        <f t="shared" si="30"/>
        <v>0</v>
      </c>
      <c r="P106" s="328">
        <f t="shared" si="30"/>
        <v>0</v>
      </c>
      <c r="Q106" s="328">
        <f t="shared" si="30"/>
        <v>0</v>
      </c>
      <c r="R106" s="328">
        <f t="shared" si="30"/>
        <v>0</v>
      </c>
      <c r="S106" s="328">
        <f t="shared" si="30"/>
        <v>0</v>
      </c>
      <c r="T106" s="328">
        <f t="shared" si="30"/>
        <v>0</v>
      </c>
      <c r="U106" s="328">
        <f t="shared" si="30"/>
        <v>0</v>
      </c>
      <c r="V106" s="328">
        <f t="shared" si="30"/>
        <v>0</v>
      </c>
      <c r="W106" s="328">
        <f t="shared" si="30"/>
        <v>0</v>
      </c>
      <c r="X106" s="328">
        <f t="shared" si="30"/>
        <v>30.5</v>
      </c>
      <c r="Y106" s="328">
        <f t="shared" si="30"/>
        <v>0</v>
      </c>
      <c r="Z106" s="328">
        <f t="shared" si="30"/>
        <v>0</v>
      </c>
      <c r="AA106" s="328">
        <f t="shared" si="30"/>
        <v>0</v>
      </c>
      <c r="AB106" s="328">
        <f t="shared" si="30"/>
        <v>0</v>
      </c>
      <c r="AC106" s="328">
        <f t="shared" si="30"/>
        <v>0</v>
      </c>
      <c r="AD106" s="328">
        <f t="shared" si="30"/>
        <v>4232.2</v>
      </c>
      <c r="AE106" s="328">
        <f t="shared" si="30"/>
        <v>0</v>
      </c>
      <c r="AF106" s="1136"/>
    </row>
    <row r="107" spans="1:32" x14ac:dyDescent="0.25">
      <c r="A107" s="327" t="s">
        <v>32</v>
      </c>
      <c r="B107" s="329"/>
      <c r="C107" s="328"/>
      <c r="D107" s="329"/>
      <c r="E107" s="329"/>
      <c r="F107" s="337"/>
      <c r="G107" s="337"/>
      <c r="H107" s="328"/>
      <c r="I107" s="328"/>
      <c r="J107" s="328"/>
      <c r="K107" s="328"/>
      <c r="L107" s="328"/>
      <c r="M107" s="328"/>
      <c r="N107" s="328"/>
      <c r="O107" s="328"/>
      <c r="P107" s="328"/>
      <c r="Q107" s="328"/>
      <c r="R107" s="328"/>
      <c r="S107" s="328"/>
      <c r="T107" s="328"/>
      <c r="U107" s="328"/>
      <c r="V107" s="328"/>
      <c r="W107" s="328"/>
      <c r="X107" s="328"/>
      <c r="Y107" s="328"/>
      <c r="Z107" s="328"/>
      <c r="AA107" s="328"/>
      <c r="AB107" s="328"/>
      <c r="AC107" s="328"/>
      <c r="AD107" s="328"/>
      <c r="AE107" s="328"/>
      <c r="AF107" s="1136"/>
    </row>
    <row r="108" spans="1:32" x14ac:dyDescent="0.25">
      <c r="A108" s="327" t="s">
        <v>33</v>
      </c>
      <c r="B108" s="329">
        <f>H108+J108+L108+N108+P108+R108+T108+V108+X108+Z108+AB108+AD108</f>
        <v>4262.7</v>
      </c>
      <c r="C108" s="328">
        <f>H108+J108+L108+N108+P108+R108</f>
        <v>0</v>
      </c>
      <c r="D108" s="329">
        <f>E108</f>
        <v>0</v>
      </c>
      <c r="E108" s="329">
        <f>I108+K108+M108+O108+Q108+S108+U108+W108+Y108+AA108+AC108+AE108</f>
        <v>0</v>
      </c>
      <c r="F108" s="337">
        <f>IFERROR(E108/B108%,0)</f>
        <v>0</v>
      </c>
      <c r="G108" s="337">
        <f>IFERROR(E108/C108%,0)</f>
        <v>0</v>
      </c>
      <c r="H108" s="328">
        <f t="shared" ref="H108:W108" si="31">H114</f>
        <v>0</v>
      </c>
      <c r="I108" s="328">
        <f t="shared" si="31"/>
        <v>0</v>
      </c>
      <c r="J108" s="328">
        <f t="shared" si="31"/>
        <v>0</v>
      </c>
      <c r="K108" s="328">
        <f t="shared" si="31"/>
        <v>0</v>
      </c>
      <c r="L108" s="328">
        <f t="shared" si="31"/>
        <v>0</v>
      </c>
      <c r="M108" s="328">
        <f t="shared" si="31"/>
        <v>0</v>
      </c>
      <c r="N108" s="328">
        <f t="shared" si="31"/>
        <v>0</v>
      </c>
      <c r="O108" s="328">
        <f t="shared" si="31"/>
        <v>0</v>
      </c>
      <c r="P108" s="328">
        <f t="shared" si="31"/>
        <v>0</v>
      </c>
      <c r="Q108" s="328">
        <f t="shared" si="31"/>
        <v>0</v>
      </c>
      <c r="R108" s="328">
        <f t="shared" si="31"/>
        <v>0</v>
      </c>
      <c r="S108" s="328">
        <f t="shared" si="31"/>
        <v>0</v>
      </c>
      <c r="T108" s="328">
        <f t="shared" si="31"/>
        <v>0</v>
      </c>
      <c r="U108" s="328">
        <f t="shared" si="31"/>
        <v>0</v>
      </c>
      <c r="V108" s="328">
        <f t="shared" si="31"/>
        <v>0</v>
      </c>
      <c r="W108" s="328">
        <f t="shared" si="31"/>
        <v>0</v>
      </c>
      <c r="X108" s="328">
        <f t="shared" ref="X108:AE108" si="32">X114</f>
        <v>30.5</v>
      </c>
      <c r="Y108" s="328">
        <f t="shared" si="32"/>
        <v>0</v>
      </c>
      <c r="Z108" s="328">
        <f t="shared" si="32"/>
        <v>0</v>
      </c>
      <c r="AA108" s="328">
        <f t="shared" si="32"/>
        <v>0</v>
      </c>
      <c r="AB108" s="328">
        <f t="shared" si="32"/>
        <v>0</v>
      </c>
      <c r="AC108" s="328">
        <f t="shared" si="32"/>
        <v>0</v>
      </c>
      <c r="AD108" s="328">
        <f t="shared" si="32"/>
        <v>4232.2</v>
      </c>
      <c r="AE108" s="328">
        <f t="shared" si="32"/>
        <v>0</v>
      </c>
      <c r="AF108" s="1136"/>
    </row>
    <row r="109" spans="1:32" ht="31.5" x14ac:dyDescent="0.25">
      <c r="A109" s="341" t="s">
        <v>174</v>
      </c>
      <c r="B109" s="329"/>
      <c r="C109" s="328"/>
      <c r="D109" s="329"/>
      <c r="E109" s="329"/>
      <c r="F109" s="337"/>
      <c r="G109" s="337"/>
      <c r="H109" s="328"/>
      <c r="I109" s="328"/>
      <c r="J109" s="328"/>
      <c r="K109" s="328"/>
      <c r="L109" s="328"/>
      <c r="M109" s="328"/>
      <c r="N109" s="328"/>
      <c r="O109" s="328"/>
      <c r="P109" s="328"/>
      <c r="Q109" s="328"/>
      <c r="R109" s="328"/>
      <c r="S109" s="328"/>
      <c r="T109" s="328"/>
      <c r="U109" s="328"/>
      <c r="V109" s="328"/>
      <c r="W109" s="328"/>
      <c r="X109" s="328"/>
      <c r="Y109" s="328"/>
      <c r="Z109" s="328"/>
      <c r="AA109" s="328"/>
      <c r="AB109" s="328"/>
      <c r="AC109" s="328"/>
      <c r="AD109" s="328"/>
      <c r="AE109" s="328"/>
      <c r="AF109" s="1136"/>
    </row>
    <row r="110" spans="1:32" x14ac:dyDescent="0.25">
      <c r="A110" s="327" t="s">
        <v>374</v>
      </c>
      <c r="B110" s="329"/>
      <c r="C110" s="328"/>
      <c r="D110" s="329"/>
      <c r="E110" s="329"/>
      <c r="F110" s="337"/>
      <c r="G110" s="337"/>
      <c r="H110" s="328"/>
      <c r="I110" s="328"/>
      <c r="J110" s="328"/>
      <c r="K110" s="328"/>
      <c r="L110" s="328"/>
      <c r="M110" s="328"/>
      <c r="N110" s="328"/>
      <c r="O110" s="328"/>
      <c r="P110" s="328"/>
      <c r="Q110" s="328"/>
      <c r="R110" s="328"/>
      <c r="S110" s="328"/>
      <c r="T110" s="328"/>
      <c r="U110" s="328"/>
      <c r="V110" s="328"/>
      <c r="W110" s="328"/>
      <c r="X110" s="328"/>
      <c r="Y110" s="328"/>
      <c r="Z110" s="328"/>
      <c r="AA110" s="328"/>
      <c r="AB110" s="328"/>
      <c r="AC110" s="328"/>
      <c r="AD110" s="328"/>
      <c r="AE110" s="328"/>
      <c r="AF110" s="1136"/>
    </row>
    <row r="111" spans="1:32" x14ac:dyDescent="0.25">
      <c r="A111" s="1151" t="s">
        <v>413</v>
      </c>
      <c r="B111" s="1152"/>
      <c r="C111" s="1152"/>
      <c r="D111" s="1152"/>
      <c r="E111" s="1152"/>
      <c r="F111" s="1152"/>
      <c r="G111" s="1152"/>
      <c r="H111" s="1152"/>
      <c r="I111" s="1152"/>
      <c r="J111" s="1152"/>
      <c r="K111" s="1152"/>
      <c r="L111" s="1152"/>
      <c r="M111" s="1152"/>
      <c r="N111" s="1152"/>
      <c r="O111" s="1152"/>
      <c r="P111" s="1152"/>
      <c r="Q111" s="1152"/>
      <c r="R111" s="1152"/>
      <c r="S111" s="1152"/>
      <c r="T111" s="1152"/>
      <c r="U111" s="1152"/>
      <c r="V111" s="1152"/>
      <c r="W111" s="1152"/>
      <c r="X111" s="1152"/>
      <c r="Y111" s="1152"/>
      <c r="Z111" s="1152"/>
      <c r="AA111" s="1152"/>
      <c r="AB111" s="1152"/>
      <c r="AC111" s="1152"/>
      <c r="AD111" s="1152"/>
      <c r="AE111" s="1153"/>
      <c r="AF111" s="346"/>
    </row>
    <row r="112" spans="1:32" x14ac:dyDescent="0.25">
      <c r="A112" s="327" t="s">
        <v>31</v>
      </c>
      <c r="B112" s="343">
        <f>B113+B114+B116</f>
        <v>4262.7</v>
      </c>
      <c r="C112" s="343">
        <f>C113+C114+C116</f>
        <v>0</v>
      </c>
      <c r="D112" s="343">
        <f>D113+D114+D116</f>
        <v>0</v>
      </c>
      <c r="E112" s="343">
        <f>E113+E114+E116</f>
        <v>0</v>
      </c>
      <c r="F112" s="329">
        <f>F114</f>
        <v>0</v>
      </c>
      <c r="G112" s="329">
        <f>G114</f>
        <v>0</v>
      </c>
      <c r="H112" s="328">
        <f>H113+H114+H116</f>
        <v>0</v>
      </c>
      <c r="I112" s="328">
        <f t="shared" ref="I112:AE112" si="33">I113+I114+I116</f>
        <v>0</v>
      </c>
      <c r="J112" s="328">
        <f t="shared" si="33"/>
        <v>0</v>
      </c>
      <c r="K112" s="328">
        <f t="shared" si="33"/>
        <v>0</v>
      </c>
      <c r="L112" s="328">
        <f t="shared" si="33"/>
        <v>0</v>
      </c>
      <c r="M112" s="328">
        <f t="shared" si="33"/>
        <v>0</v>
      </c>
      <c r="N112" s="328">
        <f t="shared" si="33"/>
        <v>0</v>
      </c>
      <c r="O112" s="328">
        <f t="shared" si="33"/>
        <v>0</v>
      </c>
      <c r="P112" s="328">
        <f t="shared" si="33"/>
        <v>0</v>
      </c>
      <c r="Q112" s="328">
        <f t="shared" si="33"/>
        <v>0</v>
      </c>
      <c r="R112" s="328">
        <f t="shared" si="33"/>
        <v>0</v>
      </c>
      <c r="S112" s="328">
        <f t="shared" si="33"/>
        <v>0</v>
      </c>
      <c r="T112" s="328">
        <f t="shared" si="33"/>
        <v>0</v>
      </c>
      <c r="U112" s="328">
        <f t="shared" si="33"/>
        <v>0</v>
      </c>
      <c r="V112" s="328">
        <f t="shared" si="33"/>
        <v>0</v>
      </c>
      <c r="W112" s="328">
        <f t="shared" si="33"/>
        <v>0</v>
      </c>
      <c r="X112" s="328">
        <f t="shared" si="33"/>
        <v>30.5</v>
      </c>
      <c r="Y112" s="328">
        <f t="shared" si="33"/>
        <v>0</v>
      </c>
      <c r="Z112" s="328">
        <f t="shared" si="33"/>
        <v>0</v>
      </c>
      <c r="AA112" s="328">
        <f t="shared" si="33"/>
        <v>0</v>
      </c>
      <c r="AB112" s="328">
        <f t="shared" si="33"/>
        <v>0</v>
      </c>
      <c r="AC112" s="328">
        <f t="shared" si="33"/>
        <v>0</v>
      </c>
      <c r="AD112" s="328">
        <f t="shared" si="33"/>
        <v>4232.2</v>
      </c>
      <c r="AE112" s="328">
        <f t="shared" si="33"/>
        <v>0</v>
      </c>
      <c r="AF112" s="1135" t="s">
        <v>606</v>
      </c>
    </row>
    <row r="113" spans="1:32" x14ac:dyDescent="0.25">
      <c r="A113" s="327" t="s">
        <v>32</v>
      </c>
      <c r="B113" s="329"/>
      <c r="C113" s="328"/>
      <c r="D113" s="329"/>
      <c r="E113" s="329"/>
      <c r="F113" s="337"/>
      <c r="G113" s="337"/>
      <c r="H113" s="328"/>
      <c r="I113" s="328"/>
      <c r="J113" s="328"/>
      <c r="K113" s="328"/>
      <c r="L113" s="328"/>
      <c r="M113" s="328"/>
      <c r="N113" s="328"/>
      <c r="O113" s="328"/>
      <c r="P113" s="328"/>
      <c r="Q113" s="328"/>
      <c r="R113" s="328"/>
      <c r="S113" s="328"/>
      <c r="T113" s="328"/>
      <c r="U113" s="328"/>
      <c r="V113" s="328"/>
      <c r="W113" s="328"/>
      <c r="X113" s="328"/>
      <c r="Y113" s="328"/>
      <c r="Z113" s="328"/>
      <c r="AA113" s="328"/>
      <c r="AB113" s="328"/>
      <c r="AC113" s="328"/>
      <c r="AD113" s="328"/>
      <c r="AE113" s="328"/>
      <c r="AF113" s="1135"/>
    </row>
    <row r="114" spans="1:32" x14ac:dyDescent="0.25">
      <c r="A114" s="327" t="s">
        <v>33</v>
      </c>
      <c r="B114" s="329">
        <f>H114+J114+L114+N114+P114+R114+T114+V114+X114+Z114+AB114+AD114</f>
        <v>4262.7</v>
      </c>
      <c r="C114" s="328">
        <f>H114+J114+L114+N114+P114+R114</f>
        <v>0</v>
      </c>
      <c r="D114" s="329">
        <f>E114</f>
        <v>0</v>
      </c>
      <c r="E114" s="329">
        <f>I114+K114+M114+O114+Q114+S114+U114+W114+Y114+AA114+AC114+AE114</f>
        <v>0</v>
      </c>
      <c r="F114" s="337">
        <f>IFERROR(E114/B114%,0)</f>
        <v>0</v>
      </c>
      <c r="G114" s="337">
        <f>IFERROR(E114/C114%,0)</f>
        <v>0</v>
      </c>
      <c r="H114" s="328"/>
      <c r="I114" s="328"/>
      <c r="J114" s="328"/>
      <c r="K114" s="328"/>
      <c r="L114" s="328"/>
      <c r="M114" s="328"/>
      <c r="N114" s="328"/>
      <c r="O114" s="328"/>
      <c r="P114" s="328"/>
      <c r="Q114" s="328"/>
      <c r="R114" s="328"/>
      <c r="S114" s="328"/>
      <c r="T114" s="328"/>
      <c r="U114" s="328"/>
      <c r="V114" s="328"/>
      <c r="W114" s="328"/>
      <c r="X114" s="328">
        <v>30.5</v>
      </c>
      <c r="Y114" s="328"/>
      <c r="Z114" s="328"/>
      <c r="AA114" s="328"/>
      <c r="AB114" s="328"/>
      <c r="AC114" s="328"/>
      <c r="AD114" s="328">
        <v>4232.2</v>
      </c>
      <c r="AE114" s="328"/>
      <c r="AF114" s="1135"/>
    </row>
    <row r="115" spans="1:32" ht="31.5" x14ac:dyDescent="0.25">
      <c r="A115" s="341" t="s">
        <v>174</v>
      </c>
      <c r="B115" s="329"/>
      <c r="C115" s="328"/>
      <c r="D115" s="329"/>
      <c r="E115" s="329"/>
      <c r="F115" s="337"/>
      <c r="G115" s="337"/>
      <c r="H115" s="328"/>
      <c r="I115" s="328"/>
      <c r="J115" s="328"/>
      <c r="K115" s="328"/>
      <c r="L115" s="328"/>
      <c r="M115" s="328"/>
      <c r="N115" s="328"/>
      <c r="O115" s="328"/>
      <c r="P115" s="328"/>
      <c r="Q115" s="328"/>
      <c r="R115" s="328"/>
      <c r="S115" s="328"/>
      <c r="T115" s="328"/>
      <c r="U115" s="328"/>
      <c r="V115" s="328"/>
      <c r="W115" s="328"/>
      <c r="X115" s="328"/>
      <c r="Y115" s="328"/>
      <c r="Z115" s="328"/>
      <c r="AA115" s="328"/>
      <c r="AB115" s="328"/>
      <c r="AC115" s="328"/>
      <c r="AD115" s="328"/>
      <c r="AE115" s="328"/>
      <c r="AF115" s="1135"/>
    </row>
    <row r="116" spans="1:32" x14ac:dyDescent="0.25">
      <c r="A116" s="327" t="s">
        <v>374</v>
      </c>
      <c r="B116" s="329"/>
      <c r="C116" s="328"/>
      <c r="D116" s="329"/>
      <c r="E116" s="329"/>
      <c r="F116" s="337"/>
      <c r="G116" s="337"/>
      <c r="H116" s="328"/>
      <c r="I116" s="328"/>
      <c r="J116" s="328"/>
      <c r="K116" s="328"/>
      <c r="L116" s="328"/>
      <c r="M116" s="328"/>
      <c r="N116" s="328"/>
      <c r="O116" s="328"/>
      <c r="P116" s="328"/>
      <c r="Q116" s="328"/>
      <c r="R116" s="328"/>
      <c r="S116" s="328"/>
      <c r="T116" s="328"/>
      <c r="U116" s="328"/>
      <c r="V116" s="328"/>
      <c r="W116" s="328"/>
      <c r="X116" s="328"/>
      <c r="Y116" s="328"/>
      <c r="Z116" s="328"/>
      <c r="AA116" s="328"/>
      <c r="AB116" s="328"/>
      <c r="AC116" s="328"/>
      <c r="AD116" s="328"/>
      <c r="AE116" s="328"/>
      <c r="AF116" s="1135"/>
    </row>
    <row r="117" spans="1:32" x14ac:dyDescent="0.25">
      <c r="A117" s="330" t="s">
        <v>35</v>
      </c>
      <c r="B117" s="645">
        <f>B118+B119+B121</f>
        <v>841525.19100000011</v>
      </c>
      <c r="C117" s="645">
        <f>C118+C119+C121</f>
        <v>84521.479000000021</v>
      </c>
      <c r="D117" s="645">
        <f>D118+D119+D121</f>
        <v>126845.12000000001</v>
      </c>
      <c r="E117" s="645">
        <f>E118+E119+E121</f>
        <v>126845.12000000001</v>
      </c>
      <c r="F117" s="645">
        <f>E117/B117*100</f>
        <v>15.073240986317662</v>
      </c>
      <c r="G117" s="645">
        <f>E117/C117*100</f>
        <v>150.07442072801399</v>
      </c>
      <c r="H117" s="645">
        <f>H118+H119+H121</f>
        <v>33912.783000000003</v>
      </c>
      <c r="I117" s="645">
        <f t="shared" ref="I117:AE117" si="34">I118+I119+I121</f>
        <v>17885.599999999999</v>
      </c>
      <c r="J117" s="645">
        <f t="shared" si="34"/>
        <v>27118.280000000002</v>
      </c>
      <c r="K117" s="645">
        <f t="shared" si="34"/>
        <v>30278.300000000003</v>
      </c>
      <c r="L117" s="645">
        <f t="shared" si="34"/>
        <v>23490.416000000005</v>
      </c>
      <c r="M117" s="645">
        <f t="shared" si="34"/>
        <v>19182.32</v>
      </c>
      <c r="N117" s="645">
        <f t="shared" si="34"/>
        <v>28632.109000000004</v>
      </c>
      <c r="O117" s="645">
        <f t="shared" si="34"/>
        <v>20242.2</v>
      </c>
      <c r="P117" s="645">
        <f t="shared" si="34"/>
        <v>18063.654000000002</v>
      </c>
      <c r="Q117" s="645">
        <f t="shared" si="34"/>
        <v>20171.210000000003</v>
      </c>
      <c r="R117" s="645">
        <f t="shared" si="34"/>
        <v>17270.697</v>
      </c>
      <c r="S117" s="645">
        <f t="shared" si="34"/>
        <v>19085.489999999998</v>
      </c>
      <c r="T117" s="645">
        <f t="shared" si="34"/>
        <v>36561.188999999998</v>
      </c>
      <c r="U117" s="645">
        <f t="shared" si="34"/>
        <v>0</v>
      </c>
      <c r="V117" s="645">
        <f t="shared" si="34"/>
        <v>15524.217000000001</v>
      </c>
      <c r="W117" s="645">
        <f t="shared" si="34"/>
        <v>0</v>
      </c>
      <c r="X117" s="645">
        <f t="shared" si="34"/>
        <v>349676.783</v>
      </c>
      <c r="Y117" s="645">
        <f t="shared" si="34"/>
        <v>0</v>
      </c>
      <c r="Z117" s="645">
        <f t="shared" si="34"/>
        <v>206866.52600000001</v>
      </c>
      <c r="AA117" s="645">
        <f t="shared" si="34"/>
        <v>0</v>
      </c>
      <c r="AB117" s="645">
        <f t="shared" si="34"/>
        <v>23116.414999999997</v>
      </c>
      <c r="AC117" s="645">
        <f t="shared" si="34"/>
        <v>0</v>
      </c>
      <c r="AD117" s="645">
        <f t="shared" si="34"/>
        <v>61292.122000000003</v>
      </c>
      <c r="AE117" s="645">
        <f t="shared" si="34"/>
        <v>0</v>
      </c>
      <c r="AF117" s="1128"/>
    </row>
    <row r="118" spans="1:32" x14ac:dyDescent="0.25">
      <c r="A118" s="327" t="s">
        <v>32</v>
      </c>
      <c r="B118" s="646">
        <f>H118+J118+L118+N118+P118+R118+T118+V118+X118+Z118+AB118+AD118</f>
        <v>210752.09600000002</v>
      </c>
      <c r="C118" s="646">
        <f>H118+J118+L118</f>
        <v>0</v>
      </c>
      <c r="D118" s="646">
        <f t="shared" ref="D118:E121" si="35">D17+D53</f>
        <v>0</v>
      </c>
      <c r="E118" s="646">
        <f t="shared" si="35"/>
        <v>0</v>
      </c>
      <c r="F118" s="343">
        <f>IFERROR(E118/B118*100,0)</f>
        <v>0</v>
      </c>
      <c r="G118" s="343">
        <f>IFERROR(E118/C118*100,0)</f>
        <v>0</v>
      </c>
      <c r="H118" s="646">
        <f t="shared" ref="H118:AE118" si="36">H17+H53+H107</f>
        <v>0</v>
      </c>
      <c r="I118" s="646">
        <f t="shared" si="36"/>
        <v>0</v>
      </c>
      <c r="J118" s="646">
        <f t="shared" si="36"/>
        <v>0</v>
      </c>
      <c r="K118" s="646">
        <f t="shared" si="36"/>
        <v>0</v>
      </c>
      <c r="L118" s="646">
        <f t="shared" si="36"/>
        <v>0</v>
      </c>
      <c r="M118" s="646">
        <f t="shared" si="36"/>
        <v>0</v>
      </c>
      <c r="N118" s="646">
        <f t="shared" si="36"/>
        <v>0</v>
      </c>
      <c r="O118" s="646">
        <f t="shared" si="36"/>
        <v>0</v>
      </c>
      <c r="P118" s="646">
        <f t="shared" si="36"/>
        <v>0</v>
      </c>
      <c r="Q118" s="646">
        <f t="shared" si="36"/>
        <v>0</v>
      </c>
      <c r="R118" s="646">
        <f t="shared" si="36"/>
        <v>0</v>
      </c>
      <c r="S118" s="646">
        <f t="shared" si="36"/>
        <v>0</v>
      </c>
      <c r="T118" s="646">
        <f t="shared" si="36"/>
        <v>5612.58</v>
      </c>
      <c r="U118" s="646">
        <f t="shared" si="36"/>
        <v>0</v>
      </c>
      <c r="V118" s="646">
        <f t="shared" si="36"/>
        <v>0</v>
      </c>
      <c r="W118" s="646">
        <f t="shared" si="36"/>
        <v>0</v>
      </c>
      <c r="X118" s="646">
        <f t="shared" si="36"/>
        <v>112862.75</v>
      </c>
      <c r="Y118" s="646">
        <f t="shared" si="36"/>
        <v>0</v>
      </c>
      <c r="Z118" s="646">
        <f t="shared" si="36"/>
        <v>76501.275999999998</v>
      </c>
      <c r="AA118" s="646">
        <f t="shared" si="36"/>
        <v>0</v>
      </c>
      <c r="AB118" s="646">
        <f t="shared" si="36"/>
        <v>573.66999999999996</v>
      </c>
      <c r="AC118" s="646">
        <f t="shared" si="36"/>
        <v>0</v>
      </c>
      <c r="AD118" s="646">
        <f t="shared" si="36"/>
        <v>15201.82</v>
      </c>
      <c r="AE118" s="646">
        <f t="shared" si="36"/>
        <v>0</v>
      </c>
      <c r="AF118" s="1129"/>
    </row>
    <row r="119" spans="1:32" x14ac:dyDescent="0.25">
      <c r="A119" s="327" t="s">
        <v>33</v>
      </c>
      <c r="B119" s="646">
        <f>H119+J119+L119+N119+P119+R119+T119+V119+X119+Z119+AB119+AD119</f>
        <v>274165.33500000002</v>
      </c>
      <c r="C119" s="646">
        <f>H119+J119+L119</f>
        <v>84521.479000000021</v>
      </c>
      <c r="D119" s="646">
        <f t="shared" si="35"/>
        <v>126845.12000000001</v>
      </c>
      <c r="E119" s="646">
        <f t="shared" si="35"/>
        <v>126845.12000000001</v>
      </c>
      <c r="F119" s="343">
        <f>IFERROR(E119/B119*100,0)</f>
        <v>46.265921984630189</v>
      </c>
      <c r="G119" s="343">
        <f>IFERROR(E119/C119*100,0)</f>
        <v>150.07442072801399</v>
      </c>
      <c r="H119" s="646">
        <f t="shared" ref="H119:AE119" si="37">H18+H54+H108</f>
        <v>33912.783000000003</v>
      </c>
      <c r="I119" s="646">
        <f t="shared" si="37"/>
        <v>17885.599999999999</v>
      </c>
      <c r="J119" s="646">
        <f t="shared" si="37"/>
        <v>27118.280000000002</v>
      </c>
      <c r="K119" s="646">
        <f t="shared" si="37"/>
        <v>30278.300000000003</v>
      </c>
      <c r="L119" s="646">
        <f t="shared" si="37"/>
        <v>23490.416000000005</v>
      </c>
      <c r="M119" s="646">
        <f t="shared" si="37"/>
        <v>19182.32</v>
      </c>
      <c r="N119" s="646">
        <f t="shared" si="37"/>
        <v>28632.109000000004</v>
      </c>
      <c r="O119" s="646">
        <f t="shared" si="37"/>
        <v>20242.2</v>
      </c>
      <c r="P119" s="646">
        <f t="shared" si="37"/>
        <v>18063.654000000002</v>
      </c>
      <c r="Q119" s="646">
        <f t="shared" si="37"/>
        <v>20171.210000000003</v>
      </c>
      <c r="R119" s="646">
        <f t="shared" si="37"/>
        <v>17270.697</v>
      </c>
      <c r="S119" s="646">
        <f t="shared" si="37"/>
        <v>19085.489999999998</v>
      </c>
      <c r="T119" s="646">
        <f t="shared" si="37"/>
        <v>19723.449000000004</v>
      </c>
      <c r="U119" s="646">
        <f t="shared" si="37"/>
        <v>0</v>
      </c>
      <c r="V119" s="646">
        <f t="shared" si="37"/>
        <v>15524.217000000001</v>
      </c>
      <c r="W119" s="646">
        <f t="shared" si="37"/>
        <v>0</v>
      </c>
      <c r="X119" s="646">
        <f t="shared" si="37"/>
        <v>11088.533000000001</v>
      </c>
      <c r="Y119" s="646">
        <f t="shared" si="37"/>
        <v>0</v>
      </c>
      <c r="Z119" s="646">
        <f t="shared" si="37"/>
        <v>31700.5</v>
      </c>
      <c r="AA119" s="646">
        <f t="shared" si="37"/>
        <v>0</v>
      </c>
      <c r="AB119" s="646">
        <f t="shared" si="37"/>
        <v>21395.395</v>
      </c>
      <c r="AC119" s="646">
        <f t="shared" si="37"/>
        <v>0</v>
      </c>
      <c r="AD119" s="646">
        <f t="shared" si="37"/>
        <v>26245.302</v>
      </c>
      <c r="AE119" s="646">
        <f t="shared" si="37"/>
        <v>0</v>
      </c>
      <c r="AF119" s="1129"/>
    </row>
    <row r="120" spans="1:32" ht="31.5" x14ac:dyDescent="0.25">
      <c r="A120" s="341" t="s">
        <v>174</v>
      </c>
      <c r="B120" s="646">
        <f>H120+J120+L120+N120+P120+R120+T120+V120+X120+Z120+AB120+AD120</f>
        <v>0</v>
      </c>
      <c r="C120" s="646">
        <f>H120+J120+L120</f>
        <v>0</v>
      </c>
      <c r="D120" s="646">
        <f t="shared" si="35"/>
        <v>0</v>
      </c>
      <c r="E120" s="646">
        <f t="shared" si="35"/>
        <v>0</v>
      </c>
      <c r="F120" s="343">
        <f>IFERROR(E120/B120*100,0)</f>
        <v>0</v>
      </c>
      <c r="G120" s="343">
        <f>IFERROR(E120/C120*100,0)</f>
        <v>0</v>
      </c>
      <c r="H120" s="646">
        <f t="shared" ref="H120:AE120" si="38">H19+H55+H109</f>
        <v>0</v>
      </c>
      <c r="I120" s="646">
        <f t="shared" si="38"/>
        <v>0</v>
      </c>
      <c r="J120" s="646">
        <f t="shared" si="38"/>
        <v>0</v>
      </c>
      <c r="K120" s="646">
        <f t="shared" si="38"/>
        <v>0</v>
      </c>
      <c r="L120" s="646">
        <f t="shared" si="38"/>
        <v>0</v>
      </c>
      <c r="M120" s="646">
        <f t="shared" si="38"/>
        <v>0</v>
      </c>
      <c r="N120" s="646">
        <f t="shared" si="38"/>
        <v>0</v>
      </c>
      <c r="O120" s="646">
        <f t="shared" si="38"/>
        <v>0</v>
      </c>
      <c r="P120" s="646">
        <f t="shared" si="38"/>
        <v>0</v>
      </c>
      <c r="Q120" s="646">
        <f t="shared" si="38"/>
        <v>0</v>
      </c>
      <c r="R120" s="646">
        <f t="shared" si="38"/>
        <v>0</v>
      </c>
      <c r="S120" s="646">
        <f t="shared" si="38"/>
        <v>0</v>
      </c>
      <c r="T120" s="646">
        <f t="shared" si="38"/>
        <v>0</v>
      </c>
      <c r="U120" s="646">
        <f t="shared" si="38"/>
        <v>0</v>
      </c>
      <c r="V120" s="646">
        <f t="shared" si="38"/>
        <v>0</v>
      </c>
      <c r="W120" s="646">
        <f t="shared" si="38"/>
        <v>0</v>
      </c>
      <c r="X120" s="646">
        <f t="shared" si="38"/>
        <v>0</v>
      </c>
      <c r="Y120" s="646">
        <f t="shared" si="38"/>
        <v>0</v>
      </c>
      <c r="Z120" s="646">
        <f t="shared" si="38"/>
        <v>0</v>
      </c>
      <c r="AA120" s="646">
        <f t="shared" si="38"/>
        <v>0</v>
      </c>
      <c r="AB120" s="646">
        <f t="shared" si="38"/>
        <v>0</v>
      </c>
      <c r="AC120" s="646">
        <f t="shared" si="38"/>
        <v>0</v>
      </c>
      <c r="AD120" s="646">
        <f t="shared" si="38"/>
        <v>0</v>
      </c>
      <c r="AE120" s="646">
        <f t="shared" si="38"/>
        <v>0</v>
      </c>
      <c r="AF120" s="1129"/>
    </row>
    <row r="121" spans="1:32" x14ac:dyDescent="0.25">
      <c r="A121" s="327" t="s">
        <v>374</v>
      </c>
      <c r="B121" s="646">
        <f>H121+J121+L121+N121+P121+R121+T121+V121+X121+Z121+AB121+AD121</f>
        <v>356607.76</v>
      </c>
      <c r="C121" s="646">
        <f>H121+J121+L121</f>
        <v>0</v>
      </c>
      <c r="D121" s="646">
        <f t="shared" si="35"/>
        <v>0</v>
      </c>
      <c r="E121" s="646">
        <f t="shared" si="35"/>
        <v>0</v>
      </c>
      <c r="F121" s="343">
        <f>IFERROR(E121/B121*100,0)</f>
        <v>0</v>
      </c>
      <c r="G121" s="343">
        <f>IFERROR(E121/C121*100,0)</f>
        <v>0</v>
      </c>
      <c r="H121" s="646">
        <f t="shared" ref="H121:AE121" si="39">H20+H56+H110</f>
        <v>0</v>
      </c>
      <c r="I121" s="646">
        <f t="shared" si="39"/>
        <v>0</v>
      </c>
      <c r="J121" s="646">
        <f t="shared" si="39"/>
        <v>0</v>
      </c>
      <c r="K121" s="646">
        <f t="shared" si="39"/>
        <v>0</v>
      </c>
      <c r="L121" s="646">
        <f t="shared" si="39"/>
        <v>0</v>
      </c>
      <c r="M121" s="646">
        <f t="shared" si="39"/>
        <v>0</v>
      </c>
      <c r="N121" s="646">
        <f t="shared" si="39"/>
        <v>0</v>
      </c>
      <c r="O121" s="646">
        <f t="shared" si="39"/>
        <v>0</v>
      </c>
      <c r="P121" s="646">
        <f t="shared" si="39"/>
        <v>0</v>
      </c>
      <c r="Q121" s="646">
        <f t="shared" si="39"/>
        <v>0</v>
      </c>
      <c r="R121" s="646">
        <f t="shared" si="39"/>
        <v>0</v>
      </c>
      <c r="S121" s="646">
        <f t="shared" si="39"/>
        <v>0</v>
      </c>
      <c r="T121" s="646">
        <f t="shared" si="39"/>
        <v>11225.16</v>
      </c>
      <c r="U121" s="646">
        <f t="shared" si="39"/>
        <v>0</v>
      </c>
      <c r="V121" s="646">
        <f t="shared" si="39"/>
        <v>0</v>
      </c>
      <c r="W121" s="646">
        <f t="shared" si="39"/>
        <v>0</v>
      </c>
      <c r="X121" s="646">
        <f t="shared" si="39"/>
        <v>225725.5</v>
      </c>
      <c r="Y121" s="646">
        <f t="shared" si="39"/>
        <v>0</v>
      </c>
      <c r="Z121" s="646">
        <f t="shared" si="39"/>
        <v>98664.75</v>
      </c>
      <c r="AA121" s="646">
        <f t="shared" si="39"/>
        <v>0</v>
      </c>
      <c r="AB121" s="646">
        <f t="shared" si="39"/>
        <v>1147.3499999999999</v>
      </c>
      <c r="AC121" s="646">
        <f t="shared" si="39"/>
        <v>0</v>
      </c>
      <c r="AD121" s="646">
        <f t="shared" si="39"/>
        <v>19845</v>
      </c>
      <c r="AE121" s="646">
        <f t="shared" si="39"/>
        <v>0</v>
      </c>
      <c r="AF121" s="1130"/>
    </row>
    <row r="122" spans="1:32" x14ac:dyDescent="0.25">
      <c r="A122" s="1144" t="s">
        <v>414</v>
      </c>
      <c r="B122" s="1145"/>
      <c r="C122" s="1145"/>
      <c r="D122" s="1145"/>
      <c r="E122" s="1145"/>
      <c r="F122" s="1145"/>
      <c r="G122" s="1145"/>
      <c r="H122" s="1145"/>
      <c r="I122" s="1145"/>
      <c r="J122" s="1145"/>
      <c r="K122" s="1145"/>
      <c r="L122" s="1145"/>
      <c r="M122" s="1145"/>
      <c r="N122" s="1145"/>
      <c r="O122" s="1145"/>
      <c r="P122" s="1145"/>
      <c r="Q122" s="1145"/>
      <c r="R122" s="1145"/>
      <c r="S122" s="1145"/>
      <c r="T122" s="1145"/>
      <c r="U122" s="1145"/>
      <c r="V122" s="1145"/>
      <c r="W122" s="1145"/>
      <c r="X122" s="1145"/>
      <c r="Y122" s="1145"/>
      <c r="Z122" s="1145"/>
      <c r="AA122" s="1145"/>
      <c r="AB122" s="1145"/>
      <c r="AC122" s="1145"/>
      <c r="AD122" s="1145"/>
      <c r="AE122" s="1146"/>
      <c r="AF122" s="315"/>
    </row>
    <row r="123" spans="1:32" x14ac:dyDescent="0.25">
      <c r="A123" s="316" t="s">
        <v>54</v>
      </c>
      <c r="B123" s="332"/>
      <c r="C123" s="332"/>
      <c r="D123" s="332"/>
      <c r="E123" s="332"/>
      <c r="F123" s="332"/>
      <c r="G123" s="332"/>
      <c r="H123" s="332"/>
      <c r="I123" s="332"/>
      <c r="J123" s="332"/>
      <c r="K123" s="332"/>
      <c r="L123" s="332"/>
      <c r="M123" s="332"/>
      <c r="N123" s="332"/>
      <c r="O123" s="332"/>
      <c r="P123" s="332"/>
      <c r="Q123" s="332"/>
      <c r="R123" s="332"/>
      <c r="S123" s="332"/>
      <c r="T123" s="332"/>
      <c r="U123" s="332"/>
      <c r="V123" s="332"/>
      <c r="W123" s="332"/>
      <c r="X123" s="333"/>
      <c r="Y123" s="323"/>
      <c r="Z123" s="323"/>
      <c r="AA123" s="323"/>
      <c r="AB123" s="323"/>
      <c r="AC123" s="323"/>
      <c r="AD123" s="323"/>
      <c r="AE123" s="323"/>
      <c r="AF123" s="304"/>
    </row>
    <row r="124" spans="1:32" x14ac:dyDescent="0.25">
      <c r="A124" s="1147" t="s">
        <v>415</v>
      </c>
      <c r="B124" s="1148"/>
      <c r="C124" s="1148"/>
      <c r="D124" s="1148"/>
      <c r="E124" s="1148"/>
      <c r="F124" s="1148"/>
      <c r="G124" s="1148"/>
      <c r="H124" s="1148"/>
      <c r="I124" s="1148"/>
      <c r="J124" s="1148"/>
      <c r="K124" s="1148"/>
      <c r="L124" s="1148"/>
      <c r="M124" s="1148"/>
      <c r="N124" s="1148"/>
      <c r="O124" s="1148"/>
      <c r="P124" s="1148"/>
      <c r="Q124" s="1148"/>
      <c r="R124" s="1148"/>
      <c r="S124" s="1148"/>
      <c r="T124" s="1148"/>
      <c r="U124" s="1148"/>
      <c r="V124" s="1148"/>
      <c r="W124" s="1148"/>
      <c r="X124" s="1148"/>
      <c r="Y124" s="1148"/>
      <c r="Z124" s="1148"/>
      <c r="AA124" s="1148"/>
      <c r="AB124" s="1148"/>
      <c r="AC124" s="1148"/>
      <c r="AD124" s="1148"/>
      <c r="AE124" s="1149"/>
      <c r="AF124" s="334"/>
    </row>
    <row r="125" spans="1:32" x14ac:dyDescent="0.25">
      <c r="A125" s="335" t="s">
        <v>31</v>
      </c>
      <c r="B125" s="336">
        <f>B126+B127+B129</f>
        <v>13281.096000000001</v>
      </c>
      <c r="C125" s="336">
        <f>C126+C127+C129</f>
        <v>3034.7909999999997</v>
      </c>
      <c r="D125" s="336">
        <f>D126+D127+D129</f>
        <v>1779.34</v>
      </c>
      <c r="E125" s="336">
        <f>E126+E127+E129</f>
        <v>1779.34</v>
      </c>
      <c r="F125" s="336">
        <f>E125/B125*100</f>
        <v>13.397538877815505</v>
      </c>
      <c r="G125" s="336">
        <f>E125/C125*100</f>
        <v>58.631385159637027</v>
      </c>
      <c r="H125" s="336">
        <f>H126+H127+H129</f>
        <v>309.10599999999999</v>
      </c>
      <c r="I125" s="336">
        <f t="shared" ref="I125:AE125" si="40">I126+I127+I129</f>
        <v>290.38</v>
      </c>
      <c r="J125" s="336">
        <f t="shared" si="40"/>
        <v>520.11699999999996</v>
      </c>
      <c r="K125" s="336">
        <f t="shared" si="40"/>
        <v>297.3</v>
      </c>
      <c r="L125" s="336">
        <f t="shared" si="40"/>
        <v>519.91700000000003</v>
      </c>
      <c r="M125" s="336">
        <f t="shared" si="40"/>
        <v>298.05</v>
      </c>
      <c r="N125" s="336">
        <f t="shared" si="40"/>
        <v>519.91700000000003</v>
      </c>
      <c r="O125" s="336">
        <f t="shared" si="40"/>
        <v>304.35000000000002</v>
      </c>
      <c r="P125" s="336">
        <f t="shared" si="40"/>
        <v>519.91700000000003</v>
      </c>
      <c r="Q125" s="336">
        <f t="shared" si="40"/>
        <v>298.10000000000002</v>
      </c>
      <c r="R125" s="336">
        <f t="shared" si="40"/>
        <v>645.81700000000001</v>
      </c>
      <c r="S125" s="336">
        <f t="shared" si="40"/>
        <v>291.16000000000003</v>
      </c>
      <c r="T125" s="336">
        <f t="shared" si="40"/>
        <v>519.91600000000005</v>
      </c>
      <c r="U125" s="336">
        <f t="shared" si="40"/>
        <v>0</v>
      </c>
      <c r="V125" s="336">
        <f t="shared" si="40"/>
        <v>519.91600000000005</v>
      </c>
      <c r="W125" s="336">
        <f t="shared" si="40"/>
        <v>0</v>
      </c>
      <c r="X125" s="336">
        <f t="shared" si="40"/>
        <v>519.91600000000005</v>
      </c>
      <c r="Y125" s="336">
        <f t="shared" si="40"/>
        <v>0</v>
      </c>
      <c r="Z125" s="336">
        <f t="shared" si="40"/>
        <v>3700.4160000000002</v>
      </c>
      <c r="AA125" s="336">
        <f t="shared" si="40"/>
        <v>0</v>
      </c>
      <c r="AB125" s="336">
        <f t="shared" si="40"/>
        <v>4442.817</v>
      </c>
      <c r="AC125" s="336">
        <f t="shared" si="40"/>
        <v>0</v>
      </c>
      <c r="AD125" s="336">
        <f t="shared" si="40"/>
        <v>543.32399999999996</v>
      </c>
      <c r="AE125" s="336">
        <f t="shared" si="40"/>
        <v>0</v>
      </c>
      <c r="AF125" s="1131"/>
    </row>
    <row r="126" spans="1:32" x14ac:dyDescent="0.25">
      <c r="A126" s="327" t="s">
        <v>32</v>
      </c>
      <c r="B126" s="329">
        <f>H126+J126+L126+N126+P126+R126+T126+V126+X126+Z126+AB126+AD126</f>
        <v>0</v>
      </c>
      <c r="C126" s="329">
        <f>C132+C138+C144</f>
        <v>0</v>
      </c>
      <c r="D126" s="329">
        <f>E126</f>
        <v>0</v>
      </c>
      <c r="E126" s="329">
        <f>I126+K126+M126+O126+Q126+S126+U126+W126+Y126+AA126+AC126+AE126</f>
        <v>0</v>
      </c>
      <c r="F126" s="343">
        <f>IFERROR(E126/B126*100,0)</f>
        <v>0</v>
      </c>
      <c r="G126" s="343">
        <f>IFERROR(E126/C126*100,0)</f>
        <v>0</v>
      </c>
      <c r="H126" s="329">
        <f>H132+H138+H144</f>
        <v>0</v>
      </c>
      <c r="I126" s="329">
        <f t="shared" ref="I126:AE129" si="41">I132+I138+I144</f>
        <v>0</v>
      </c>
      <c r="J126" s="329">
        <f t="shared" si="41"/>
        <v>0</v>
      </c>
      <c r="K126" s="329">
        <f t="shared" si="41"/>
        <v>0</v>
      </c>
      <c r="L126" s="329">
        <f t="shared" si="41"/>
        <v>0</v>
      </c>
      <c r="M126" s="329">
        <f t="shared" si="41"/>
        <v>0</v>
      </c>
      <c r="N126" s="329">
        <f t="shared" si="41"/>
        <v>0</v>
      </c>
      <c r="O126" s="329">
        <f t="shared" si="41"/>
        <v>0</v>
      </c>
      <c r="P126" s="329">
        <f t="shared" si="41"/>
        <v>0</v>
      </c>
      <c r="Q126" s="329">
        <f t="shared" si="41"/>
        <v>0</v>
      </c>
      <c r="R126" s="329">
        <f t="shared" si="41"/>
        <v>0</v>
      </c>
      <c r="S126" s="329">
        <f t="shared" si="41"/>
        <v>0</v>
      </c>
      <c r="T126" s="329">
        <f t="shared" si="41"/>
        <v>0</v>
      </c>
      <c r="U126" s="329">
        <f t="shared" si="41"/>
        <v>0</v>
      </c>
      <c r="V126" s="329">
        <f t="shared" si="41"/>
        <v>0</v>
      </c>
      <c r="W126" s="329">
        <f t="shared" si="41"/>
        <v>0</v>
      </c>
      <c r="X126" s="329">
        <f t="shared" si="41"/>
        <v>0</v>
      </c>
      <c r="Y126" s="329">
        <f t="shared" si="41"/>
        <v>0</v>
      </c>
      <c r="Z126" s="329">
        <f t="shared" si="41"/>
        <v>0</v>
      </c>
      <c r="AA126" s="329">
        <f t="shared" si="41"/>
        <v>0</v>
      </c>
      <c r="AB126" s="329">
        <f t="shared" si="41"/>
        <v>0</v>
      </c>
      <c r="AC126" s="329">
        <f t="shared" si="41"/>
        <v>0</v>
      </c>
      <c r="AD126" s="329">
        <f t="shared" si="41"/>
        <v>0</v>
      </c>
      <c r="AE126" s="329">
        <f t="shared" si="41"/>
        <v>0</v>
      </c>
      <c r="AF126" s="1132"/>
    </row>
    <row r="127" spans="1:32" x14ac:dyDescent="0.25">
      <c r="A127" s="327" t="s">
        <v>33</v>
      </c>
      <c r="B127" s="329">
        <f>H127+J127+L127+N127+P127+R127+T127+V127+X127+Z127+AB127+AD127</f>
        <v>13281.096000000001</v>
      </c>
      <c r="C127" s="329">
        <f>C133+C139+C145</f>
        <v>3034.7909999999997</v>
      </c>
      <c r="D127" s="329">
        <f>E127</f>
        <v>1779.34</v>
      </c>
      <c r="E127" s="329">
        <f>I127+K127+M127+O127+Q127+S127+U127+W127+Y127+AA127+AC127+AE127</f>
        <v>1779.34</v>
      </c>
      <c r="F127" s="343">
        <f>IFERROR(E127/B127*100,0)</f>
        <v>13.397538877815505</v>
      </c>
      <c r="G127" s="343">
        <f>IFERROR(E127/C127*100,0)</f>
        <v>58.631385159637027</v>
      </c>
      <c r="H127" s="329">
        <f>H133+H139+H145</f>
        <v>309.10599999999999</v>
      </c>
      <c r="I127" s="329">
        <f t="shared" ref="I127:W127" si="42">I133+I139+I145</f>
        <v>290.38</v>
      </c>
      <c r="J127" s="329">
        <f t="shared" si="42"/>
        <v>520.11699999999996</v>
      </c>
      <c r="K127" s="329">
        <f t="shared" si="42"/>
        <v>297.3</v>
      </c>
      <c r="L127" s="329">
        <f t="shared" si="42"/>
        <v>519.91700000000003</v>
      </c>
      <c r="M127" s="329">
        <f t="shared" si="42"/>
        <v>298.05</v>
      </c>
      <c r="N127" s="329">
        <f t="shared" si="42"/>
        <v>519.91700000000003</v>
      </c>
      <c r="O127" s="329">
        <f t="shared" si="42"/>
        <v>304.35000000000002</v>
      </c>
      <c r="P127" s="329">
        <f t="shared" si="42"/>
        <v>519.91700000000003</v>
      </c>
      <c r="Q127" s="329">
        <f t="shared" si="42"/>
        <v>298.10000000000002</v>
      </c>
      <c r="R127" s="329">
        <f t="shared" si="42"/>
        <v>645.81700000000001</v>
      </c>
      <c r="S127" s="329">
        <f t="shared" si="42"/>
        <v>291.16000000000003</v>
      </c>
      <c r="T127" s="329">
        <f t="shared" si="42"/>
        <v>519.91600000000005</v>
      </c>
      <c r="U127" s="329">
        <f t="shared" si="42"/>
        <v>0</v>
      </c>
      <c r="V127" s="329">
        <f t="shared" si="42"/>
        <v>519.91600000000005</v>
      </c>
      <c r="W127" s="329">
        <f t="shared" si="42"/>
        <v>0</v>
      </c>
      <c r="X127" s="329">
        <f t="shared" si="41"/>
        <v>519.91600000000005</v>
      </c>
      <c r="Y127" s="329">
        <f t="shared" si="41"/>
        <v>0</v>
      </c>
      <c r="Z127" s="329">
        <f t="shared" si="41"/>
        <v>3700.4160000000002</v>
      </c>
      <c r="AA127" s="329">
        <f t="shared" si="41"/>
        <v>0</v>
      </c>
      <c r="AB127" s="329">
        <f t="shared" si="41"/>
        <v>4442.817</v>
      </c>
      <c r="AC127" s="329">
        <f t="shared" si="41"/>
        <v>0</v>
      </c>
      <c r="AD127" s="329">
        <f t="shared" si="41"/>
        <v>543.32399999999996</v>
      </c>
      <c r="AE127" s="329">
        <f t="shared" si="41"/>
        <v>0</v>
      </c>
      <c r="AF127" s="1132"/>
    </row>
    <row r="128" spans="1:32" ht="31.5" x14ac:dyDescent="0.25">
      <c r="A128" s="341" t="s">
        <v>174</v>
      </c>
      <c r="B128" s="329">
        <f>H128+J128+L128+N128+P128+R128+T128+V128+X128+Z128+AB128+AD128</f>
        <v>0</v>
      </c>
      <c r="C128" s="329">
        <f>C134+C140+C146</f>
        <v>0</v>
      </c>
      <c r="D128" s="329">
        <f>E128</f>
        <v>0</v>
      </c>
      <c r="E128" s="329">
        <f>I128+K128+M128+O128+Q128+S128+U128+W128+Y128+AA128+AC128+AE128</f>
        <v>0</v>
      </c>
      <c r="F128" s="343">
        <f>IFERROR(E128/B128*100,0)</f>
        <v>0</v>
      </c>
      <c r="G128" s="343">
        <f>IFERROR(E128/C128*100,0)</f>
        <v>0</v>
      </c>
      <c r="H128" s="329">
        <f>H134+H140+H146</f>
        <v>0</v>
      </c>
      <c r="I128" s="329">
        <f t="shared" si="41"/>
        <v>0</v>
      </c>
      <c r="J128" s="329">
        <f t="shared" si="41"/>
        <v>0</v>
      </c>
      <c r="K128" s="329">
        <f t="shared" si="41"/>
        <v>0</v>
      </c>
      <c r="L128" s="329">
        <f t="shared" si="41"/>
        <v>0</v>
      </c>
      <c r="M128" s="329">
        <f t="shared" si="41"/>
        <v>0</v>
      </c>
      <c r="N128" s="329">
        <f t="shared" si="41"/>
        <v>0</v>
      </c>
      <c r="O128" s="329">
        <f t="shared" si="41"/>
        <v>0</v>
      </c>
      <c r="P128" s="329">
        <f t="shared" si="41"/>
        <v>0</v>
      </c>
      <c r="Q128" s="329">
        <f t="shared" si="41"/>
        <v>0</v>
      </c>
      <c r="R128" s="329">
        <f t="shared" si="41"/>
        <v>0</v>
      </c>
      <c r="S128" s="329">
        <f t="shared" si="41"/>
        <v>0</v>
      </c>
      <c r="T128" s="329">
        <f t="shared" si="41"/>
        <v>0</v>
      </c>
      <c r="U128" s="329">
        <f t="shared" si="41"/>
        <v>0</v>
      </c>
      <c r="V128" s="329">
        <f t="shared" si="41"/>
        <v>0</v>
      </c>
      <c r="W128" s="329">
        <f t="shared" si="41"/>
        <v>0</v>
      </c>
      <c r="X128" s="329">
        <f t="shared" si="41"/>
        <v>0</v>
      </c>
      <c r="Y128" s="329">
        <f t="shared" si="41"/>
        <v>0</v>
      </c>
      <c r="Z128" s="329">
        <f t="shared" si="41"/>
        <v>0</v>
      </c>
      <c r="AA128" s="329">
        <f t="shared" si="41"/>
        <v>0</v>
      </c>
      <c r="AB128" s="329">
        <f t="shared" si="41"/>
        <v>0</v>
      </c>
      <c r="AC128" s="329">
        <f t="shared" si="41"/>
        <v>0</v>
      </c>
      <c r="AD128" s="329">
        <f t="shared" si="41"/>
        <v>0</v>
      </c>
      <c r="AE128" s="329">
        <f t="shared" si="41"/>
        <v>0</v>
      </c>
      <c r="AF128" s="1132"/>
    </row>
    <row r="129" spans="1:32" x14ac:dyDescent="0.25">
      <c r="A129" s="327" t="s">
        <v>374</v>
      </c>
      <c r="B129" s="329">
        <f>H129+J129+L129+N129+P129+R129+T129+V129+X129+Z129+AB129+AD129</f>
        <v>0</v>
      </c>
      <c r="C129" s="329">
        <f>C135+C141+C147</f>
        <v>0</v>
      </c>
      <c r="D129" s="329">
        <f>E129</f>
        <v>0</v>
      </c>
      <c r="E129" s="329">
        <f>I129+K129+M129+O129+Q129+S129+U129+W129+Y129+AA129+AC129+AE129</f>
        <v>0</v>
      </c>
      <c r="F129" s="343">
        <f>IFERROR(E129/B129*100,0)</f>
        <v>0</v>
      </c>
      <c r="G129" s="343">
        <f>IFERROR(E129/C129*100,0)</f>
        <v>0</v>
      </c>
      <c r="H129" s="329">
        <f>H135+H141+H147</f>
        <v>0</v>
      </c>
      <c r="I129" s="329">
        <f t="shared" si="41"/>
        <v>0</v>
      </c>
      <c r="J129" s="329">
        <f t="shared" si="41"/>
        <v>0</v>
      </c>
      <c r="K129" s="329">
        <f t="shared" si="41"/>
        <v>0</v>
      </c>
      <c r="L129" s="329">
        <f t="shared" si="41"/>
        <v>0</v>
      </c>
      <c r="M129" s="329">
        <f t="shared" si="41"/>
        <v>0</v>
      </c>
      <c r="N129" s="329">
        <f t="shared" si="41"/>
        <v>0</v>
      </c>
      <c r="O129" s="329">
        <f t="shared" si="41"/>
        <v>0</v>
      </c>
      <c r="P129" s="329">
        <f t="shared" si="41"/>
        <v>0</v>
      </c>
      <c r="Q129" s="329">
        <f t="shared" si="41"/>
        <v>0</v>
      </c>
      <c r="R129" s="329">
        <f t="shared" si="41"/>
        <v>0</v>
      </c>
      <c r="S129" s="329">
        <f t="shared" si="41"/>
        <v>0</v>
      </c>
      <c r="T129" s="329">
        <f t="shared" si="41"/>
        <v>0</v>
      </c>
      <c r="U129" s="329">
        <f t="shared" si="41"/>
        <v>0</v>
      </c>
      <c r="V129" s="329">
        <f t="shared" si="41"/>
        <v>0</v>
      </c>
      <c r="W129" s="329">
        <f t="shared" si="41"/>
        <v>0</v>
      </c>
      <c r="X129" s="329">
        <f t="shared" si="41"/>
        <v>0</v>
      </c>
      <c r="Y129" s="329">
        <f t="shared" si="41"/>
        <v>0</v>
      </c>
      <c r="Z129" s="329">
        <f t="shared" si="41"/>
        <v>0</v>
      </c>
      <c r="AA129" s="329">
        <f t="shared" si="41"/>
        <v>0</v>
      </c>
      <c r="AB129" s="329">
        <f t="shared" si="41"/>
        <v>0</v>
      </c>
      <c r="AC129" s="329">
        <f t="shared" si="41"/>
        <v>0</v>
      </c>
      <c r="AD129" s="329">
        <f t="shared" si="41"/>
        <v>0</v>
      </c>
      <c r="AE129" s="329">
        <f t="shared" si="41"/>
        <v>0</v>
      </c>
      <c r="AF129" s="1133"/>
    </row>
    <row r="130" spans="1:32" x14ac:dyDescent="0.25">
      <c r="A130" s="1151" t="s">
        <v>416</v>
      </c>
      <c r="B130" s="1152"/>
      <c r="C130" s="1152"/>
      <c r="D130" s="1152"/>
      <c r="E130" s="1152"/>
      <c r="F130" s="1152"/>
      <c r="G130" s="1152"/>
      <c r="H130" s="1152"/>
      <c r="I130" s="1152"/>
      <c r="J130" s="1152"/>
      <c r="K130" s="1152"/>
      <c r="L130" s="1152"/>
      <c r="M130" s="1152"/>
      <c r="N130" s="1152"/>
      <c r="O130" s="1152"/>
      <c r="P130" s="1152"/>
      <c r="Q130" s="1152"/>
      <c r="R130" s="1152"/>
      <c r="S130" s="1152"/>
      <c r="T130" s="1152"/>
      <c r="U130" s="1152"/>
      <c r="V130" s="1152"/>
      <c r="W130" s="1152"/>
      <c r="X130" s="1152"/>
      <c r="Y130" s="1152"/>
      <c r="Z130" s="1152"/>
      <c r="AA130" s="1152"/>
      <c r="AB130" s="1152"/>
      <c r="AC130" s="1152"/>
      <c r="AD130" s="1152"/>
      <c r="AE130" s="1153"/>
      <c r="AF130" s="338"/>
    </row>
    <row r="131" spans="1:32" x14ac:dyDescent="0.25">
      <c r="A131" s="327" t="s">
        <v>31</v>
      </c>
      <c r="B131" s="343">
        <f>B132+B133+B135</f>
        <v>6177.6959999999999</v>
      </c>
      <c r="C131" s="343">
        <f>C132+C133+C135</f>
        <v>3034.7909999999997</v>
      </c>
      <c r="D131" s="343">
        <f>D132+D133+D135</f>
        <v>1779.34</v>
      </c>
      <c r="E131" s="343">
        <f>E132+E133+E135</f>
        <v>1779.34</v>
      </c>
      <c r="F131" s="329">
        <f>IFERROR(E131/B131*100,0)</f>
        <v>28.802647459505938</v>
      </c>
      <c r="G131" s="329">
        <f>IFERROR(E131/C131*100,0)</f>
        <v>58.631385159637027</v>
      </c>
      <c r="H131" s="329">
        <f>H132+H133+H135</f>
        <v>309.10599999999999</v>
      </c>
      <c r="I131" s="329">
        <f t="shared" ref="I131:AE131" si="43">I132+I133+I135</f>
        <v>290.38</v>
      </c>
      <c r="J131" s="329">
        <f t="shared" si="43"/>
        <v>520.11699999999996</v>
      </c>
      <c r="K131" s="329">
        <f t="shared" si="43"/>
        <v>297.3</v>
      </c>
      <c r="L131" s="329">
        <f t="shared" si="43"/>
        <v>519.91700000000003</v>
      </c>
      <c r="M131" s="329">
        <f t="shared" si="43"/>
        <v>298.05</v>
      </c>
      <c r="N131" s="329">
        <f t="shared" si="43"/>
        <v>519.91700000000003</v>
      </c>
      <c r="O131" s="329">
        <f t="shared" si="43"/>
        <v>304.35000000000002</v>
      </c>
      <c r="P131" s="329">
        <f t="shared" si="43"/>
        <v>519.91700000000003</v>
      </c>
      <c r="Q131" s="329">
        <f t="shared" si="43"/>
        <v>298.10000000000002</v>
      </c>
      <c r="R131" s="329">
        <f t="shared" si="43"/>
        <v>645.81700000000001</v>
      </c>
      <c r="S131" s="329">
        <f t="shared" si="43"/>
        <v>291.16000000000003</v>
      </c>
      <c r="T131" s="329">
        <f t="shared" si="43"/>
        <v>519.91600000000005</v>
      </c>
      <c r="U131" s="329">
        <f t="shared" si="43"/>
        <v>0</v>
      </c>
      <c r="V131" s="329">
        <f t="shared" si="43"/>
        <v>519.91600000000005</v>
      </c>
      <c r="W131" s="329">
        <f t="shared" si="43"/>
        <v>0</v>
      </c>
      <c r="X131" s="329">
        <f t="shared" si="43"/>
        <v>519.91600000000005</v>
      </c>
      <c r="Y131" s="329">
        <f t="shared" si="43"/>
        <v>0</v>
      </c>
      <c r="Z131" s="329">
        <f t="shared" si="43"/>
        <v>519.91600000000005</v>
      </c>
      <c r="AA131" s="329">
        <f t="shared" si="43"/>
        <v>0</v>
      </c>
      <c r="AB131" s="329">
        <f t="shared" si="43"/>
        <v>519.91700000000003</v>
      </c>
      <c r="AC131" s="329">
        <f t="shared" si="43"/>
        <v>0</v>
      </c>
      <c r="AD131" s="329">
        <f t="shared" si="43"/>
        <v>543.32399999999996</v>
      </c>
      <c r="AE131" s="329">
        <f t="shared" si="43"/>
        <v>0</v>
      </c>
      <c r="AF131" s="1154" t="s">
        <v>475</v>
      </c>
    </row>
    <row r="132" spans="1:32" x14ac:dyDescent="0.25">
      <c r="A132" s="327" t="s">
        <v>32</v>
      </c>
      <c r="B132" s="329"/>
      <c r="C132" s="328"/>
      <c r="D132" s="329"/>
      <c r="E132" s="329"/>
      <c r="F132" s="329"/>
      <c r="G132" s="329"/>
      <c r="H132" s="328"/>
      <c r="I132" s="328"/>
      <c r="J132" s="328"/>
      <c r="K132" s="328"/>
      <c r="L132" s="328"/>
      <c r="M132" s="328"/>
      <c r="N132" s="328"/>
      <c r="O132" s="328"/>
      <c r="P132" s="328"/>
      <c r="Q132" s="328"/>
      <c r="R132" s="328"/>
      <c r="S132" s="328"/>
      <c r="T132" s="328"/>
      <c r="U132" s="328"/>
      <c r="V132" s="328"/>
      <c r="W132" s="328"/>
      <c r="X132" s="328"/>
      <c r="Y132" s="328"/>
      <c r="Z132" s="328"/>
      <c r="AA132" s="328"/>
      <c r="AB132" s="328"/>
      <c r="AC132" s="328"/>
      <c r="AD132" s="328"/>
      <c r="AE132" s="328"/>
      <c r="AF132" s="1126"/>
    </row>
    <row r="133" spans="1:32" x14ac:dyDescent="0.25">
      <c r="A133" s="327" t="s">
        <v>33</v>
      </c>
      <c r="B133" s="329">
        <f>H133+J133+L133+N133+P133+R133+T133+V133+X133+Z133+AB133+AD133</f>
        <v>6177.6959999999999</v>
      </c>
      <c r="C133" s="328">
        <f>H133+J133+L133+N133+P133+R133</f>
        <v>3034.7909999999997</v>
      </c>
      <c r="D133" s="329">
        <f>E133</f>
        <v>1779.34</v>
      </c>
      <c r="E133" s="329">
        <f>I133+K133+M133+O133+Q133+S133+U133+W133+Y133+AA133+AC133+AE133</f>
        <v>1779.34</v>
      </c>
      <c r="F133" s="329">
        <f>IFERROR(E133/B133*100,0)</f>
        <v>28.802647459505938</v>
      </c>
      <c r="G133" s="329">
        <f>IFERROR(E133/C133*100,0)</f>
        <v>58.631385159637027</v>
      </c>
      <c r="H133" s="328">
        <v>309.10599999999999</v>
      </c>
      <c r="I133" s="328">
        <v>290.38</v>
      </c>
      <c r="J133" s="328">
        <v>520.11699999999996</v>
      </c>
      <c r="K133" s="328">
        <v>297.3</v>
      </c>
      <c r="L133" s="328">
        <v>519.91700000000003</v>
      </c>
      <c r="M133" s="328">
        <v>298.05</v>
      </c>
      <c r="N133" s="328">
        <v>519.91700000000003</v>
      </c>
      <c r="O133" s="328">
        <v>304.35000000000002</v>
      </c>
      <c r="P133" s="328">
        <v>519.91700000000003</v>
      </c>
      <c r="Q133" s="328">
        <v>298.10000000000002</v>
      </c>
      <c r="R133" s="328">
        <v>645.81700000000001</v>
      </c>
      <c r="S133" s="328">
        <v>291.16000000000003</v>
      </c>
      <c r="T133" s="328">
        <v>519.91600000000005</v>
      </c>
      <c r="U133" s="328"/>
      <c r="V133" s="328">
        <v>519.91600000000005</v>
      </c>
      <c r="W133" s="328"/>
      <c r="X133" s="328">
        <v>519.91600000000005</v>
      </c>
      <c r="Y133" s="328"/>
      <c r="Z133" s="328">
        <v>519.91600000000005</v>
      </c>
      <c r="AA133" s="328"/>
      <c r="AB133" s="328">
        <v>519.91700000000003</v>
      </c>
      <c r="AC133" s="328">
        <v>0</v>
      </c>
      <c r="AD133" s="328">
        <v>543.32399999999996</v>
      </c>
      <c r="AE133" s="328"/>
      <c r="AF133" s="1126"/>
    </row>
    <row r="134" spans="1:32" ht="31.5" x14ac:dyDescent="0.25">
      <c r="A134" s="341" t="s">
        <v>174</v>
      </c>
      <c r="B134" s="329"/>
      <c r="C134" s="328"/>
      <c r="D134" s="329"/>
      <c r="E134" s="329"/>
      <c r="F134" s="329"/>
      <c r="G134" s="329"/>
      <c r="H134" s="328"/>
      <c r="I134" s="328"/>
      <c r="J134" s="328"/>
      <c r="K134" s="328"/>
      <c r="L134" s="328"/>
      <c r="M134" s="328"/>
      <c r="N134" s="328"/>
      <c r="O134" s="328"/>
      <c r="P134" s="328"/>
      <c r="Q134" s="328"/>
      <c r="R134" s="328"/>
      <c r="S134" s="328"/>
      <c r="T134" s="328"/>
      <c r="U134" s="328"/>
      <c r="V134" s="328"/>
      <c r="W134" s="328"/>
      <c r="X134" s="328"/>
      <c r="Y134" s="328"/>
      <c r="Z134" s="328"/>
      <c r="AA134" s="328"/>
      <c r="AB134" s="328"/>
      <c r="AC134" s="328"/>
      <c r="AD134" s="328"/>
      <c r="AE134" s="328"/>
      <c r="AF134" s="1126"/>
    </row>
    <row r="135" spans="1:32" x14ac:dyDescent="0.25">
      <c r="A135" s="327" t="s">
        <v>374</v>
      </c>
      <c r="B135" s="329"/>
      <c r="C135" s="328"/>
      <c r="D135" s="329"/>
      <c r="E135" s="329"/>
      <c r="F135" s="329"/>
      <c r="G135" s="329"/>
      <c r="H135" s="328"/>
      <c r="I135" s="328"/>
      <c r="J135" s="328"/>
      <c r="K135" s="328"/>
      <c r="L135" s="328"/>
      <c r="M135" s="328"/>
      <c r="N135" s="328"/>
      <c r="O135" s="328"/>
      <c r="P135" s="328"/>
      <c r="Q135" s="328"/>
      <c r="R135" s="328"/>
      <c r="S135" s="328"/>
      <c r="T135" s="328"/>
      <c r="U135" s="328"/>
      <c r="V135" s="328"/>
      <c r="W135" s="328"/>
      <c r="X135" s="328"/>
      <c r="Y135" s="328"/>
      <c r="Z135" s="328"/>
      <c r="AA135" s="328"/>
      <c r="AB135" s="328"/>
      <c r="AC135" s="328"/>
      <c r="AD135" s="328"/>
      <c r="AE135" s="328"/>
      <c r="AF135" s="1127"/>
    </row>
    <row r="136" spans="1:32" ht="19.5" customHeight="1" x14ac:dyDescent="0.25">
      <c r="A136" s="1151" t="s">
        <v>417</v>
      </c>
      <c r="B136" s="1152"/>
      <c r="C136" s="1152"/>
      <c r="D136" s="1152"/>
      <c r="E136" s="1152"/>
      <c r="F136" s="1152"/>
      <c r="G136" s="1152"/>
      <c r="H136" s="1152"/>
      <c r="I136" s="1152"/>
      <c r="J136" s="1152"/>
      <c r="K136" s="1152"/>
      <c r="L136" s="1152"/>
      <c r="M136" s="1152"/>
      <c r="N136" s="1152"/>
      <c r="O136" s="1152"/>
      <c r="P136" s="1152"/>
      <c r="Q136" s="1152"/>
      <c r="R136" s="1152"/>
      <c r="S136" s="1152"/>
      <c r="T136" s="1152"/>
      <c r="U136" s="1152"/>
      <c r="V136" s="1152"/>
      <c r="W136" s="1152"/>
      <c r="X136" s="1152"/>
      <c r="Y136" s="1152"/>
      <c r="Z136" s="1152"/>
      <c r="AA136" s="1152"/>
      <c r="AB136" s="1152"/>
      <c r="AC136" s="1152"/>
      <c r="AD136" s="1152"/>
      <c r="AE136" s="1153"/>
      <c r="AF136" s="326"/>
    </row>
    <row r="137" spans="1:32" x14ac:dyDescent="0.25">
      <c r="A137" s="327" t="s">
        <v>31</v>
      </c>
      <c r="B137" s="343">
        <f>B138+B139+B141</f>
        <v>3180.5</v>
      </c>
      <c r="C137" s="343">
        <f>C138+C139+C141</f>
        <v>0</v>
      </c>
      <c r="D137" s="343">
        <f>D138+D139+D141</f>
        <v>0</v>
      </c>
      <c r="E137" s="343">
        <f>E138+E139+E141</f>
        <v>0</v>
      </c>
      <c r="F137" s="329">
        <f>IFERROR(E137/B137*100,0)</f>
        <v>0</v>
      </c>
      <c r="G137" s="329">
        <f>IFERROR(E137/C137*100,0)</f>
        <v>0</v>
      </c>
      <c r="H137" s="329">
        <f>H138+H139+H141</f>
        <v>0</v>
      </c>
      <c r="I137" s="329">
        <f t="shared" ref="I137:AE137" si="44">I138+I139+I141</f>
        <v>0</v>
      </c>
      <c r="J137" s="329">
        <f t="shared" si="44"/>
        <v>0</v>
      </c>
      <c r="K137" s="329">
        <f t="shared" si="44"/>
        <v>0</v>
      </c>
      <c r="L137" s="329">
        <f t="shared" si="44"/>
        <v>0</v>
      </c>
      <c r="M137" s="329">
        <f t="shared" si="44"/>
        <v>0</v>
      </c>
      <c r="N137" s="329">
        <f t="shared" si="44"/>
        <v>0</v>
      </c>
      <c r="O137" s="329">
        <f t="shared" si="44"/>
        <v>0</v>
      </c>
      <c r="P137" s="329">
        <f t="shared" si="44"/>
        <v>0</v>
      </c>
      <c r="Q137" s="329">
        <f t="shared" si="44"/>
        <v>0</v>
      </c>
      <c r="R137" s="329">
        <f t="shared" si="44"/>
        <v>0</v>
      </c>
      <c r="S137" s="329">
        <f t="shared" si="44"/>
        <v>0</v>
      </c>
      <c r="T137" s="329">
        <f t="shared" si="44"/>
        <v>0</v>
      </c>
      <c r="U137" s="329">
        <f t="shared" si="44"/>
        <v>0</v>
      </c>
      <c r="V137" s="329">
        <f t="shared" si="44"/>
        <v>0</v>
      </c>
      <c r="W137" s="329">
        <f t="shared" si="44"/>
        <v>0</v>
      </c>
      <c r="X137" s="329">
        <f t="shared" si="44"/>
        <v>0</v>
      </c>
      <c r="Y137" s="329">
        <f t="shared" si="44"/>
        <v>0</v>
      </c>
      <c r="Z137" s="329">
        <f t="shared" si="44"/>
        <v>3180.5</v>
      </c>
      <c r="AA137" s="329">
        <f t="shared" si="44"/>
        <v>0</v>
      </c>
      <c r="AB137" s="329">
        <f t="shared" si="44"/>
        <v>0</v>
      </c>
      <c r="AC137" s="329">
        <f t="shared" si="44"/>
        <v>0</v>
      </c>
      <c r="AD137" s="329">
        <f t="shared" si="44"/>
        <v>0</v>
      </c>
      <c r="AE137" s="329">
        <f t="shared" si="44"/>
        <v>0</v>
      </c>
      <c r="AF137" s="1125" t="s">
        <v>536</v>
      </c>
    </row>
    <row r="138" spans="1:32" x14ac:dyDescent="0.25">
      <c r="A138" s="327" t="s">
        <v>32</v>
      </c>
      <c r="B138" s="329"/>
      <c r="C138" s="328"/>
      <c r="D138" s="329"/>
      <c r="E138" s="329"/>
      <c r="F138" s="329"/>
      <c r="G138" s="329"/>
      <c r="H138" s="328"/>
      <c r="I138" s="328"/>
      <c r="J138" s="328"/>
      <c r="K138" s="328"/>
      <c r="L138" s="328"/>
      <c r="M138" s="328"/>
      <c r="N138" s="328"/>
      <c r="O138" s="328"/>
      <c r="P138" s="328"/>
      <c r="Q138" s="328"/>
      <c r="R138" s="328"/>
      <c r="S138" s="328"/>
      <c r="T138" s="328"/>
      <c r="U138" s="328"/>
      <c r="V138" s="328"/>
      <c r="W138" s="328"/>
      <c r="X138" s="328"/>
      <c r="Y138" s="328"/>
      <c r="Z138" s="328"/>
      <c r="AA138" s="328"/>
      <c r="AB138" s="328"/>
      <c r="AC138" s="328"/>
      <c r="AD138" s="328"/>
      <c r="AE138" s="328"/>
      <c r="AF138" s="1126"/>
    </row>
    <row r="139" spans="1:32" ht="51.75" customHeight="1" x14ac:dyDescent="0.25">
      <c r="A139" s="327" t="s">
        <v>33</v>
      </c>
      <c r="B139" s="329">
        <f>H139+J139+L139+N139+P139+R139+T139+V139+X139+Z139+AB139+AD139</f>
        <v>3180.5</v>
      </c>
      <c r="C139" s="328">
        <f>H139+J139+L139+N139+P139+R139</f>
        <v>0</v>
      </c>
      <c r="D139" s="329">
        <f>E139</f>
        <v>0</v>
      </c>
      <c r="E139" s="329">
        <f>I139+K139+M139+O139+Q139+S139+U139+W139+Y139+AA139+AC139+AE139</f>
        <v>0</v>
      </c>
      <c r="F139" s="329">
        <f>IFERROR(E139/B139*100,0)</f>
        <v>0</v>
      </c>
      <c r="G139" s="329">
        <f>IFERROR(E139/C139*100,0)</f>
        <v>0</v>
      </c>
      <c r="H139" s="328"/>
      <c r="I139" s="328"/>
      <c r="J139" s="328"/>
      <c r="K139" s="328"/>
      <c r="L139" s="328"/>
      <c r="M139" s="328"/>
      <c r="N139" s="328"/>
      <c r="O139" s="328"/>
      <c r="P139" s="328"/>
      <c r="Q139" s="328"/>
      <c r="R139" s="328"/>
      <c r="S139" s="328"/>
      <c r="T139" s="328"/>
      <c r="U139" s="328"/>
      <c r="V139" s="328"/>
      <c r="W139" s="328"/>
      <c r="X139" s="328"/>
      <c r="Y139" s="328"/>
      <c r="Z139" s="328">
        <v>3180.5</v>
      </c>
      <c r="AA139" s="328"/>
      <c r="AB139" s="328"/>
      <c r="AC139" s="328"/>
      <c r="AD139" s="328"/>
      <c r="AE139" s="328"/>
      <c r="AF139" s="1126"/>
    </row>
    <row r="140" spans="1:32" ht="31.5" x14ac:dyDescent="0.25">
      <c r="A140" s="341" t="s">
        <v>174</v>
      </c>
      <c r="B140" s="329"/>
      <c r="C140" s="328"/>
      <c r="D140" s="329"/>
      <c r="E140" s="329"/>
      <c r="F140" s="329"/>
      <c r="G140" s="329"/>
      <c r="H140" s="328"/>
      <c r="I140" s="328"/>
      <c r="J140" s="328"/>
      <c r="K140" s="328"/>
      <c r="L140" s="328"/>
      <c r="M140" s="328"/>
      <c r="N140" s="328"/>
      <c r="O140" s="328"/>
      <c r="P140" s="328"/>
      <c r="Q140" s="328"/>
      <c r="R140" s="328"/>
      <c r="S140" s="328"/>
      <c r="T140" s="328"/>
      <c r="U140" s="328"/>
      <c r="V140" s="328"/>
      <c r="W140" s="328"/>
      <c r="X140" s="328"/>
      <c r="Y140" s="328"/>
      <c r="Z140" s="328"/>
      <c r="AA140" s="328"/>
      <c r="AB140" s="328"/>
      <c r="AC140" s="328"/>
      <c r="AD140" s="328"/>
      <c r="AE140" s="328"/>
      <c r="AF140" s="1126"/>
    </row>
    <row r="141" spans="1:32" x14ac:dyDescent="0.25">
      <c r="A141" s="327" t="s">
        <v>374</v>
      </c>
      <c r="B141" s="329"/>
      <c r="C141" s="328"/>
      <c r="D141" s="329"/>
      <c r="E141" s="329"/>
      <c r="F141" s="329"/>
      <c r="G141" s="329"/>
      <c r="H141" s="328"/>
      <c r="I141" s="328"/>
      <c r="J141" s="328"/>
      <c r="K141" s="328"/>
      <c r="L141" s="328"/>
      <c r="M141" s="328"/>
      <c r="N141" s="328"/>
      <c r="O141" s="328"/>
      <c r="P141" s="328"/>
      <c r="Q141" s="328"/>
      <c r="R141" s="328"/>
      <c r="S141" s="328"/>
      <c r="T141" s="328"/>
      <c r="U141" s="328"/>
      <c r="V141" s="328"/>
      <c r="W141" s="328"/>
      <c r="X141" s="328"/>
      <c r="Y141" s="328"/>
      <c r="Z141" s="328"/>
      <c r="AA141" s="328"/>
      <c r="AB141" s="328"/>
      <c r="AC141" s="328"/>
      <c r="AD141" s="328"/>
      <c r="AE141" s="328"/>
      <c r="AF141" s="1127"/>
    </row>
    <row r="142" spans="1:32" ht="126.75" customHeight="1" x14ac:dyDescent="0.25">
      <c r="A142" s="954" t="s">
        <v>607</v>
      </c>
      <c r="B142" s="329"/>
      <c r="C142" s="328"/>
      <c r="D142" s="329"/>
      <c r="E142" s="329"/>
      <c r="F142" s="329"/>
      <c r="G142" s="329"/>
      <c r="H142" s="328"/>
      <c r="I142" s="328"/>
      <c r="J142" s="328"/>
      <c r="K142" s="328"/>
      <c r="L142" s="328"/>
      <c r="M142" s="328"/>
      <c r="N142" s="328"/>
      <c r="O142" s="328"/>
      <c r="P142" s="328"/>
      <c r="Q142" s="328"/>
      <c r="R142" s="328"/>
      <c r="S142" s="328"/>
      <c r="T142" s="328"/>
      <c r="U142" s="328"/>
      <c r="V142" s="328"/>
      <c r="W142" s="328"/>
      <c r="X142" s="328"/>
      <c r="Y142" s="328"/>
      <c r="Z142" s="328"/>
      <c r="AA142" s="328"/>
      <c r="AB142" s="328"/>
      <c r="AC142" s="328"/>
      <c r="AD142" s="328"/>
      <c r="AE142" s="328"/>
      <c r="AF142" s="956" t="s">
        <v>608</v>
      </c>
    </row>
    <row r="143" spans="1:32" x14ac:dyDescent="0.25">
      <c r="A143" s="327" t="s">
        <v>31</v>
      </c>
      <c r="B143" s="343">
        <f>B144+B145+B147</f>
        <v>3922.9</v>
      </c>
      <c r="C143" s="343">
        <f>C144+C145+C147</f>
        <v>0</v>
      </c>
      <c r="D143" s="343">
        <f>D144+D145+D147</f>
        <v>0</v>
      </c>
      <c r="E143" s="343">
        <f>E144+E145+E147</f>
        <v>0</v>
      </c>
      <c r="F143" s="329">
        <f>IFERROR(E143/B143*100,0)</f>
        <v>0</v>
      </c>
      <c r="G143" s="329">
        <f>IFERROR(E143/C143*100,0)</f>
        <v>0</v>
      </c>
      <c r="H143" s="329">
        <f>H144+H145+H147</f>
        <v>0</v>
      </c>
      <c r="I143" s="329">
        <f t="shared" ref="I143:AE143" si="45">I144+I145+I147</f>
        <v>0</v>
      </c>
      <c r="J143" s="329">
        <f t="shared" si="45"/>
        <v>0</v>
      </c>
      <c r="K143" s="329">
        <f t="shared" si="45"/>
        <v>0</v>
      </c>
      <c r="L143" s="329">
        <f t="shared" si="45"/>
        <v>0</v>
      </c>
      <c r="M143" s="329">
        <f t="shared" si="45"/>
        <v>0</v>
      </c>
      <c r="N143" s="329">
        <f t="shared" si="45"/>
        <v>0</v>
      </c>
      <c r="O143" s="329">
        <f t="shared" si="45"/>
        <v>0</v>
      </c>
      <c r="P143" s="329">
        <f t="shared" si="45"/>
        <v>0</v>
      </c>
      <c r="Q143" s="329">
        <f t="shared" si="45"/>
        <v>0</v>
      </c>
      <c r="R143" s="329">
        <f t="shared" si="45"/>
        <v>0</v>
      </c>
      <c r="S143" s="329">
        <f t="shared" si="45"/>
        <v>0</v>
      </c>
      <c r="T143" s="329">
        <f t="shared" si="45"/>
        <v>0</v>
      </c>
      <c r="U143" s="329">
        <f t="shared" si="45"/>
        <v>0</v>
      </c>
      <c r="V143" s="329">
        <f t="shared" si="45"/>
        <v>0</v>
      </c>
      <c r="W143" s="329">
        <f t="shared" si="45"/>
        <v>0</v>
      </c>
      <c r="X143" s="329">
        <f t="shared" si="45"/>
        <v>0</v>
      </c>
      <c r="Y143" s="329">
        <f t="shared" si="45"/>
        <v>0</v>
      </c>
      <c r="Z143" s="329">
        <f t="shared" si="45"/>
        <v>0</v>
      </c>
      <c r="AA143" s="329">
        <f t="shared" si="45"/>
        <v>0</v>
      </c>
      <c r="AB143" s="329">
        <f t="shared" si="45"/>
        <v>3922.9</v>
      </c>
      <c r="AC143" s="329">
        <f t="shared" si="45"/>
        <v>0</v>
      </c>
      <c r="AD143" s="329">
        <f t="shared" si="45"/>
        <v>0</v>
      </c>
      <c r="AE143" s="329">
        <f t="shared" si="45"/>
        <v>0</v>
      </c>
      <c r="AF143" s="956"/>
    </row>
    <row r="144" spans="1:32" x14ac:dyDescent="0.25">
      <c r="A144" s="327" t="s">
        <v>32</v>
      </c>
      <c r="B144" s="329"/>
      <c r="C144" s="328"/>
      <c r="D144" s="329"/>
      <c r="E144" s="329"/>
      <c r="F144" s="329"/>
      <c r="G144" s="329"/>
      <c r="H144" s="328"/>
      <c r="I144" s="328"/>
      <c r="J144" s="328"/>
      <c r="K144" s="328"/>
      <c r="L144" s="328"/>
      <c r="M144" s="328"/>
      <c r="N144" s="328"/>
      <c r="O144" s="328"/>
      <c r="P144" s="328"/>
      <c r="Q144" s="328"/>
      <c r="R144" s="328"/>
      <c r="S144" s="328"/>
      <c r="T144" s="328"/>
      <c r="U144" s="328"/>
      <c r="V144" s="328"/>
      <c r="W144" s="328"/>
      <c r="X144" s="328"/>
      <c r="Y144" s="328"/>
      <c r="Z144" s="328"/>
      <c r="AA144" s="328"/>
      <c r="AB144" s="328"/>
      <c r="AC144" s="328"/>
      <c r="AD144" s="328"/>
      <c r="AE144" s="328"/>
      <c r="AF144" s="955"/>
    </row>
    <row r="145" spans="1:32" ht="51.75" customHeight="1" x14ac:dyDescent="0.25">
      <c r="A145" s="327" t="s">
        <v>33</v>
      </c>
      <c r="B145" s="329">
        <f>H145+J145+L145+N145+P145+R145+T145+V145+X145+Z145+AB145+AD145</f>
        <v>3922.9</v>
      </c>
      <c r="C145" s="328">
        <f>H145+J145+L145+N145+P145+R145</f>
        <v>0</v>
      </c>
      <c r="D145" s="329">
        <f>E145</f>
        <v>0</v>
      </c>
      <c r="E145" s="329">
        <f>I145+K145+M145+O145+Q145+S145+U145+W145+Y145+AA145+AC145+AE145</f>
        <v>0</v>
      </c>
      <c r="F145" s="329">
        <f>IFERROR(E145/B145*100,0)</f>
        <v>0</v>
      </c>
      <c r="G145" s="329">
        <f>IFERROR(E145/C145*100,0)</f>
        <v>0</v>
      </c>
      <c r="H145" s="328"/>
      <c r="I145" s="328"/>
      <c r="J145" s="328"/>
      <c r="K145" s="328"/>
      <c r="L145" s="328"/>
      <c r="M145" s="328"/>
      <c r="N145" s="328"/>
      <c r="O145" s="328"/>
      <c r="P145" s="328"/>
      <c r="Q145" s="328"/>
      <c r="R145" s="328"/>
      <c r="S145" s="328"/>
      <c r="T145" s="328"/>
      <c r="U145" s="328"/>
      <c r="V145" s="328"/>
      <c r="W145" s="328"/>
      <c r="X145" s="328"/>
      <c r="Y145" s="328"/>
      <c r="Z145" s="328"/>
      <c r="AA145" s="328"/>
      <c r="AB145" s="328">
        <v>3922.9</v>
      </c>
      <c r="AC145" s="328"/>
      <c r="AD145" s="328"/>
      <c r="AE145" s="328"/>
      <c r="AF145" s="955"/>
    </row>
    <row r="146" spans="1:32" ht="31.5" x14ac:dyDescent="0.25">
      <c r="A146" s="341" t="s">
        <v>174</v>
      </c>
      <c r="B146" s="329"/>
      <c r="C146" s="328"/>
      <c r="D146" s="329"/>
      <c r="E146" s="329"/>
      <c r="F146" s="329"/>
      <c r="G146" s="329"/>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955"/>
    </row>
    <row r="147" spans="1:32" x14ac:dyDescent="0.25">
      <c r="A147" s="327" t="s">
        <v>374</v>
      </c>
      <c r="B147" s="329"/>
      <c r="C147" s="328"/>
      <c r="D147" s="329"/>
      <c r="E147" s="329"/>
      <c r="F147" s="329"/>
      <c r="G147" s="329"/>
      <c r="H147" s="328"/>
      <c r="I147" s="328"/>
      <c r="J147" s="328"/>
      <c r="K147" s="328"/>
      <c r="L147" s="328"/>
      <c r="M147" s="328"/>
      <c r="N147" s="328"/>
      <c r="O147" s="328"/>
      <c r="P147" s="328"/>
      <c r="Q147" s="328"/>
      <c r="R147" s="328"/>
      <c r="S147" s="328"/>
      <c r="T147" s="328"/>
      <c r="U147" s="328"/>
      <c r="V147" s="328"/>
      <c r="W147" s="328"/>
      <c r="X147" s="328"/>
      <c r="Y147" s="328"/>
      <c r="Z147" s="328"/>
      <c r="AA147" s="328"/>
      <c r="AB147" s="328"/>
      <c r="AC147" s="328"/>
      <c r="AD147" s="328"/>
      <c r="AE147" s="328"/>
      <c r="AF147" s="955"/>
    </row>
    <row r="148" spans="1:32" x14ac:dyDescent="0.25">
      <c r="A148" s="330" t="s">
        <v>62</v>
      </c>
      <c r="B148" s="336">
        <f>B149+B150+B152</f>
        <v>13281.096000000001</v>
      </c>
      <c r="C148" s="336">
        <f>C149+C150+C152</f>
        <v>3034.7909999999997</v>
      </c>
      <c r="D148" s="336">
        <f>D149+D150+D152</f>
        <v>1779.34</v>
      </c>
      <c r="E148" s="336">
        <f>E149+E150+E152</f>
        <v>1779.34</v>
      </c>
      <c r="F148" s="336">
        <f>IFERROR(E148/B148*100,0)</f>
        <v>13.397538877815505</v>
      </c>
      <c r="G148" s="336">
        <f>IFERROR(E148/C148*100,0)</f>
        <v>58.631385159637027</v>
      </c>
      <c r="H148" s="336">
        <f>H149+H150+H152</f>
        <v>309.10599999999999</v>
      </c>
      <c r="I148" s="336">
        <f t="shared" ref="I148:AE148" si="46">I149+I150+I152</f>
        <v>290.38</v>
      </c>
      <c r="J148" s="336">
        <f t="shared" si="46"/>
        <v>520.11699999999996</v>
      </c>
      <c r="K148" s="336">
        <f t="shared" si="46"/>
        <v>297.3</v>
      </c>
      <c r="L148" s="336">
        <f t="shared" si="46"/>
        <v>519.91700000000003</v>
      </c>
      <c r="M148" s="336">
        <f t="shared" si="46"/>
        <v>298.05</v>
      </c>
      <c r="N148" s="336">
        <f t="shared" si="46"/>
        <v>519.91700000000003</v>
      </c>
      <c r="O148" s="336">
        <f t="shared" si="46"/>
        <v>304.35000000000002</v>
      </c>
      <c r="P148" s="336">
        <f t="shared" si="46"/>
        <v>519.91700000000003</v>
      </c>
      <c r="Q148" s="336">
        <f t="shared" si="46"/>
        <v>298.10000000000002</v>
      </c>
      <c r="R148" s="336">
        <f t="shared" si="46"/>
        <v>645.81700000000001</v>
      </c>
      <c r="S148" s="336">
        <f t="shared" si="46"/>
        <v>291.16000000000003</v>
      </c>
      <c r="T148" s="336">
        <f t="shared" si="46"/>
        <v>519.91600000000005</v>
      </c>
      <c r="U148" s="336">
        <f t="shared" si="46"/>
        <v>0</v>
      </c>
      <c r="V148" s="336">
        <f t="shared" si="46"/>
        <v>519.91600000000005</v>
      </c>
      <c r="W148" s="336">
        <f t="shared" si="46"/>
        <v>0</v>
      </c>
      <c r="X148" s="336">
        <f t="shared" si="46"/>
        <v>519.91600000000005</v>
      </c>
      <c r="Y148" s="336">
        <f t="shared" si="46"/>
        <v>0</v>
      </c>
      <c r="Z148" s="336">
        <f t="shared" si="46"/>
        <v>3700.4160000000002</v>
      </c>
      <c r="AA148" s="336">
        <f t="shared" si="46"/>
        <v>0</v>
      </c>
      <c r="AB148" s="336">
        <f t="shared" si="46"/>
        <v>4442.817</v>
      </c>
      <c r="AC148" s="336">
        <f t="shared" si="46"/>
        <v>0</v>
      </c>
      <c r="AD148" s="336">
        <f t="shared" si="46"/>
        <v>543.32399999999996</v>
      </c>
      <c r="AE148" s="336">
        <f t="shared" si="46"/>
        <v>0</v>
      </c>
      <c r="AF148" s="1128"/>
    </row>
    <row r="149" spans="1:32" x14ac:dyDescent="0.25">
      <c r="A149" s="327" t="s">
        <v>32</v>
      </c>
      <c r="B149" s="329"/>
      <c r="C149" s="329"/>
      <c r="D149" s="329"/>
      <c r="E149" s="329"/>
      <c r="F149" s="329"/>
      <c r="G149" s="329"/>
      <c r="H149" s="329"/>
      <c r="I149" s="329"/>
      <c r="J149" s="329"/>
      <c r="K149" s="329"/>
      <c r="L149" s="329"/>
      <c r="M149" s="329"/>
      <c r="N149" s="329"/>
      <c r="O149" s="329"/>
      <c r="P149" s="329"/>
      <c r="Q149" s="329"/>
      <c r="R149" s="329"/>
      <c r="S149" s="329"/>
      <c r="T149" s="329"/>
      <c r="U149" s="329"/>
      <c r="V149" s="329"/>
      <c r="W149" s="329"/>
      <c r="X149" s="329"/>
      <c r="Y149" s="329"/>
      <c r="Z149" s="329"/>
      <c r="AA149" s="329"/>
      <c r="AB149" s="329"/>
      <c r="AC149" s="329"/>
      <c r="AD149" s="329"/>
      <c r="AE149" s="329"/>
      <c r="AF149" s="1129"/>
    </row>
    <row r="150" spans="1:32" x14ac:dyDescent="0.25">
      <c r="A150" s="327" t="s">
        <v>93</v>
      </c>
      <c r="B150" s="329">
        <f>H150+J150+L150+N150+P150+R150+T150+V150+X150+Z150+AB150+AD150</f>
        <v>13281.096000000001</v>
      </c>
      <c r="C150" s="329">
        <f>C127</f>
        <v>3034.7909999999997</v>
      </c>
      <c r="D150" s="329">
        <f>E150</f>
        <v>1779.34</v>
      </c>
      <c r="E150" s="329">
        <f>I150+K150+M150+O150+Q150+S150+U150+W150+Y150+AA150+AC150+AE150</f>
        <v>1779.34</v>
      </c>
      <c r="F150" s="329">
        <f>IFERROR(E150/B150*100,0)</f>
        <v>13.397538877815505</v>
      </c>
      <c r="G150" s="329">
        <f>IFERROR(E150/C150*100,0)</f>
        <v>58.631385159637027</v>
      </c>
      <c r="H150" s="329">
        <f t="shared" ref="H150:W150" si="47">H127</f>
        <v>309.10599999999999</v>
      </c>
      <c r="I150" s="329">
        <f t="shared" si="47"/>
        <v>290.38</v>
      </c>
      <c r="J150" s="329">
        <f t="shared" si="47"/>
        <v>520.11699999999996</v>
      </c>
      <c r="K150" s="329">
        <f t="shared" si="47"/>
        <v>297.3</v>
      </c>
      <c r="L150" s="329">
        <f t="shared" si="47"/>
        <v>519.91700000000003</v>
      </c>
      <c r="M150" s="329">
        <f t="shared" si="47"/>
        <v>298.05</v>
      </c>
      <c r="N150" s="329">
        <f t="shared" si="47"/>
        <v>519.91700000000003</v>
      </c>
      <c r="O150" s="329">
        <f t="shared" si="47"/>
        <v>304.35000000000002</v>
      </c>
      <c r="P150" s="329">
        <f t="shared" si="47"/>
        <v>519.91700000000003</v>
      </c>
      <c r="Q150" s="329">
        <f t="shared" si="47"/>
        <v>298.10000000000002</v>
      </c>
      <c r="R150" s="329">
        <f t="shared" si="47"/>
        <v>645.81700000000001</v>
      </c>
      <c r="S150" s="329">
        <f t="shared" si="47"/>
        <v>291.16000000000003</v>
      </c>
      <c r="T150" s="329">
        <f t="shared" si="47"/>
        <v>519.91600000000005</v>
      </c>
      <c r="U150" s="329">
        <f t="shared" si="47"/>
        <v>0</v>
      </c>
      <c r="V150" s="329">
        <f t="shared" si="47"/>
        <v>519.91600000000005</v>
      </c>
      <c r="W150" s="329">
        <f t="shared" si="47"/>
        <v>0</v>
      </c>
      <c r="X150" s="329">
        <f t="shared" ref="X150:AE150" si="48">X127</f>
        <v>519.91600000000005</v>
      </c>
      <c r="Y150" s="329">
        <f t="shared" si="48"/>
        <v>0</v>
      </c>
      <c r="Z150" s="329">
        <f t="shared" si="48"/>
        <v>3700.4160000000002</v>
      </c>
      <c r="AA150" s="329">
        <f t="shared" si="48"/>
        <v>0</v>
      </c>
      <c r="AB150" s="329">
        <f t="shared" si="48"/>
        <v>4442.817</v>
      </c>
      <c r="AC150" s="329">
        <f t="shared" si="48"/>
        <v>0</v>
      </c>
      <c r="AD150" s="329">
        <f t="shared" si="48"/>
        <v>543.32399999999996</v>
      </c>
      <c r="AE150" s="329">
        <f t="shared" si="48"/>
        <v>0</v>
      </c>
      <c r="AF150" s="1129"/>
    </row>
    <row r="151" spans="1:32" ht="31.5" x14ac:dyDescent="0.25">
      <c r="A151" s="341" t="s">
        <v>174</v>
      </c>
      <c r="B151" s="328"/>
      <c r="C151" s="329"/>
      <c r="D151" s="329"/>
      <c r="E151" s="329"/>
      <c r="F151" s="329"/>
      <c r="G151" s="329"/>
      <c r="H151" s="329"/>
      <c r="I151" s="329"/>
      <c r="J151" s="329"/>
      <c r="K151" s="329"/>
      <c r="L151" s="329"/>
      <c r="M151" s="329"/>
      <c r="N151" s="329"/>
      <c r="O151" s="329"/>
      <c r="P151" s="329"/>
      <c r="Q151" s="329"/>
      <c r="R151" s="329"/>
      <c r="S151" s="329"/>
      <c r="T151" s="329"/>
      <c r="U151" s="329"/>
      <c r="V151" s="329"/>
      <c r="W151" s="329"/>
      <c r="X151" s="329"/>
      <c r="Y151" s="329"/>
      <c r="Z151" s="329"/>
      <c r="AA151" s="329"/>
      <c r="AB151" s="329"/>
      <c r="AC151" s="329"/>
      <c r="AD151" s="329"/>
      <c r="AE151" s="329"/>
      <c r="AF151" s="1129"/>
    </row>
    <row r="152" spans="1:32" x14ac:dyDescent="0.25">
      <c r="A152" s="327" t="s">
        <v>374</v>
      </c>
      <c r="B152" s="328"/>
      <c r="C152" s="329"/>
      <c r="D152" s="329"/>
      <c r="E152" s="329"/>
      <c r="F152" s="329"/>
      <c r="G152" s="329"/>
      <c r="H152" s="329"/>
      <c r="I152" s="329"/>
      <c r="J152" s="329"/>
      <c r="K152" s="329"/>
      <c r="L152" s="329"/>
      <c r="M152" s="329"/>
      <c r="N152" s="329"/>
      <c r="O152" s="329"/>
      <c r="P152" s="329"/>
      <c r="Q152" s="329"/>
      <c r="R152" s="329"/>
      <c r="S152" s="329"/>
      <c r="T152" s="329"/>
      <c r="U152" s="329"/>
      <c r="V152" s="329"/>
      <c r="W152" s="329"/>
      <c r="X152" s="329"/>
      <c r="Y152" s="329"/>
      <c r="Z152" s="329"/>
      <c r="AA152" s="329"/>
      <c r="AB152" s="329"/>
      <c r="AC152" s="329"/>
      <c r="AD152" s="329"/>
      <c r="AE152" s="329"/>
      <c r="AF152" s="1129"/>
    </row>
    <row r="153" spans="1:32" ht="31.5" x14ac:dyDescent="0.25">
      <c r="A153" s="330" t="s">
        <v>63</v>
      </c>
      <c r="B153" s="347">
        <f>B154+B155+B157</f>
        <v>894560.37900000007</v>
      </c>
      <c r="C153" s="347">
        <f>C154+C155+C157</f>
        <v>95688.049000000014</v>
      </c>
      <c r="D153" s="347">
        <f>D154+D155+D157</f>
        <v>148141.01</v>
      </c>
      <c r="E153" s="347">
        <f>E154+E155+E157</f>
        <v>148141.01</v>
      </c>
      <c r="F153" s="347">
        <f>E153/B153*100</f>
        <v>16.560202472369951</v>
      </c>
      <c r="G153" s="347">
        <f>E153/C153*100</f>
        <v>154.81662710042295</v>
      </c>
      <c r="H153" s="347">
        <f>H154+H155+H157</f>
        <v>37687.879000000001</v>
      </c>
      <c r="I153" s="347">
        <f t="shared" ref="I153:AE153" si="49">I154+I155+I157</f>
        <v>21641.969999999998</v>
      </c>
      <c r="J153" s="347">
        <f t="shared" si="49"/>
        <v>30920.217000000001</v>
      </c>
      <c r="K153" s="347">
        <f t="shared" si="49"/>
        <v>33857.420000000006</v>
      </c>
      <c r="L153" s="347">
        <f t="shared" si="49"/>
        <v>27079.953000000005</v>
      </c>
      <c r="M153" s="347">
        <f t="shared" si="49"/>
        <v>22549.989999999998</v>
      </c>
      <c r="N153" s="347">
        <f t="shared" si="49"/>
        <v>32433.851000000006</v>
      </c>
      <c r="O153" s="347">
        <f t="shared" si="49"/>
        <v>23828.379999999997</v>
      </c>
      <c r="P153" s="347">
        <f t="shared" si="49"/>
        <v>21759.444000000003</v>
      </c>
      <c r="Q153" s="347">
        <f t="shared" si="49"/>
        <v>23625.32</v>
      </c>
      <c r="R153" s="347">
        <f t="shared" si="49"/>
        <v>21198.339</v>
      </c>
      <c r="S153" s="347">
        <f t="shared" si="49"/>
        <v>22637.929999999997</v>
      </c>
      <c r="T153" s="347">
        <f t="shared" si="49"/>
        <v>40502.904999999999</v>
      </c>
      <c r="U153" s="347">
        <f t="shared" si="49"/>
        <v>0</v>
      </c>
      <c r="V153" s="347">
        <f t="shared" si="49"/>
        <v>19598.91</v>
      </c>
      <c r="W153" s="347">
        <f t="shared" si="49"/>
        <v>0</v>
      </c>
      <c r="X153" s="347">
        <f t="shared" si="49"/>
        <v>353723.91099999996</v>
      </c>
      <c r="Y153" s="347">
        <f t="shared" si="49"/>
        <v>0</v>
      </c>
      <c r="Z153" s="347">
        <f t="shared" si="49"/>
        <v>213742.815</v>
      </c>
      <c r="AA153" s="347">
        <f t="shared" si="49"/>
        <v>0</v>
      </c>
      <c r="AB153" s="347">
        <f t="shared" si="49"/>
        <v>30841.056999999997</v>
      </c>
      <c r="AC153" s="347">
        <f t="shared" si="49"/>
        <v>0</v>
      </c>
      <c r="AD153" s="347">
        <f t="shared" si="49"/>
        <v>65071.097999999998</v>
      </c>
      <c r="AE153" s="347">
        <f t="shared" si="49"/>
        <v>0</v>
      </c>
      <c r="AF153" s="1129"/>
    </row>
    <row r="154" spans="1:32" x14ac:dyDescent="0.25">
      <c r="A154" s="327" t="s">
        <v>32</v>
      </c>
      <c r="B154" s="329">
        <f>H154+J154+L154+N154+P154+R154+T154+V154+X154+Z154+AB154+AD154</f>
        <v>210752.09600000002</v>
      </c>
      <c r="C154" s="329">
        <f>H154+J154+L154</f>
        <v>0</v>
      </c>
      <c r="D154" s="329">
        <f>E154</f>
        <v>0</v>
      </c>
      <c r="E154" s="329">
        <f>I154+K154+M154+O154+Q154+S154+U154+W154+Y154+AA154+AC154+AE154</f>
        <v>0</v>
      </c>
      <c r="F154" s="329">
        <f>IFERROR(E154/B154*100,0)</f>
        <v>0</v>
      </c>
      <c r="G154" s="329">
        <f>IFERROR(E154/C154*100,0)</f>
        <v>0</v>
      </c>
      <c r="H154" s="329">
        <f t="shared" ref="H154:AE154" si="50">H159</f>
        <v>0</v>
      </c>
      <c r="I154" s="329">
        <f t="shared" si="50"/>
        <v>0</v>
      </c>
      <c r="J154" s="329">
        <f t="shared" si="50"/>
        <v>0</v>
      </c>
      <c r="K154" s="329">
        <f t="shared" si="50"/>
        <v>0</v>
      </c>
      <c r="L154" s="329">
        <f t="shared" si="50"/>
        <v>0</v>
      </c>
      <c r="M154" s="329">
        <f t="shared" si="50"/>
        <v>0</v>
      </c>
      <c r="N154" s="329">
        <f t="shared" si="50"/>
        <v>0</v>
      </c>
      <c r="O154" s="329">
        <f t="shared" si="50"/>
        <v>0</v>
      </c>
      <c r="P154" s="329">
        <f t="shared" si="50"/>
        <v>0</v>
      </c>
      <c r="Q154" s="329">
        <f t="shared" si="50"/>
        <v>0</v>
      </c>
      <c r="R154" s="329">
        <f t="shared" si="50"/>
        <v>0</v>
      </c>
      <c r="S154" s="329">
        <f t="shared" si="50"/>
        <v>0</v>
      </c>
      <c r="T154" s="329">
        <f t="shared" si="50"/>
        <v>5612.58</v>
      </c>
      <c r="U154" s="329">
        <f t="shared" si="50"/>
        <v>0</v>
      </c>
      <c r="V154" s="329">
        <f t="shared" si="50"/>
        <v>0</v>
      </c>
      <c r="W154" s="329">
        <f t="shared" si="50"/>
        <v>0</v>
      </c>
      <c r="X154" s="329">
        <f t="shared" si="50"/>
        <v>112862.75</v>
      </c>
      <c r="Y154" s="329">
        <f t="shared" si="50"/>
        <v>0</v>
      </c>
      <c r="Z154" s="329">
        <f t="shared" si="50"/>
        <v>76501.275999999998</v>
      </c>
      <c r="AA154" s="329">
        <f t="shared" si="50"/>
        <v>0</v>
      </c>
      <c r="AB154" s="329">
        <f t="shared" si="50"/>
        <v>573.66999999999996</v>
      </c>
      <c r="AC154" s="329">
        <f t="shared" si="50"/>
        <v>0</v>
      </c>
      <c r="AD154" s="329">
        <f t="shared" si="50"/>
        <v>15201.82</v>
      </c>
      <c r="AE154" s="329">
        <f t="shared" si="50"/>
        <v>0</v>
      </c>
      <c r="AF154" s="1129"/>
    </row>
    <row r="155" spans="1:32" x14ac:dyDescent="0.25">
      <c r="A155" s="327" t="s">
        <v>33</v>
      </c>
      <c r="B155" s="329">
        <f>H155+J155+L155+N155+P155+R155+T155+V155+X155+Z155+AB155+AD155</f>
        <v>327200.52300000004</v>
      </c>
      <c r="C155" s="329">
        <f>H155+J155+L155</f>
        <v>95688.049000000014</v>
      </c>
      <c r="D155" s="329">
        <f>E155</f>
        <v>148141.01</v>
      </c>
      <c r="E155" s="329">
        <f>I155+K155+M155+O155+Q155+S155+U155+W155+Y155+AA155+AC155+AE155</f>
        <v>148141.01</v>
      </c>
      <c r="F155" s="329">
        <f>IFERROR(E155/B155*100,0)</f>
        <v>45.275297435878485</v>
      </c>
      <c r="G155" s="329">
        <f>IFERROR(E155/C155*100,0)</f>
        <v>154.81662710042295</v>
      </c>
      <c r="H155" s="329">
        <f t="shared" ref="H155:W157" si="51">H160</f>
        <v>37687.879000000001</v>
      </c>
      <c r="I155" s="329">
        <f t="shared" si="51"/>
        <v>21641.969999999998</v>
      </c>
      <c r="J155" s="329">
        <f t="shared" si="51"/>
        <v>30920.217000000001</v>
      </c>
      <c r="K155" s="329">
        <f t="shared" si="51"/>
        <v>33857.420000000006</v>
      </c>
      <c r="L155" s="329">
        <f t="shared" si="51"/>
        <v>27079.953000000005</v>
      </c>
      <c r="M155" s="329">
        <f t="shared" si="51"/>
        <v>22549.989999999998</v>
      </c>
      <c r="N155" s="329">
        <f t="shared" si="51"/>
        <v>32433.851000000006</v>
      </c>
      <c r="O155" s="329">
        <f t="shared" si="51"/>
        <v>23828.379999999997</v>
      </c>
      <c r="P155" s="329">
        <f t="shared" si="51"/>
        <v>21759.444000000003</v>
      </c>
      <c r="Q155" s="329">
        <f t="shared" si="51"/>
        <v>23625.32</v>
      </c>
      <c r="R155" s="329">
        <f t="shared" si="51"/>
        <v>21198.339</v>
      </c>
      <c r="S155" s="329">
        <f t="shared" si="51"/>
        <v>22637.929999999997</v>
      </c>
      <c r="T155" s="329">
        <f t="shared" si="51"/>
        <v>23665.165000000005</v>
      </c>
      <c r="U155" s="329">
        <f t="shared" si="51"/>
        <v>0</v>
      </c>
      <c r="V155" s="329">
        <f t="shared" si="51"/>
        <v>19598.91</v>
      </c>
      <c r="W155" s="329">
        <f t="shared" si="51"/>
        <v>0</v>
      </c>
      <c r="X155" s="329">
        <f t="shared" ref="X155:AE155" si="52">X160</f>
        <v>15135.661</v>
      </c>
      <c r="Y155" s="329">
        <f t="shared" si="52"/>
        <v>0</v>
      </c>
      <c r="Z155" s="329">
        <f t="shared" si="52"/>
        <v>38576.788999999997</v>
      </c>
      <c r="AA155" s="329">
        <f t="shared" si="52"/>
        <v>0</v>
      </c>
      <c r="AB155" s="329">
        <f t="shared" si="52"/>
        <v>29120.037</v>
      </c>
      <c r="AC155" s="329">
        <f t="shared" si="52"/>
        <v>0</v>
      </c>
      <c r="AD155" s="329">
        <f t="shared" si="52"/>
        <v>30024.278000000002</v>
      </c>
      <c r="AE155" s="329">
        <f t="shared" si="52"/>
        <v>0</v>
      </c>
      <c r="AF155" s="1129"/>
    </row>
    <row r="156" spans="1:32" ht="31.5" x14ac:dyDescent="0.25">
      <c r="A156" s="341" t="s">
        <v>174</v>
      </c>
      <c r="B156" s="329"/>
      <c r="C156" s="329"/>
      <c r="D156" s="329"/>
      <c r="E156" s="329"/>
      <c r="F156" s="329"/>
      <c r="G156" s="329"/>
      <c r="H156" s="329"/>
      <c r="I156" s="329"/>
      <c r="J156" s="329"/>
      <c r="K156" s="329"/>
      <c r="L156" s="329"/>
      <c r="M156" s="329"/>
      <c r="N156" s="329"/>
      <c r="O156" s="329"/>
      <c r="P156" s="329"/>
      <c r="Q156" s="329"/>
      <c r="R156" s="329"/>
      <c r="S156" s="329"/>
      <c r="T156" s="329"/>
      <c r="U156" s="329"/>
      <c r="V156" s="329"/>
      <c r="W156" s="329"/>
      <c r="X156" s="329"/>
      <c r="Y156" s="329"/>
      <c r="Z156" s="329"/>
      <c r="AA156" s="329"/>
      <c r="AB156" s="329"/>
      <c r="AC156" s="329"/>
      <c r="AD156" s="329"/>
      <c r="AE156" s="329"/>
      <c r="AF156" s="1129"/>
    </row>
    <row r="157" spans="1:32" x14ac:dyDescent="0.25">
      <c r="A157" s="327" t="s">
        <v>374</v>
      </c>
      <c r="B157" s="329">
        <f>H157+J157+L157+N157+P157+R157+T157+V157+X157+Z157+AB157+AD157</f>
        <v>356607.76</v>
      </c>
      <c r="C157" s="329">
        <f>H157+J157+L157</f>
        <v>0</v>
      </c>
      <c r="D157" s="329">
        <f>E157</f>
        <v>0</v>
      </c>
      <c r="E157" s="329">
        <f>I157+K157+M157+O157+Q157+S157+U157+W157+Y157+AA157+AC157+AE157</f>
        <v>0</v>
      </c>
      <c r="F157" s="329">
        <f>IFERROR(E157/B157*100,0)</f>
        <v>0</v>
      </c>
      <c r="G157" s="329">
        <f>IFERROR(E157/C157*100,0)</f>
        <v>0</v>
      </c>
      <c r="H157" s="329">
        <f t="shared" si="51"/>
        <v>0</v>
      </c>
      <c r="I157" s="329">
        <f t="shared" si="51"/>
        <v>0</v>
      </c>
      <c r="J157" s="329">
        <f t="shared" si="51"/>
        <v>0</v>
      </c>
      <c r="K157" s="329">
        <f t="shared" si="51"/>
        <v>0</v>
      </c>
      <c r="L157" s="329">
        <f t="shared" si="51"/>
        <v>0</v>
      </c>
      <c r="M157" s="329">
        <f t="shared" si="51"/>
        <v>0</v>
      </c>
      <c r="N157" s="329">
        <f t="shared" si="51"/>
        <v>0</v>
      </c>
      <c r="O157" s="329">
        <f t="shared" si="51"/>
        <v>0</v>
      </c>
      <c r="P157" s="329">
        <f t="shared" si="51"/>
        <v>0</v>
      </c>
      <c r="Q157" s="329">
        <f t="shared" si="51"/>
        <v>0</v>
      </c>
      <c r="R157" s="329">
        <f t="shared" si="51"/>
        <v>0</v>
      </c>
      <c r="S157" s="329">
        <f t="shared" si="51"/>
        <v>0</v>
      </c>
      <c r="T157" s="329">
        <f t="shared" si="51"/>
        <v>11225.16</v>
      </c>
      <c r="U157" s="329">
        <f t="shared" si="51"/>
        <v>0</v>
      </c>
      <c r="V157" s="329">
        <f t="shared" si="51"/>
        <v>0</v>
      </c>
      <c r="W157" s="329">
        <f t="shared" si="51"/>
        <v>0</v>
      </c>
      <c r="X157" s="329">
        <f t="shared" ref="X157:AE157" si="53">X162</f>
        <v>225725.5</v>
      </c>
      <c r="Y157" s="329">
        <f t="shared" si="53"/>
        <v>0</v>
      </c>
      <c r="Z157" s="329">
        <f t="shared" si="53"/>
        <v>98664.75</v>
      </c>
      <c r="AA157" s="329">
        <f t="shared" si="53"/>
        <v>0</v>
      </c>
      <c r="AB157" s="329">
        <f t="shared" si="53"/>
        <v>1147.3499999999999</v>
      </c>
      <c r="AC157" s="329">
        <f t="shared" si="53"/>
        <v>0</v>
      </c>
      <c r="AD157" s="329">
        <f t="shared" si="53"/>
        <v>19845</v>
      </c>
      <c r="AE157" s="329">
        <f t="shared" si="53"/>
        <v>0</v>
      </c>
      <c r="AF157" s="1130"/>
    </row>
    <row r="158" spans="1:32" ht="31.5" x14ac:dyDescent="0.25">
      <c r="A158" s="348" t="s">
        <v>100</v>
      </c>
      <c r="B158" s="349">
        <f>B159+B160+B162</f>
        <v>894560.37900000007</v>
      </c>
      <c r="C158" s="349">
        <f>C159+C160+C162</f>
        <v>171011.98299999998</v>
      </c>
      <c r="D158" s="349">
        <f>D159+D160+D162</f>
        <v>148141.01</v>
      </c>
      <c r="E158" s="349">
        <f>E159+E160+E162</f>
        <v>148141.01</v>
      </c>
      <c r="F158" s="349">
        <f>IFERROR(E158/B158%,0)</f>
        <v>16.560202472369951</v>
      </c>
      <c r="G158" s="349">
        <f>IFERROR(E158/C158%,0)</f>
        <v>86.626099178090939</v>
      </c>
      <c r="H158" s="349">
        <f>H159+H160+H162</f>
        <v>37687.879000000001</v>
      </c>
      <c r="I158" s="349">
        <f t="shared" ref="I158:AE158" si="54">I159+I160+I162</f>
        <v>21641.969999999998</v>
      </c>
      <c r="J158" s="349">
        <f t="shared" si="54"/>
        <v>30920.217000000001</v>
      </c>
      <c r="K158" s="349">
        <f t="shared" si="54"/>
        <v>33857.420000000006</v>
      </c>
      <c r="L158" s="349">
        <f t="shared" si="54"/>
        <v>27079.953000000005</v>
      </c>
      <c r="M158" s="349">
        <f t="shared" si="54"/>
        <v>22549.989999999998</v>
      </c>
      <c r="N158" s="349">
        <f t="shared" si="54"/>
        <v>32433.851000000006</v>
      </c>
      <c r="O158" s="349">
        <f t="shared" si="54"/>
        <v>23828.379999999997</v>
      </c>
      <c r="P158" s="349">
        <f t="shared" si="54"/>
        <v>21759.444000000003</v>
      </c>
      <c r="Q158" s="349">
        <f t="shared" si="54"/>
        <v>23625.32</v>
      </c>
      <c r="R158" s="349">
        <f t="shared" si="54"/>
        <v>21198.339</v>
      </c>
      <c r="S158" s="349">
        <f t="shared" si="54"/>
        <v>22637.929999999997</v>
      </c>
      <c r="T158" s="349">
        <f t="shared" si="54"/>
        <v>40502.904999999999</v>
      </c>
      <c r="U158" s="349">
        <f t="shared" si="54"/>
        <v>0</v>
      </c>
      <c r="V158" s="349">
        <f t="shared" si="54"/>
        <v>19598.91</v>
      </c>
      <c r="W158" s="349">
        <f t="shared" si="54"/>
        <v>0</v>
      </c>
      <c r="X158" s="349">
        <f t="shared" si="54"/>
        <v>353723.91099999996</v>
      </c>
      <c r="Y158" s="349">
        <f t="shared" si="54"/>
        <v>0</v>
      </c>
      <c r="Z158" s="349">
        <f t="shared" si="54"/>
        <v>213742.815</v>
      </c>
      <c r="AA158" s="349">
        <f t="shared" si="54"/>
        <v>0</v>
      </c>
      <c r="AB158" s="349">
        <f t="shared" si="54"/>
        <v>30841.056999999997</v>
      </c>
      <c r="AC158" s="349">
        <f t="shared" si="54"/>
        <v>0</v>
      </c>
      <c r="AD158" s="349">
        <f t="shared" si="54"/>
        <v>65071.097999999998</v>
      </c>
      <c r="AE158" s="349">
        <f t="shared" si="54"/>
        <v>0</v>
      </c>
      <c r="AF158" s="1131"/>
    </row>
    <row r="159" spans="1:32" x14ac:dyDescent="0.25">
      <c r="A159" s="327" t="s">
        <v>32</v>
      </c>
      <c r="B159" s="329">
        <f>B17+B53+B107+B126</f>
        <v>210752.09600000002</v>
      </c>
      <c r="C159" s="329">
        <f>C17+C53+C107+C126</f>
        <v>0</v>
      </c>
      <c r="D159" s="329">
        <f>D17+D53+D107+D126</f>
        <v>0</v>
      </c>
      <c r="E159" s="329">
        <f>E17+E53+E107+E126</f>
        <v>0</v>
      </c>
      <c r="F159" s="329">
        <f>IFERROR(E159/B159%,0)</f>
        <v>0</v>
      </c>
      <c r="G159" s="329">
        <f>IFERROR(E159/C159%,0)</f>
        <v>0</v>
      </c>
      <c r="H159" s="329">
        <f t="shared" ref="H159:AE159" si="55">H17+H53+H107+H126</f>
        <v>0</v>
      </c>
      <c r="I159" s="329">
        <f t="shared" si="55"/>
        <v>0</v>
      </c>
      <c r="J159" s="329">
        <f t="shared" si="55"/>
        <v>0</v>
      </c>
      <c r="K159" s="329">
        <f t="shared" si="55"/>
        <v>0</v>
      </c>
      <c r="L159" s="329">
        <f t="shared" si="55"/>
        <v>0</v>
      </c>
      <c r="M159" s="329">
        <f t="shared" si="55"/>
        <v>0</v>
      </c>
      <c r="N159" s="329">
        <f t="shared" si="55"/>
        <v>0</v>
      </c>
      <c r="O159" s="329">
        <f t="shared" si="55"/>
        <v>0</v>
      </c>
      <c r="P159" s="329">
        <f t="shared" si="55"/>
        <v>0</v>
      </c>
      <c r="Q159" s="329">
        <f t="shared" si="55"/>
        <v>0</v>
      </c>
      <c r="R159" s="329">
        <f t="shared" si="55"/>
        <v>0</v>
      </c>
      <c r="S159" s="329">
        <f t="shared" si="55"/>
        <v>0</v>
      </c>
      <c r="T159" s="329">
        <f t="shared" si="55"/>
        <v>5612.58</v>
      </c>
      <c r="U159" s="329">
        <f t="shared" si="55"/>
        <v>0</v>
      </c>
      <c r="V159" s="329">
        <f t="shared" si="55"/>
        <v>0</v>
      </c>
      <c r="W159" s="329">
        <f t="shared" si="55"/>
        <v>0</v>
      </c>
      <c r="X159" s="329">
        <f t="shared" si="55"/>
        <v>112862.75</v>
      </c>
      <c r="Y159" s="329">
        <f t="shared" si="55"/>
        <v>0</v>
      </c>
      <c r="Z159" s="329">
        <f t="shared" si="55"/>
        <v>76501.275999999998</v>
      </c>
      <c r="AA159" s="329">
        <f t="shared" si="55"/>
        <v>0</v>
      </c>
      <c r="AB159" s="329">
        <f t="shared" si="55"/>
        <v>573.66999999999996</v>
      </c>
      <c r="AC159" s="329">
        <f t="shared" si="55"/>
        <v>0</v>
      </c>
      <c r="AD159" s="329">
        <f t="shared" si="55"/>
        <v>15201.82</v>
      </c>
      <c r="AE159" s="329">
        <f t="shared" si="55"/>
        <v>0</v>
      </c>
      <c r="AF159" s="1132"/>
    </row>
    <row r="160" spans="1:32" x14ac:dyDescent="0.25">
      <c r="A160" s="327" t="s">
        <v>33</v>
      </c>
      <c r="B160" s="329">
        <f>B10+B18+B54+B108+B127</f>
        <v>327200.52300000004</v>
      </c>
      <c r="C160" s="329">
        <f>C10+C18+C54+C108+C127</f>
        <v>171011.98299999998</v>
      </c>
      <c r="D160" s="329">
        <f>D10+D18+D54+D108+D127</f>
        <v>148141.01</v>
      </c>
      <c r="E160" s="329">
        <f>E10+E18+E54+E108+E127</f>
        <v>148141.01</v>
      </c>
      <c r="F160" s="329">
        <f>IFERROR(E160/B160%,0)</f>
        <v>45.275297435878478</v>
      </c>
      <c r="G160" s="329">
        <f>IFERROR(E160/C160%,0)</f>
        <v>86.626099178090939</v>
      </c>
      <c r="H160" s="602">
        <f t="shared" ref="H160:AE160" si="56">H10+H18+H54+H108+H127</f>
        <v>37687.879000000001</v>
      </c>
      <c r="I160" s="329">
        <f t="shared" si="56"/>
        <v>21641.969999999998</v>
      </c>
      <c r="J160" s="329">
        <f t="shared" si="56"/>
        <v>30920.217000000001</v>
      </c>
      <c r="K160" s="329">
        <f t="shared" si="56"/>
        <v>33857.420000000006</v>
      </c>
      <c r="L160" s="329">
        <f t="shared" si="56"/>
        <v>27079.953000000005</v>
      </c>
      <c r="M160" s="329">
        <f t="shared" si="56"/>
        <v>22549.989999999998</v>
      </c>
      <c r="N160" s="329">
        <f t="shared" si="56"/>
        <v>32433.851000000006</v>
      </c>
      <c r="O160" s="329">
        <f t="shared" si="56"/>
        <v>23828.379999999997</v>
      </c>
      <c r="P160" s="329">
        <f t="shared" si="56"/>
        <v>21759.444000000003</v>
      </c>
      <c r="Q160" s="329">
        <f t="shared" si="56"/>
        <v>23625.32</v>
      </c>
      <c r="R160" s="329">
        <f t="shared" si="56"/>
        <v>21198.339</v>
      </c>
      <c r="S160" s="329">
        <f t="shared" si="56"/>
        <v>22637.929999999997</v>
      </c>
      <c r="T160" s="329">
        <f t="shared" si="56"/>
        <v>23665.165000000005</v>
      </c>
      <c r="U160" s="329">
        <f t="shared" si="56"/>
        <v>0</v>
      </c>
      <c r="V160" s="329">
        <f t="shared" si="56"/>
        <v>19598.91</v>
      </c>
      <c r="W160" s="329">
        <f t="shared" si="56"/>
        <v>0</v>
      </c>
      <c r="X160" s="329">
        <f t="shared" si="56"/>
        <v>15135.661</v>
      </c>
      <c r="Y160" s="329">
        <f t="shared" si="56"/>
        <v>0</v>
      </c>
      <c r="Z160" s="329">
        <f t="shared" si="56"/>
        <v>38576.788999999997</v>
      </c>
      <c r="AA160" s="329">
        <f t="shared" si="56"/>
        <v>0</v>
      </c>
      <c r="AB160" s="329">
        <f t="shared" si="56"/>
        <v>29120.037</v>
      </c>
      <c r="AC160" s="329">
        <f t="shared" si="56"/>
        <v>0</v>
      </c>
      <c r="AD160" s="329">
        <f t="shared" si="56"/>
        <v>30024.278000000002</v>
      </c>
      <c r="AE160" s="329">
        <f t="shared" si="56"/>
        <v>0</v>
      </c>
      <c r="AF160" s="1132"/>
    </row>
    <row r="161" spans="1:32" ht="31.5" x14ac:dyDescent="0.25">
      <c r="A161" s="341" t="s">
        <v>174</v>
      </c>
      <c r="B161" s="329">
        <f t="shared" ref="B161:E162" si="57">B19+B55++B109+B128</f>
        <v>0</v>
      </c>
      <c r="C161" s="329">
        <f t="shared" si="57"/>
        <v>0</v>
      </c>
      <c r="D161" s="329">
        <f t="shared" si="57"/>
        <v>0</v>
      </c>
      <c r="E161" s="329">
        <f t="shared" si="57"/>
        <v>0</v>
      </c>
      <c r="F161" s="329">
        <f>IFERROR(E161/B161%,0)</f>
        <v>0</v>
      </c>
      <c r="G161" s="329">
        <f>IFERROR(E161/C161%,0)</f>
        <v>0</v>
      </c>
      <c r="H161" s="329">
        <f t="shared" ref="H161:AE161" si="58">H19+H55++H109+H128</f>
        <v>0</v>
      </c>
      <c r="I161" s="329">
        <f t="shared" si="58"/>
        <v>0</v>
      </c>
      <c r="J161" s="329">
        <f t="shared" si="58"/>
        <v>0</v>
      </c>
      <c r="K161" s="329">
        <f t="shared" si="58"/>
        <v>0</v>
      </c>
      <c r="L161" s="329">
        <f t="shared" si="58"/>
        <v>0</v>
      </c>
      <c r="M161" s="329">
        <f t="shared" si="58"/>
        <v>0</v>
      </c>
      <c r="N161" s="329">
        <f t="shared" si="58"/>
        <v>0</v>
      </c>
      <c r="O161" s="329">
        <f t="shared" si="58"/>
        <v>0</v>
      </c>
      <c r="P161" s="329">
        <f t="shared" si="58"/>
        <v>0</v>
      </c>
      <c r="Q161" s="329">
        <f t="shared" si="58"/>
        <v>0</v>
      </c>
      <c r="R161" s="329">
        <f t="shared" si="58"/>
        <v>0</v>
      </c>
      <c r="S161" s="329">
        <f t="shared" si="58"/>
        <v>0</v>
      </c>
      <c r="T161" s="329">
        <f t="shared" si="58"/>
        <v>0</v>
      </c>
      <c r="U161" s="329">
        <f t="shared" si="58"/>
        <v>0</v>
      </c>
      <c r="V161" s="329">
        <f t="shared" si="58"/>
        <v>0</v>
      </c>
      <c r="W161" s="329">
        <f t="shared" si="58"/>
        <v>0</v>
      </c>
      <c r="X161" s="329">
        <f t="shared" si="58"/>
        <v>0</v>
      </c>
      <c r="Y161" s="329">
        <f t="shared" si="58"/>
        <v>0</v>
      </c>
      <c r="Z161" s="329">
        <f t="shared" si="58"/>
        <v>0</v>
      </c>
      <c r="AA161" s="329">
        <f t="shared" si="58"/>
        <v>0</v>
      </c>
      <c r="AB161" s="329">
        <f t="shared" si="58"/>
        <v>0</v>
      </c>
      <c r="AC161" s="329">
        <f t="shared" si="58"/>
        <v>0</v>
      </c>
      <c r="AD161" s="329">
        <f t="shared" si="58"/>
        <v>0</v>
      </c>
      <c r="AE161" s="329">
        <f t="shared" si="58"/>
        <v>0</v>
      </c>
      <c r="AF161" s="1132"/>
    </row>
    <row r="162" spans="1:32" x14ac:dyDescent="0.25">
      <c r="A162" s="327" t="s">
        <v>374</v>
      </c>
      <c r="B162" s="329">
        <f t="shared" si="57"/>
        <v>356607.76</v>
      </c>
      <c r="C162" s="329">
        <f t="shared" si="57"/>
        <v>0</v>
      </c>
      <c r="D162" s="329">
        <f t="shared" si="57"/>
        <v>0</v>
      </c>
      <c r="E162" s="329">
        <f t="shared" si="57"/>
        <v>0</v>
      </c>
      <c r="F162" s="329">
        <f>IFERROR(E162/B162%,0)</f>
        <v>0</v>
      </c>
      <c r="G162" s="329">
        <f>IFERROR(E162/C162%,0)</f>
        <v>0</v>
      </c>
      <c r="H162" s="329">
        <f t="shared" ref="H162:AE162" si="59">H20+H56++H110+H129</f>
        <v>0</v>
      </c>
      <c r="I162" s="329">
        <f t="shared" si="59"/>
        <v>0</v>
      </c>
      <c r="J162" s="329">
        <f t="shared" si="59"/>
        <v>0</v>
      </c>
      <c r="K162" s="329">
        <f t="shared" si="59"/>
        <v>0</v>
      </c>
      <c r="L162" s="329">
        <f t="shared" si="59"/>
        <v>0</v>
      </c>
      <c r="M162" s="329">
        <f t="shared" si="59"/>
        <v>0</v>
      </c>
      <c r="N162" s="329">
        <f t="shared" si="59"/>
        <v>0</v>
      </c>
      <c r="O162" s="329">
        <f t="shared" si="59"/>
        <v>0</v>
      </c>
      <c r="P162" s="329">
        <f t="shared" si="59"/>
        <v>0</v>
      </c>
      <c r="Q162" s="329">
        <f t="shared" si="59"/>
        <v>0</v>
      </c>
      <c r="R162" s="329">
        <f t="shared" si="59"/>
        <v>0</v>
      </c>
      <c r="S162" s="329">
        <f t="shared" si="59"/>
        <v>0</v>
      </c>
      <c r="T162" s="329">
        <f t="shared" si="59"/>
        <v>11225.16</v>
      </c>
      <c r="U162" s="329">
        <f t="shared" si="59"/>
        <v>0</v>
      </c>
      <c r="V162" s="329">
        <f t="shared" si="59"/>
        <v>0</v>
      </c>
      <c r="W162" s="329">
        <f t="shared" si="59"/>
        <v>0</v>
      </c>
      <c r="X162" s="329">
        <f t="shared" si="59"/>
        <v>225725.5</v>
      </c>
      <c r="Y162" s="329">
        <f t="shared" si="59"/>
        <v>0</v>
      </c>
      <c r="Z162" s="329">
        <f t="shared" si="59"/>
        <v>98664.75</v>
      </c>
      <c r="AA162" s="329">
        <f t="shared" si="59"/>
        <v>0</v>
      </c>
      <c r="AB162" s="329">
        <f t="shared" si="59"/>
        <v>1147.3499999999999</v>
      </c>
      <c r="AC162" s="329">
        <f t="shared" si="59"/>
        <v>0</v>
      </c>
      <c r="AD162" s="329">
        <f t="shared" si="59"/>
        <v>19845</v>
      </c>
      <c r="AE162" s="329">
        <f t="shared" si="59"/>
        <v>0</v>
      </c>
      <c r="AF162" s="1133"/>
    </row>
    <row r="165" spans="1:32" ht="16.5" x14ac:dyDescent="0.25">
      <c r="A165" s="522" t="s">
        <v>486</v>
      </c>
      <c r="B165" s="522"/>
      <c r="C165" s="522"/>
      <c r="D165" s="522"/>
      <c r="F165" s="522" t="s">
        <v>478</v>
      </c>
      <c r="G165" s="522"/>
      <c r="H165" s="522"/>
    </row>
    <row r="166" spans="1:32" ht="16.5" x14ac:dyDescent="0.25">
      <c r="A166" s="522"/>
      <c r="B166" s="522"/>
      <c r="C166" s="522"/>
      <c r="D166" s="522"/>
      <c r="F166" s="522"/>
      <c r="G166" s="522"/>
      <c r="H166" s="522"/>
    </row>
    <row r="167" spans="1:32" ht="16.5" x14ac:dyDescent="0.25">
      <c r="A167" s="522" t="s">
        <v>476</v>
      </c>
      <c r="B167" s="523"/>
      <c r="C167" s="523"/>
      <c r="D167" s="522"/>
      <c r="F167" s="522" t="s">
        <v>485</v>
      </c>
      <c r="G167" s="523"/>
      <c r="H167" s="523"/>
    </row>
    <row r="168" spans="1:32" ht="16.5" x14ac:dyDescent="0.25">
      <c r="A168" s="522" t="s">
        <v>477</v>
      </c>
      <c r="B168" s="522"/>
      <c r="C168" s="522"/>
      <c r="D168" s="522"/>
    </row>
    <row r="169" spans="1:32" ht="16.5" x14ac:dyDescent="0.25">
      <c r="A169" s="522"/>
      <c r="B169" s="522"/>
      <c r="C169" s="522"/>
      <c r="D169" s="522"/>
    </row>
    <row r="170" spans="1:32" ht="16.5" x14ac:dyDescent="0.25">
      <c r="A170" s="522"/>
      <c r="B170" s="522"/>
      <c r="C170" s="522"/>
      <c r="D170" s="522"/>
    </row>
    <row r="171" spans="1:32" ht="16.5" x14ac:dyDescent="0.25">
      <c r="A171" s="522"/>
      <c r="B171" s="522"/>
      <c r="C171" s="522"/>
      <c r="D171" s="522"/>
    </row>
    <row r="172" spans="1:32" ht="16.5" x14ac:dyDescent="0.25">
      <c r="D172" s="522"/>
    </row>
    <row r="173" spans="1:32" ht="16.5" x14ac:dyDescent="0.25">
      <c r="D173" s="522"/>
    </row>
    <row r="174" spans="1:32" ht="16.5" x14ac:dyDescent="0.25">
      <c r="D174" s="522"/>
    </row>
    <row r="175" spans="1:32" ht="16.5" x14ac:dyDescent="0.25">
      <c r="A175" s="522"/>
      <c r="B175" s="522"/>
      <c r="C175" s="522"/>
      <c r="D175" s="522"/>
    </row>
  </sheetData>
  <customSheetViews>
    <customSheetView guid="{7C130984-112A-4861-AA43-E2940708E3DC}" scale="60" state="hidden">
      <pane xSplit="1" ySplit="8" topLeftCell="O22" activePane="bottomRight" state="frozen"/>
      <selection pane="bottomRight" activeCell="T35" sqref="T35"/>
      <pageMargins left="0.11811023622047245" right="0.11811023622047245" top="0" bottom="0.15748031496062992" header="0.31496062992125984" footer="0.31496062992125984"/>
      <pageSetup paperSize="9" scale="45" orientation="landscape" r:id="rId1"/>
    </customSheetView>
    <customSheetView guid="{4F41B9CC-959D-442C-80B0-1F0DB2C76D27}" scale="60">
      <pane xSplit="1" ySplit="7" topLeftCell="B142" activePane="bottomRight" state="frozen"/>
      <selection pane="bottomRight" activeCell="L149" sqref="L149"/>
      <pageMargins left="0.11811023622047245" right="0.11811023622047245" top="0" bottom="0.15748031496062992" header="0.31496062992125984" footer="0.31496062992125984"/>
      <pageSetup paperSize="9" scale="45" orientation="landscape" r:id="rId2"/>
    </customSheetView>
    <customSheetView guid="{391AB76E-B386-49C1-800F-016A48AA1A46}" scale="60">
      <pane xSplit="1" ySplit="8" topLeftCell="B142" activePane="bottomRight" state="frozen"/>
      <selection pane="bottomRight" activeCell="L149" sqref="L149"/>
      <pageMargins left="0.11811023622047245" right="0.11811023622047245" top="0" bottom="0.15748031496062992" header="0.31496062992125984" footer="0.31496062992125984"/>
      <pageSetup paperSize="9" scale="45" orientation="landscape" r:id="rId3"/>
    </customSheetView>
    <customSheetView guid="{D01FA037-9AEC-4167-ADB8-2F327C01ECE6}" scale="60">
      <pane xSplit="1" ySplit="8" topLeftCell="B142" activePane="bottomRight" state="frozen"/>
      <selection pane="bottomRight" activeCell="L149" sqref="L149"/>
      <pageMargins left="0.11811023622047245" right="0.11811023622047245" top="0" bottom="0.15748031496062992" header="0.31496062992125984" footer="0.31496062992125984"/>
      <pageSetup paperSize="9" scale="45" orientation="landscape" r:id="rId4"/>
    </customSheetView>
    <customSheetView guid="{6A602CB8-B24C-4ED4-B378-B27354BE0A1A}" scale="60">
      <pane xSplit="1" ySplit="8" topLeftCell="B142" activePane="bottomRight" state="frozen"/>
      <selection pane="bottomRight" activeCell="L149" sqref="L149"/>
      <pageMargins left="0.11811023622047245" right="0.11811023622047245" top="0" bottom="0.15748031496062992" header="0.31496062992125984" footer="0.31496062992125984"/>
      <pageSetup paperSize="9" scale="45" orientation="landscape" r:id="rId5"/>
    </customSheetView>
    <customSheetView guid="{DAA8A688-7558-4B5B-8DBD-E2629BD9E9A8}" scale="60">
      <pane xSplit="1" ySplit="8" topLeftCell="B142" activePane="bottomRight" state="frozen"/>
      <selection pane="bottomRight" activeCell="L149" sqref="L149"/>
      <pageMargins left="0.11811023622047245" right="0.11811023622047245" top="0" bottom="0.15748031496062992" header="0.31496062992125984" footer="0.31496062992125984"/>
      <pageSetup paperSize="9" scale="45" orientation="landscape" r:id="rId6"/>
    </customSheetView>
    <customSheetView guid="{0C2B9C2A-7B94-41EF-A2E6-F8AC9A67DE25}" scale="60">
      <pane xSplit="1" ySplit="8" topLeftCell="B126" activePane="bottomRight" state="frozen"/>
      <selection pane="bottomRight" activeCell="U139" sqref="U139"/>
      <pageMargins left="0.11811023622047245" right="0.11811023622047245" top="0" bottom="0.15748031496062992" header="0.31496062992125984" footer="0.31496062992125984"/>
      <pageSetup paperSize="9" scale="45" orientation="landscape" r:id="rId7"/>
    </customSheetView>
    <customSheetView guid="{87218168-6C8E-4D5B-A5E5-DCCC26803AA3}" scale="60">
      <pane xSplit="1" ySplit="8" topLeftCell="F63" activePane="bottomRight" state="frozen"/>
      <selection pane="bottomRight" sqref="A1:AF164"/>
      <pageMargins left="0.11811023622047245" right="0.11811023622047245" top="0" bottom="0.15748031496062992" header="0.31496062992125984" footer="0.31496062992125984"/>
      <pageSetup paperSize="9" scale="45" orientation="landscape" r:id="rId8"/>
    </customSheetView>
    <customSheetView guid="{533DC55B-6AD4-4674-9488-685EF2039F3E}" scale="60">
      <pane xSplit="1" ySplit="8" topLeftCell="F63" activePane="bottomRight" state="frozen"/>
      <selection pane="bottomRight" sqref="A1:AF164"/>
      <pageMargins left="0.11811023622047245" right="0.11811023622047245" top="0" bottom="0.15748031496062992" header="0.31496062992125984" footer="0.31496062992125984"/>
      <pageSetup paperSize="9" scale="45" orientation="landscape" r:id="rId9"/>
    </customSheetView>
    <customSheetView guid="{69DABE6F-6182-4403-A4A2-969F10F1C13A}" scale="60">
      <pane xSplit="1" ySplit="8" topLeftCell="B9" activePane="bottomRight" state="frozen"/>
      <selection pane="bottomRight" activeCell="A99" sqref="A99:XFD104"/>
      <pageMargins left="0.11811023622047245" right="0.11811023622047245" top="0.15748031496062992" bottom="0.15748031496062992" header="0.31496062992125984" footer="0.31496062992125984"/>
      <pageSetup paperSize="9" scale="45" orientation="landscape" r:id="rId10"/>
    </customSheetView>
    <customSheetView guid="{84867370-1F3E-4368-AF79-FBCE46FFFE92}" scale="60">
      <pane xSplit="1" ySplit="8" topLeftCell="B9" activePane="bottomRight" state="frozen"/>
      <selection pane="bottomRight" sqref="A1:XFD1048576"/>
      <pageMargins left="0.11811023622047245" right="0.11811023622047245" top="0.15748031496062992" bottom="0.15748031496062992" header="0.31496062992125984" footer="0.31496062992125984"/>
      <pageSetup paperSize="9" scale="45" orientation="landscape" r:id="rId11"/>
    </customSheetView>
    <customSheetView guid="{47B983AB-FE5F-4725-860C-A2F29420596D}" scale="60">
      <pane xSplit="1" ySplit="8" topLeftCell="B126" activePane="bottomRight" state="frozen"/>
      <selection pane="bottomRight" activeCell="A38" sqref="A38"/>
      <pageMargins left="0.11811023622047245" right="0.11811023622047245" top="0.15748031496062992" bottom="0.15748031496062992" header="0.31496062992125984" footer="0.31496062992125984"/>
      <pageSetup paperSize="9" scale="45" orientation="landscape" r:id="rId12"/>
    </customSheetView>
    <customSheetView guid="{959E901C-5DDE-42EE-AE94-AB8976B5E00B}" scale="60">
      <pane xSplit="1" ySplit="8" topLeftCell="B126" activePane="bottomRight" state="frozen"/>
      <selection pane="bottomRight" activeCell="A38" sqref="A38"/>
      <pageMargins left="0.11811023622047245" right="0.11811023622047245" top="0.15748031496062992" bottom="0.15748031496062992" header="0.31496062992125984" footer="0.31496062992125984"/>
      <pageSetup paperSize="9" scale="45" orientation="landscape" r:id="rId13"/>
    </customSheetView>
    <customSheetView guid="{F679EF4A-C5FD-4B86-B87B-D85968E0F2CA}" scale="60">
      <pane xSplit="1" ySplit="8" topLeftCell="B126" activePane="bottomRight" state="frozen"/>
      <selection pane="bottomRight" activeCell="A38" sqref="A38"/>
      <pageMargins left="0.11811023622047245" right="0.11811023622047245" top="0.15748031496062992" bottom="0.15748031496062992" header="0.31496062992125984" footer="0.31496062992125984"/>
      <pageSetup paperSize="9" scale="45" orientation="landscape" r:id="rId14"/>
    </customSheetView>
    <customSheetView guid="{009B3074-D8EC-4952-BF50-43CD64449612}" scale="60">
      <pane xSplit="1" ySplit="8" topLeftCell="B30" activePane="bottomRight" state="frozen"/>
      <selection pane="bottomRight" activeCell="A38" sqref="A38"/>
      <pageMargins left="0.11811023622047245" right="0.11811023622047245" top="0.15748031496062992" bottom="0.15748031496062992" header="0.31496062992125984" footer="0.31496062992125984"/>
      <pageSetup paperSize="9" scale="45" orientation="landscape" r:id="rId15"/>
    </customSheetView>
    <customSheetView guid="{770624BF-07F3-44B6-94C3-4CC447CDD45C}" scale="80">
      <pane xSplit="1" ySplit="8" topLeftCell="B9" activePane="bottomRight" state="frozen"/>
      <selection pane="bottomRight" activeCell="J24" sqref="J24"/>
      <pageMargins left="0.11811023622047245" right="0.11811023622047245" top="0.15748031496062992" bottom="0.15748031496062992" header="0.31496062992125984" footer="0.31496062992125984"/>
      <pageSetup paperSize="9" scale="45" orientation="landscape" r:id="rId16"/>
    </customSheetView>
    <customSheetView guid="{B82BA08A-1A30-4F4D-A478-74A6BD09EA97}" scale="60" topLeftCell="A112">
      <selection activeCell="K140" sqref="K140"/>
      <pageMargins left="0.11811023622047245" right="0.11811023622047245" top="0.15748031496062992" bottom="0.15748031496062992" header="0.31496062992125984" footer="0.31496062992125984"/>
      <pageSetup paperSize="9" scale="45" orientation="landscape" r:id="rId17"/>
    </customSheetView>
    <customSheetView guid="{874882D1-E741-4CCA-BF0D-E72FA60B771D}" scale="60" topLeftCell="A142">
      <selection activeCell="G145" sqref="G145"/>
      <pageMargins left="0.11811023622047245" right="0.11811023622047245" top="0.15748031496062992" bottom="0.15748031496062992" header="0.31496062992125984" footer="0.31496062992125984"/>
      <pageSetup paperSize="9" scale="45" orientation="landscape" r:id="rId18"/>
    </customSheetView>
    <customSheetView guid="{C236B307-BD63-48C4-A75F-B3F3717BF55C}" scale="60" topLeftCell="A142">
      <selection activeCell="G145" sqref="G145"/>
      <pageMargins left="0.11811023622047245" right="0.11811023622047245" top="0.15748031496062992" bottom="0.15748031496062992" header="0.31496062992125984" footer="0.31496062992125984"/>
      <pageSetup paperSize="9" scale="45" orientation="landscape" r:id="rId19"/>
    </customSheetView>
    <customSheetView guid="{BCD82A82-B724-4763-8580-D765356E09BA}" scale="70">
      <selection sqref="A1:AD1"/>
      <pageMargins left="0.7" right="0.7" top="0.75" bottom="0.75" header="0.3" footer="0.3"/>
    </customSheetView>
    <customSheetView guid="{B1BF08D1-D416-4B47-ADD0-4F59132DC9E8}" scale="60">
      <pane xSplit="1" ySplit="8" topLeftCell="B126" activePane="bottomRight" state="frozen"/>
      <selection pane="bottomRight" activeCell="A38" sqref="A38"/>
      <pageMargins left="0.11811023622047245" right="0.11811023622047245" top="0.15748031496062992" bottom="0.15748031496062992" header="0.31496062992125984" footer="0.31496062992125984"/>
      <pageSetup paperSize="9" scale="45" orientation="landscape" r:id="rId20"/>
    </customSheetView>
    <customSheetView guid="{85F4575B-DBC5-482A-9916-255D8F0BC94E}" scale="60">
      <pane xSplit="1" ySplit="8" topLeftCell="B126" activePane="bottomRight" state="frozen"/>
      <selection pane="bottomRight" activeCell="A38" sqref="A38"/>
      <pageMargins left="0.11811023622047245" right="0.11811023622047245" top="0.15748031496062992" bottom="0.15748031496062992" header="0.31496062992125984" footer="0.31496062992125984"/>
      <pageSetup paperSize="9" scale="45" orientation="landscape" r:id="rId21"/>
    </customSheetView>
    <customSheetView guid="{74870EE6-26B9-40F7-9DC9-260EF16D8959}" scale="60">
      <pane xSplit="1" ySplit="8" topLeftCell="F63" activePane="bottomRight" state="frozen"/>
      <selection pane="bottomRight" sqref="A1:AF164"/>
      <pageMargins left="0.11811023622047245" right="0.11811023622047245" top="0" bottom="0.15748031496062992" header="0.31496062992125984" footer="0.31496062992125984"/>
      <pageSetup paperSize="9" scale="45" orientation="landscape" r:id="rId22"/>
    </customSheetView>
    <customSheetView guid="{E508E171-4ED9-4B07-84DF-DA28C60E1969}" scale="60">
      <pane xSplit="1" ySplit="8" topLeftCell="F63" activePane="bottomRight" state="frozen"/>
      <selection pane="bottomRight" sqref="A1:AF164"/>
      <pageMargins left="0.11811023622047245" right="0.11811023622047245" top="0" bottom="0.15748031496062992" header="0.31496062992125984" footer="0.31496062992125984"/>
      <pageSetup paperSize="9" scale="45" orientation="landscape" r:id="rId23"/>
    </customSheetView>
    <customSheetView guid="{4D0DFB57-2CBA-42F2-9A97-C453A6851FBA}" scale="60">
      <pane xSplit="1" ySplit="8" topLeftCell="B9" activePane="bottomRight" state="frozen"/>
      <selection pane="bottomRight" sqref="A1:XFD1048576"/>
      <pageMargins left="0.11811023622047245" right="0.11811023622047245" top="0" bottom="0.15748031496062992" header="0.31496062992125984" footer="0.31496062992125984"/>
      <pageSetup paperSize="9" scale="45" orientation="landscape" r:id="rId24"/>
    </customSheetView>
    <customSheetView guid="{CE1CCA00-200D-4EAA-9FBE-F8EE7C5F82FE}" scale="60">
      <pane xSplit="1" ySplit="8" topLeftCell="B9" activePane="bottomRight" state="frozen"/>
      <selection pane="bottomRight" sqref="A1:XFD1048576"/>
      <pageMargins left="0.11811023622047245" right="0.11811023622047245" top="0" bottom="0.15748031496062992" header="0.31496062992125984" footer="0.31496062992125984"/>
      <pageSetup paperSize="9" scale="45" orientation="landscape" r:id="rId25"/>
    </customSheetView>
    <customSheetView guid="{442F2C94-DD1B-4A01-8694-513D4D6F3BD9}" scale="60">
      <pane xSplit="1" ySplit="8" topLeftCell="B9" activePane="bottomRight" state="frozen"/>
      <selection pane="bottomRight" sqref="A1:XFD1048576"/>
      <pageMargins left="0.11811023622047245" right="0.11811023622047245" top="0" bottom="0.15748031496062992" header="0.31496062992125984" footer="0.31496062992125984"/>
      <pageSetup paperSize="9" scale="45" orientation="landscape" r:id="rId26"/>
    </customSheetView>
    <customSheetView guid="{AC2D5927-4079-4C74-AF69-1BFAC505648F}" scale="60">
      <pane xSplit="1" ySplit="8" topLeftCell="B142" activePane="bottomRight" state="frozen"/>
      <selection pane="bottomRight" activeCell="L149" sqref="L149"/>
      <pageMargins left="0.11811023622047245" right="0.11811023622047245" top="0" bottom="0.15748031496062992" header="0.31496062992125984" footer="0.31496062992125984"/>
      <pageSetup paperSize="9" scale="45" orientation="landscape" r:id="rId27"/>
    </customSheetView>
    <customSheetView guid="{602C8EDB-B9EF-4C85-B0D5-0558C3A0ABAB}" scale="60">
      <pane xSplit="1" ySplit="8" topLeftCell="B142" activePane="bottomRight" state="frozen"/>
      <selection pane="bottomRight" activeCell="L149" sqref="L149"/>
      <pageMargins left="0.11811023622047245" right="0.11811023622047245" top="0" bottom="0.15748031496062992" header="0.31496062992125984" footer="0.31496062992125984"/>
      <pageSetup paperSize="9" scale="45" orientation="landscape" r:id="rId28"/>
    </customSheetView>
    <customSheetView guid="{09C3E205-981E-4A4E-BE89-8B7044192060}" scale="60">
      <pane xSplit="1" ySplit="8" topLeftCell="O22" activePane="bottomRight" state="frozen"/>
      <selection pane="bottomRight" activeCell="T35" sqref="T35"/>
      <pageMargins left="0.11811023622047245" right="0.11811023622047245" top="0" bottom="0.15748031496062992" header="0.31496062992125984" footer="0.31496062992125984"/>
      <pageSetup paperSize="9" scale="45" orientation="landscape" r:id="rId29"/>
    </customSheetView>
  </customSheetViews>
  <mergeCells count="64">
    <mergeCell ref="A124:AE124"/>
    <mergeCell ref="AF125:AF129"/>
    <mergeCell ref="A130:AE130"/>
    <mergeCell ref="AF131:AF135"/>
    <mergeCell ref="A136:AE136"/>
    <mergeCell ref="A122:AE122"/>
    <mergeCell ref="AF70:AF74"/>
    <mergeCell ref="A75:AE75"/>
    <mergeCell ref="AF76:AF80"/>
    <mergeCell ref="A81:AE81"/>
    <mergeCell ref="AF82:AF86"/>
    <mergeCell ref="A87:AE87"/>
    <mergeCell ref="AF88:AF92"/>
    <mergeCell ref="A93:AE93"/>
    <mergeCell ref="A105:AE105"/>
    <mergeCell ref="A111:AE111"/>
    <mergeCell ref="AF117:AF121"/>
    <mergeCell ref="AF16:AF20"/>
    <mergeCell ref="A21:AE21"/>
    <mergeCell ref="AF22:AF26"/>
    <mergeCell ref="A69:AE69"/>
    <mergeCell ref="AF28:AF32"/>
    <mergeCell ref="A33:AE33"/>
    <mergeCell ref="AF34:AF38"/>
    <mergeCell ref="A39:AE39"/>
    <mergeCell ref="A45:AE45"/>
    <mergeCell ref="A51:AE51"/>
    <mergeCell ref="A57:AE57"/>
    <mergeCell ref="A63:AE63"/>
    <mergeCell ref="A27:AE27"/>
    <mergeCell ref="A13:AE13"/>
    <mergeCell ref="A15:AE15"/>
    <mergeCell ref="AF8:AF12"/>
    <mergeCell ref="N3:O3"/>
    <mergeCell ref="P3:Q3"/>
    <mergeCell ref="R3:S3"/>
    <mergeCell ref="T3:U3"/>
    <mergeCell ref="V3:W3"/>
    <mergeCell ref="X3:Y3"/>
    <mergeCell ref="Z3:AA3"/>
    <mergeCell ref="AB3:AC3"/>
    <mergeCell ref="AD3:AE3"/>
    <mergeCell ref="A6:AE6"/>
    <mergeCell ref="A8:AE8"/>
    <mergeCell ref="A1:AD1"/>
    <mergeCell ref="A3:A4"/>
    <mergeCell ref="B3:B4"/>
    <mergeCell ref="C3:C4"/>
    <mergeCell ref="D3:D4"/>
    <mergeCell ref="E3:E4"/>
    <mergeCell ref="F3:G3"/>
    <mergeCell ref="H3:I3"/>
    <mergeCell ref="J3:K3"/>
    <mergeCell ref="L3:M3"/>
    <mergeCell ref="AF137:AF141"/>
    <mergeCell ref="AF148:AF152"/>
    <mergeCell ref="AF153:AF157"/>
    <mergeCell ref="AF158:AF162"/>
    <mergeCell ref="AF40:AF44"/>
    <mergeCell ref="AF46:AF50"/>
    <mergeCell ref="AF94:AF98"/>
    <mergeCell ref="AF106:AF110"/>
    <mergeCell ref="AF112:AF116"/>
    <mergeCell ref="AF52:AF68"/>
  </mergeCells>
  <hyperlinks>
    <hyperlink ref="A1:AD1" location="Оглавление!A1" display="Отчет о ходе реализации (сетевой график) муниципальной программы «Развитие транспортной системы города Когалыма» "/>
  </hyperlinks>
  <pageMargins left="0.11811023622047245" right="0.11811023622047245" top="0" bottom="0.15748031496062992" header="0.31496062992125984" footer="0.31496062992125984"/>
  <pageSetup paperSize="9" scale="45" orientation="landscape" r:id="rId30"/>
  <legacyDrawing r:id="rId3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80"/>
  <sheetViews>
    <sheetView zoomScale="77" zoomScaleNormal="77" workbookViewId="0">
      <pane xSplit="1" ySplit="4" topLeftCell="AC5" activePane="bottomRight" state="frozen"/>
      <selection pane="topRight" activeCell="B1" sqref="B1"/>
      <selection pane="bottomLeft" activeCell="A5" sqref="A5"/>
      <selection pane="bottomRight" activeCell="AF27" sqref="AF27"/>
    </sheetView>
  </sheetViews>
  <sheetFormatPr defaultColWidth="9.140625" defaultRowHeight="15.75" x14ac:dyDescent="0.25"/>
  <cols>
    <col min="1" max="1" width="47.28515625" style="308" customWidth="1"/>
    <col min="2" max="2" width="18.140625" style="308" bestFit="1" customWidth="1"/>
    <col min="3" max="3" width="13.42578125" style="308" bestFit="1" customWidth="1"/>
    <col min="4" max="5" width="12.140625" style="308" bestFit="1" customWidth="1"/>
    <col min="6" max="6" width="9.7109375" style="308" bestFit="1" customWidth="1"/>
    <col min="7" max="7" width="11" style="308" bestFit="1" customWidth="1"/>
    <col min="8" max="8" width="13.42578125" style="308" bestFit="1" customWidth="1"/>
    <col min="9" max="9" width="12.140625" style="308" bestFit="1" customWidth="1"/>
    <col min="10" max="15" width="9.7109375" style="308" bestFit="1" customWidth="1"/>
    <col min="16" max="16" width="13.42578125" style="308" bestFit="1" customWidth="1"/>
    <col min="17" max="17" width="11.28515625" style="308" customWidth="1"/>
    <col min="18" max="18" width="12.28515625" style="308" customWidth="1"/>
    <col min="19" max="19" width="10.5703125" style="308" bestFit="1" customWidth="1"/>
    <col min="20" max="21" width="9.7109375" style="308" bestFit="1" customWidth="1"/>
    <col min="22" max="22" width="18.140625" style="308" bestFit="1" customWidth="1"/>
    <col min="23" max="25" width="9.7109375" style="308" bestFit="1" customWidth="1"/>
    <col min="26" max="26" width="18.140625" style="308" bestFit="1" customWidth="1"/>
    <col min="27" max="27" width="9.7109375" style="308" bestFit="1" customWidth="1"/>
    <col min="28" max="28" width="11.85546875" style="308" bestFit="1" customWidth="1"/>
    <col min="29" max="29" width="9.7109375" style="308" bestFit="1" customWidth="1"/>
    <col min="30" max="30" width="16.28515625" style="308" bestFit="1" customWidth="1"/>
    <col min="31" max="31" width="9.7109375" style="308" bestFit="1" customWidth="1"/>
    <col min="32" max="32" width="77.85546875" style="308" customWidth="1"/>
    <col min="33" max="16384" width="9.140625" style="308"/>
  </cols>
  <sheetData>
    <row r="1" spans="1:32" ht="18.75" x14ac:dyDescent="0.25">
      <c r="A1" s="1161" t="s">
        <v>418</v>
      </c>
      <c r="B1" s="1161"/>
      <c r="C1" s="1161"/>
      <c r="D1" s="1161"/>
      <c r="E1" s="1161"/>
      <c r="F1" s="1161"/>
      <c r="G1" s="1161"/>
      <c r="H1" s="1161"/>
      <c r="I1" s="1161"/>
      <c r="J1" s="1161"/>
      <c r="K1" s="1161"/>
      <c r="L1" s="1161"/>
      <c r="M1" s="1161"/>
      <c r="N1" s="1161"/>
      <c r="O1" s="1161"/>
      <c r="P1" s="1161"/>
      <c r="Q1" s="1161"/>
      <c r="R1" s="1161"/>
      <c r="S1" s="1161"/>
      <c r="T1" s="1161"/>
      <c r="U1" s="1161"/>
      <c r="V1" s="1161"/>
      <c r="W1" s="1161"/>
      <c r="X1" s="1161"/>
      <c r="Y1" s="1161"/>
      <c r="Z1" s="350"/>
      <c r="AA1" s="350"/>
      <c r="AB1" s="350"/>
      <c r="AC1" s="350"/>
      <c r="AD1" s="350"/>
      <c r="AE1" s="350"/>
      <c r="AF1" s="350"/>
    </row>
    <row r="2" spans="1:32" x14ac:dyDescent="0.25">
      <c r="A2" s="1162" t="s">
        <v>419</v>
      </c>
      <c r="B2" s="1162" t="s">
        <v>420</v>
      </c>
      <c r="C2" s="1165" t="s">
        <v>597</v>
      </c>
      <c r="D2" s="1165" t="s">
        <v>596</v>
      </c>
      <c r="E2" s="1165" t="s">
        <v>598</v>
      </c>
      <c r="F2" s="1168" t="s">
        <v>371</v>
      </c>
      <c r="G2" s="1160"/>
      <c r="H2" s="1159" t="s">
        <v>7</v>
      </c>
      <c r="I2" s="1160"/>
      <c r="J2" s="1159" t="s">
        <v>8</v>
      </c>
      <c r="K2" s="1160"/>
      <c r="L2" s="1159" t="s">
        <v>9</v>
      </c>
      <c r="M2" s="1160"/>
      <c r="N2" s="1159" t="s">
        <v>10</v>
      </c>
      <c r="O2" s="1160"/>
      <c r="P2" s="1159" t="s">
        <v>11</v>
      </c>
      <c r="Q2" s="1160"/>
      <c r="R2" s="1159" t="s">
        <v>12</v>
      </c>
      <c r="S2" s="1160"/>
      <c r="T2" s="1159" t="s">
        <v>13</v>
      </c>
      <c r="U2" s="1160"/>
      <c r="V2" s="1159" t="s">
        <v>14</v>
      </c>
      <c r="W2" s="1160"/>
      <c r="X2" s="1159" t="s">
        <v>15</v>
      </c>
      <c r="Y2" s="1160"/>
      <c r="Z2" s="1159" t="s">
        <v>16</v>
      </c>
      <c r="AA2" s="1160"/>
      <c r="AB2" s="1159" t="s">
        <v>17</v>
      </c>
      <c r="AC2" s="1160"/>
      <c r="AD2" s="1159" t="s">
        <v>18</v>
      </c>
      <c r="AE2" s="1160"/>
      <c r="AF2" s="1165" t="s">
        <v>19</v>
      </c>
    </row>
    <row r="3" spans="1:32" ht="18.75" customHeight="1" x14ac:dyDescent="0.25">
      <c r="A3" s="1163"/>
      <c r="B3" s="1163"/>
      <c r="C3" s="1166"/>
      <c r="D3" s="1166"/>
      <c r="E3" s="1166"/>
      <c r="F3" s="1172" t="s">
        <v>20</v>
      </c>
      <c r="G3" s="1157" t="s">
        <v>21</v>
      </c>
      <c r="H3" s="351"/>
      <c r="I3" s="351"/>
      <c r="J3" s="351"/>
      <c r="K3" s="351"/>
      <c r="L3" s="351"/>
      <c r="M3" s="351"/>
      <c r="N3" s="1157" t="s">
        <v>165</v>
      </c>
      <c r="O3" s="1157" t="s">
        <v>23</v>
      </c>
      <c r="P3" s="1157" t="s">
        <v>165</v>
      </c>
      <c r="Q3" s="1157" t="s">
        <v>23</v>
      </c>
      <c r="R3" s="1157" t="s">
        <v>165</v>
      </c>
      <c r="S3" s="1157" t="s">
        <v>23</v>
      </c>
      <c r="T3" s="1157" t="s">
        <v>165</v>
      </c>
      <c r="U3" s="1157" t="s">
        <v>23</v>
      </c>
      <c r="V3" s="1157" t="s">
        <v>165</v>
      </c>
      <c r="W3" s="1157" t="s">
        <v>23</v>
      </c>
      <c r="X3" s="1157" t="s">
        <v>165</v>
      </c>
      <c r="Y3" s="1157" t="s">
        <v>23</v>
      </c>
      <c r="Z3" s="1157" t="s">
        <v>165</v>
      </c>
      <c r="AA3" s="1157" t="s">
        <v>23</v>
      </c>
      <c r="AB3" s="1157" t="s">
        <v>165</v>
      </c>
      <c r="AC3" s="1157" t="s">
        <v>23</v>
      </c>
      <c r="AD3" s="1157" t="s">
        <v>165</v>
      </c>
      <c r="AE3" s="1157" t="s">
        <v>23</v>
      </c>
      <c r="AF3" s="1166"/>
    </row>
    <row r="4" spans="1:32" ht="31.5" x14ac:dyDescent="0.25">
      <c r="A4" s="1164"/>
      <c r="B4" s="1164"/>
      <c r="C4" s="1167"/>
      <c r="D4" s="1167"/>
      <c r="E4" s="1167"/>
      <c r="F4" s="1173"/>
      <c r="G4" s="1158"/>
      <c r="H4" s="352" t="s">
        <v>165</v>
      </c>
      <c r="I4" s="352" t="s">
        <v>23</v>
      </c>
      <c r="J4" s="352" t="s">
        <v>165</v>
      </c>
      <c r="K4" s="353" t="s">
        <v>23</v>
      </c>
      <c r="L4" s="352" t="s">
        <v>165</v>
      </c>
      <c r="M4" s="352" t="s">
        <v>23</v>
      </c>
      <c r="N4" s="1158"/>
      <c r="O4" s="1158"/>
      <c r="P4" s="1158"/>
      <c r="Q4" s="1158"/>
      <c r="R4" s="1158"/>
      <c r="S4" s="1158"/>
      <c r="T4" s="1158"/>
      <c r="U4" s="1158"/>
      <c r="V4" s="1158"/>
      <c r="W4" s="1158"/>
      <c r="X4" s="1158"/>
      <c r="Y4" s="1158"/>
      <c r="Z4" s="1158"/>
      <c r="AA4" s="1158"/>
      <c r="AB4" s="1158"/>
      <c r="AC4" s="1158"/>
      <c r="AD4" s="1158"/>
      <c r="AE4" s="1158"/>
      <c r="AF4" s="1167"/>
    </row>
    <row r="5" spans="1:32" x14ac:dyDescent="0.25">
      <c r="A5" s="354" t="s">
        <v>421</v>
      </c>
      <c r="B5" s="355"/>
      <c r="C5" s="355"/>
      <c r="D5" s="355"/>
      <c r="E5" s="355"/>
      <c r="F5" s="355"/>
      <c r="G5" s="355"/>
      <c r="H5" s="355"/>
      <c r="I5" s="355"/>
      <c r="J5" s="355"/>
      <c r="K5" s="355"/>
      <c r="L5" s="355"/>
      <c r="M5" s="355"/>
      <c r="N5" s="355"/>
      <c r="O5" s="355"/>
      <c r="P5" s="355"/>
      <c r="Q5" s="355"/>
      <c r="R5" s="355"/>
      <c r="S5" s="355"/>
      <c r="T5" s="355"/>
      <c r="U5" s="355"/>
      <c r="V5" s="355"/>
      <c r="W5" s="355"/>
      <c r="X5" s="355"/>
      <c r="Y5" s="355"/>
      <c r="Z5" s="355"/>
      <c r="AA5" s="355"/>
      <c r="AB5" s="355"/>
      <c r="AC5" s="355"/>
      <c r="AD5" s="355"/>
      <c r="AE5" s="356"/>
      <c r="AF5" s="357"/>
    </row>
    <row r="6" spans="1:32" x14ac:dyDescent="0.25">
      <c r="A6" s="1169" t="s">
        <v>489</v>
      </c>
      <c r="B6" s="1170"/>
      <c r="C6" s="1170"/>
      <c r="D6" s="1170"/>
      <c r="E6" s="1170"/>
      <c r="F6" s="1170"/>
      <c r="G6" s="1170"/>
      <c r="H6" s="1170"/>
      <c r="I6" s="1170"/>
      <c r="J6" s="1170"/>
      <c r="K6" s="1170"/>
      <c r="L6" s="1170"/>
      <c r="M6" s="1170"/>
      <c r="N6" s="1170"/>
      <c r="O6" s="1170"/>
      <c r="P6" s="1170"/>
      <c r="Q6" s="1170"/>
      <c r="R6" s="1170"/>
      <c r="S6" s="1170"/>
      <c r="T6" s="1170"/>
      <c r="U6" s="1170"/>
      <c r="V6" s="1170"/>
      <c r="W6" s="1170"/>
      <c r="X6" s="1170"/>
      <c r="Y6" s="1170"/>
      <c r="Z6" s="1170"/>
      <c r="AA6" s="1170"/>
      <c r="AB6" s="1170"/>
      <c r="AC6" s="1170"/>
      <c r="AD6" s="1170"/>
      <c r="AE6" s="1171"/>
      <c r="AF6" s="1165"/>
    </row>
    <row r="7" spans="1:32" x14ac:dyDescent="0.25">
      <c r="A7" s="358" t="s">
        <v>31</v>
      </c>
      <c r="B7" s="359">
        <f>B8+B9+B10+B12</f>
        <v>23028.32</v>
      </c>
      <c r="C7" s="359">
        <f>C8+C9+C10+C12</f>
        <v>14050.87</v>
      </c>
      <c r="D7" s="359">
        <f t="shared" ref="D7:AE7" si="0">D8+D9+D10+D12</f>
        <v>14050.87</v>
      </c>
      <c r="E7" s="359">
        <f t="shared" si="0"/>
        <v>14050.87</v>
      </c>
      <c r="F7" s="359">
        <f t="shared" ref="F7:F12" si="1">IFERROR(E7/B7%,0)</f>
        <v>61.015610344132796</v>
      </c>
      <c r="G7" s="359">
        <f>IFERROR(E7/C7%,)</f>
        <v>100</v>
      </c>
      <c r="H7" s="359">
        <f t="shared" si="0"/>
        <v>0</v>
      </c>
      <c r="I7" s="359">
        <f t="shared" si="0"/>
        <v>0</v>
      </c>
      <c r="J7" s="359">
        <f t="shared" si="0"/>
        <v>0</v>
      </c>
      <c r="K7" s="359">
        <f t="shared" si="0"/>
        <v>0</v>
      </c>
      <c r="L7" s="359">
        <f t="shared" si="0"/>
        <v>0</v>
      </c>
      <c r="M7" s="359">
        <f t="shared" si="0"/>
        <v>0</v>
      </c>
      <c r="N7" s="359">
        <f t="shared" si="0"/>
        <v>0</v>
      </c>
      <c r="O7" s="359">
        <f t="shared" si="0"/>
        <v>0</v>
      </c>
      <c r="P7" s="359">
        <f t="shared" si="0"/>
        <v>9878.5600000000013</v>
      </c>
      <c r="Q7" s="359">
        <f t="shared" si="0"/>
        <v>9878.5600000000013</v>
      </c>
      <c r="R7" s="359">
        <f t="shared" si="0"/>
        <v>4172.3099999999995</v>
      </c>
      <c r="S7" s="359">
        <f t="shared" si="0"/>
        <v>4172.3099999999995</v>
      </c>
      <c r="T7" s="359">
        <f t="shared" si="0"/>
        <v>0</v>
      </c>
      <c r="U7" s="359">
        <f t="shared" si="0"/>
        <v>0</v>
      </c>
      <c r="V7" s="359">
        <f t="shared" si="0"/>
        <v>8977.4500000000007</v>
      </c>
      <c r="W7" s="359">
        <f t="shared" si="0"/>
        <v>0</v>
      </c>
      <c r="X7" s="359">
        <f t="shared" si="0"/>
        <v>0</v>
      </c>
      <c r="Y7" s="359">
        <f t="shared" si="0"/>
        <v>0</v>
      </c>
      <c r="Z7" s="359">
        <f t="shared" si="0"/>
        <v>0</v>
      </c>
      <c r="AA7" s="359">
        <f t="shared" si="0"/>
        <v>0</v>
      </c>
      <c r="AB7" s="359">
        <f t="shared" si="0"/>
        <v>0</v>
      </c>
      <c r="AC7" s="359">
        <f t="shared" si="0"/>
        <v>0</v>
      </c>
      <c r="AD7" s="359">
        <f t="shared" si="0"/>
        <v>0</v>
      </c>
      <c r="AE7" s="359">
        <f t="shared" si="0"/>
        <v>0</v>
      </c>
      <c r="AF7" s="1166"/>
    </row>
    <row r="8" spans="1:32" x14ac:dyDescent="0.25">
      <c r="A8" s="360" t="s">
        <v>169</v>
      </c>
      <c r="B8" s="361">
        <f>H8+J8+L8+N8+P8+R8+T8+V8+X8+Z8+AB8+AD8</f>
        <v>4870.8</v>
      </c>
      <c r="C8" s="362">
        <f>C15</f>
        <v>4375.68</v>
      </c>
      <c r="D8" s="361">
        <f>E8</f>
        <v>4375.68</v>
      </c>
      <c r="E8" s="361">
        <f>I8+K8+M8+O8+Q8+S8+U8+W8+Y8+AA8+AC8+AE8</f>
        <v>4375.68</v>
      </c>
      <c r="F8" s="337">
        <f t="shared" si="1"/>
        <v>89.834934712983497</v>
      </c>
      <c r="G8" s="337">
        <f>IFERROR(E8/C8%,0)</f>
        <v>100</v>
      </c>
      <c r="H8" s="362">
        <f t="shared" ref="H8:AE12" si="2">H15</f>
        <v>0</v>
      </c>
      <c r="I8" s="362">
        <f t="shared" si="2"/>
        <v>0</v>
      </c>
      <c r="J8" s="362">
        <f t="shared" si="2"/>
        <v>0</v>
      </c>
      <c r="K8" s="362">
        <f t="shared" si="2"/>
        <v>0</v>
      </c>
      <c r="L8" s="362">
        <f t="shared" si="2"/>
        <v>0</v>
      </c>
      <c r="M8" s="362">
        <f t="shared" si="2"/>
        <v>0</v>
      </c>
      <c r="N8" s="362">
        <f t="shared" si="2"/>
        <v>0</v>
      </c>
      <c r="O8" s="362">
        <f t="shared" si="2"/>
        <v>0</v>
      </c>
      <c r="P8" s="362">
        <f t="shared" si="2"/>
        <v>3076.35</v>
      </c>
      <c r="Q8" s="362">
        <f t="shared" si="2"/>
        <v>3076.35</v>
      </c>
      <c r="R8" s="362">
        <f t="shared" si="2"/>
        <v>1299.33</v>
      </c>
      <c r="S8" s="362">
        <f t="shared" si="2"/>
        <v>1299.33</v>
      </c>
      <c r="T8" s="362">
        <f t="shared" si="2"/>
        <v>0</v>
      </c>
      <c r="U8" s="362">
        <f t="shared" si="2"/>
        <v>0</v>
      </c>
      <c r="V8" s="362">
        <f t="shared" si="2"/>
        <v>495.12</v>
      </c>
      <c r="W8" s="362">
        <f t="shared" si="2"/>
        <v>0</v>
      </c>
      <c r="X8" s="362">
        <f t="shared" si="2"/>
        <v>0</v>
      </c>
      <c r="Y8" s="362">
        <f t="shared" si="2"/>
        <v>0</v>
      </c>
      <c r="Z8" s="362">
        <f t="shared" si="2"/>
        <v>0</v>
      </c>
      <c r="AA8" s="362">
        <f t="shared" si="2"/>
        <v>0</v>
      </c>
      <c r="AB8" s="362">
        <f t="shared" si="2"/>
        <v>0</v>
      </c>
      <c r="AC8" s="362">
        <f t="shared" si="2"/>
        <v>0</v>
      </c>
      <c r="AD8" s="362">
        <f t="shared" si="2"/>
        <v>0</v>
      </c>
      <c r="AE8" s="362">
        <f t="shared" si="2"/>
        <v>0</v>
      </c>
      <c r="AF8" s="1166"/>
    </row>
    <row r="9" spans="1:32" x14ac:dyDescent="0.25">
      <c r="A9" s="360" t="s">
        <v>32</v>
      </c>
      <c r="B9" s="361">
        <f>H9+J9+L9+N9+P9+R9+T9+V9+X9+Z9+AB9+AD9</f>
        <v>7641.8200000000006</v>
      </c>
      <c r="C9" s="362">
        <f>C16</f>
        <v>6865.02</v>
      </c>
      <c r="D9" s="361">
        <f>E9</f>
        <v>6865.02</v>
      </c>
      <c r="E9" s="361">
        <f>I9+K9+M9+O9+Q9+S9+U9+W9+Y9+AA9+AC9+AE9</f>
        <v>6865.02</v>
      </c>
      <c r="F9" s="337">
        <f t="shared" si="1"/>
        <v>89.834882266266405</v>
      </c>
      <c r="G9" s="337">
        <f>IFERROR(E9/C9%,0)</f>
        <v>100.00000000000001</v>
      </c>
      <c r="H9" s="362">
        <f t="shared" si="2"/>
        <v>0</v>
      </c>
      <c r="I9" s="362">
        <f t="shared" si="2"/>
        <v>0</v>
      </c>
      <c r="J9" s="362">
        <f t="shared" si="2"/>
        <v>0</v>
      </c>
      <c r="K9" s="362">
        <f t="shared" si="2"/>
        <v>0</v>
      </c>
      <c r="L9" s="362">
        <f t="shared" si="2"/>
        <v>0</v>
      </c>
      <c r="M9" s="362">
        <f t="shared" si="2"/>
        <v>0</v>
      </c>
      <c r="N9" s="362">
        <f t="shared" si="2"/>
        <v>0</v>
      </c>
      <c r="O9" s="362">
        <f t="shared" si="2"/>
        <v>0</v>
      </c>
      <c r="P9" s="362">
        <f t="shared" si="2"/>
        <v>4826.5</v>
      </c>
      <c r="Q9" s="362">
        <f t="shared" si="2"/>
        <v>4826.5</v>
      </c>
      <c r="R9" s="362">
        <f t="shared" si="2"/>
        <v>2038.52</v>
      </c>
      <c r="S9" s="362">
        <f t="shared" si="2"/>
        <v>2038.52</v>
      </c>
      <c r="T9" s="362">
        <f t="shared" si="2"/>
        <v>0</v>
      </c>
      <c r="U9" s="362">
        <f t="shared" si="2"/>
        <v>0</v>
      </c>
      <c r="V9" s="362">
        <f t="shared" si="2"/>
        <v>776.8</v>
      </c>
      <c r="W9" s="362">
        <f t="shared" si="2"/>
        <v>0</v>
      </c>
      <c r="X9" s="362">
        <f t="shared" si="2"/>
        <v>0</v>
      </c>
      <c r="Y9" s="362">
        <f t="shared" si="2"/>
        <v>0</v>
      </c>
      <c r="Z9" s="362">
        <f t="shared" si="2"/>
        <v>0</v>
      </c>
      <c r="AA9" s="362">
        <f t="shared" si="2"/>
        <v>0</v>
      </c>
      <c r="AB9" s="362">
        <f t="shared" si="2"/>
        <v>0</v>
      </c>
      <c r="AC9" s="362">
        <f t="shared" si="2"/>
        <v>0</v>
      </c>
      <c r="AD9" s="362">
        <f t="shared" si="2"/>
        <v>0</v>
      </c>
      <c r="AE9" s="362">
        <f t="shared" si="2"/>
        <v>0</v>
      </c>
      <c r="AF9" s="1166"/>
    </row>
    <row r="10" spans="1:32" x14ac:dyDescent="0.25">
      <c r="A10" s="360" t="s">
        <v>33</v>
      </c>
      <c r="B10" s="361">
        <f>H10+J10+L10+N10+P10+R10+T10+V10+X10+Z10+AB10+AD10</f>
        <v>10515.7</v>
      </c>
      <c r="C10" s="362">
        <f>C17</f>
        <v>2810.17</v>
      </c>
      <c r="D10" s="361">
        <f>E10</f>
        <v>2810.17</v>
      </c>
      <c r="E10" s="361">
        <f>I10+K10+M10+O10+Q10+S10+U10+W10+Y10+AA10+AC10+AE10</f>
        <v>2810.17</v>
      </c>
      <c r="F10" s="337">
        <f t="shared" si="1"/>
        <v>26.723565716024609</v>
      </c>
      <c r="G10" s="337">
        <f>IFERROR(E10/C10%,0)</f>
        <v>100</v>
      </c>
      <c r="H10" s="362">
        <f t="shared" si="2"/>
        <v>0</v>
      </c>
      <c r="I10" s="362">
        <f t="shared" si="2"/>
        <v>0</v>
      </c>
      <c r="J10" s="362">
        <f t="shared" si="2"/>
        <v>0</v>
      </c>
      <c r="K10" s="362">
        <f t="shared" si="2"/>
        <v>0</v>
      </c>
      <c r="L10" s="362">
        <f t="shared" si="2"/>
        <v>0</v>
      </c>
      <c r="M10" s="362">
        <f t="shared" si="2"/>
        <v>0</v>
      </c>
      <c r="N10" s="362">
        <f t="shared" si="2"/>
        <v>0</v>
      </c>
      <c r="O10" s="362">
        <f t="shared" si="2"/>
        <v>0</v>
      </c>
      <c r="P10" s="362">
        <f t="shared" si="2"/>
        <v>1975.71</v>
      </c>
      <c r="Q10" s="362">
        <f t="shared" si="2"/>
        <v>1975.71</v>
      </c>
      <c r="R10" s="362">
        <f t="shared" si="2"/>
        <v>834.46</v>
      </c>
      <c r="S10" s="362">
        <f t="shared" si="2"/>
        <v>834.46</v>
      </c>
      <c r="T10" s="362">
        <f t="shared" si="2"/>
        <v>0</v>
      </c>
      <c r="U10" s="362">
        <f t="shared" si="2"/>
        <v>0</v>
      </c>
      <c r="V10" s="362">
        <f t="shared" si="2"/>
        <v>7705.53</v>
      </c>
      <c r="W10" s="362">
        <f t="shared" si="2"/>
        <v>0</v>
      </c>
      <c r="X10" s="362">
        <f t="shared" si="2"/>
        <v>0</v>
      </c>
      <c r="Y10" s="362">
        <f t="shared" si="2"/>
        <v>0</v>
      </c>
      <c r="Z10" s="362">
        <f t="shared" si="2"/>
        <v>0</v>
      </c>
      <c r="AA10" s="362">
        <f t="shared" si="2"/>
        <v>0</v>
      </c>
      <c r="AB10" s="362">
        <f t="shared" si="2"/>
        <v>0</v>
      </c>
      <c r="AC10" s="362">
        <f t="shared" si="2"/>
        <v>0</v>
      </c>
      <c r="AD10" s="362">
        <f t="shared" si="2"/>
        <v>0</v>
      </c>
      <c r="AE10" s="362">
        <f t="shared" si="2"/>
        <v>0</v>
      </c>
      <c r="AF10" s="1166"/>
    </row>
    <row r="11" spans="1:32" ht="31.5" x14ac:dyDescent="0.25">
      <c r="A11" s="363" t="s">
        <v>174</v>
      </c>
      <c r="B11" s="361">
        <f>H11+J11+L11+N11+P11+R11+T11+V11+X11+Z11+AB11+AD11</f>
        <v>3128.15</v>
      </c>
      <c r="C11" s="362">
        <f>C18</f>
        <v>2810.17</v>
      </c>
      <c r="D11" s="361">
        <f>E11</f>
        <v>2810.17</v>
      </c>
      <c r="E11" s="361">
        <f>I11+K11+M11+O11+Q11+S11+U11+W11+Y11+AA11+AC11+AE11</f>
        <v>2810.17</v>
      </c>
      <c r="F11" s="337">
        <f t="shared" si="1"/>
        <v>89.834886434474043</v>
      </c>
      <c r="G11" s="337">
        <f>IFERROR(E11/C11%,0)</f>
        <v>100</v>
      </c>
      <c r="H11" s="362">
        <f t="shared" si="2"/>
        <v>0</v>
      </c>
      <c r="I11" s="362">
        <f t="shared" si="2"/>
        <v>0</v>
      </c>
      <c r="J11" s="362">
        <f t="shared" si="2"/>
        <v>0</v>
      </c>
      <c r="K11" s="362">
        <f t="shared" si="2"/>
        <v>0</v>
      </c>
      <c r="L11" s="362">
        <f t="shared" si="2"/>
        <v>0</v>
      </c>
      <c r="M11" s="362">
        <f t="shared" si="2"/>
        <v>0</v>
      </c>
      <c r="N11" s="362">
        <f t="shared" si="2"/>
        <v>0</v>
      </c>
      <c r="O11" s="362">
        <f t="shared" si="2"/>
        <v>0</v>
      </c>
      <c r="P11" s="362">
        <f t="shared" si="2"/>
        <v>1975.71</v>
      </c>
      <c r="Q11" s="362">
        <f t="shared" si="2"/>
        <v>1975.71</v>
      </c>
      <c r="R11" s="362">
        <f t="shared" si="2"/>
        <v>834.46</v>
      </c>
      <c r="S11" s="362">
        <f t="shared" si="2"/>
        <v>834.46</v>
      </c>
      <c r="T11" s="362">
        <f t="shared" si="2"/>
        <v>0</v>
      </c>
      <c r="U11" s="362">
        <f t="shared" si="2"/>
        <v>0</v>
      </c>
      <c r="V11" s="362">
        <f t="shared" si="2"/>
        <v>317.98</v>
      </c>
      <c r="W11" s="362">
        <f t="shared" si="2"/>
        <v>0</v>
      </c>
      <c r="X11" s="362">
        <f t="shared" si="2"/>
        <v>0</v>
      </c>
      <c r="Y11" s="362">
        <f t="shared" si="2"/>
        <v>0</v>
      </c>
      <c r="Z11" s="362">
        <f t="shared" si="2"/>
        <v>0</v>
      </c>
      <c r="AA11" s="362">
        <f t="shared" si="2"/>
        <v>0</v>
      </c>
      <c r="AB11" s="362">
        <f t="shared" si="2"/>
        <v>0</v>
      </c>
      <c r="AC11" s="362">
        <f t="shared" si="2"/>
        <v>0</v>
      </c>
      <c r="AD11" s="362">
        <f t="shared" si="2"/>
        <v>0</v>
      </c>
      <c r="AE11" s="362">
        <f t="shared" si="2"/>
        <v>0</v>
      </c>
      <c r="AF11" s="1166"/>
    </row>
    <row r="12" spans="1:32" x14ac:dyDescent="0.25">
      <c r="A12" s="360" t="s">
        <v>374</v>
      </c>
      <c r="B12" s="361">
        <f>H12+J12+L12+N12+P12+R12+T12+V12+X12+Z12+AB12+AD12</f>
        <v>0</v>
      </c>
      <c r="C12" s="362">
        <f>C19</f>
        <v>0</v>
      </c>
      <c r="D12" s="361">
        <f>E12</f>
        <v>0</v>
      </c>
      <c r="E12" s="361">
        <f>I12+K12+M12+O12+Q12+S12+U12+W12+Y12+AA12+AC12+AE12</f>
        <v>0</v>
      </c>
      <c r="F12" s="337">
        <f t="shared" si="1"/>
        <v>0</v>
      </c>
      <c r="G12" s="337">
        <f>IFERROR(E12/C12%,0)</f>
        <v>0</v>
      </c>
      <c r="H12" s="362">
        <f>H19</f>
        <v>0</v>
      </c>
      <c r="I12" s="362">
        <f t="shared" si="2"/>
        <v>0</v>
      </c>
      <c r="J12" s="362">
        <f t="shared" si="2"/>
        <v>0</v>
      </c>
      <c r="K12" s="362">
        <f t="shared" si="2"/>
        <v>0</v>
      </c>
      <c r="L12" s="362">
        <f t="shared" si="2"/>
        <v>0</v>
      </c>
      <c r="M12" s="362">
        <f t="shared" si="2"/>
        <v>0</v>
      </c>
      <c r="N12" s="362">
        <f t="shared" si="2"/>
        <v>0</v>
      </c>
      <c r="O12" s="362">
        <f t="shared" si="2"/>
        <v>0</v>
      </c>
      <c r="P12" s="362">
        <f t="shared" si="2"/>
        <v>0</v>
      </c>
      <c r="Q12" s="362">
        <f t="shared" si="2"/>
        <v>0</v>
      </c>
      <c r="R12" s="362">
        <f t="shared" si="2"/>
        <v>0</v>
      </c>
      <c r="S12" s="362">
        <f t="shared" si="2"/>
        <v>0</v>
      </c>
      <c r="T12" s="362">
        <f t="shared" si="2"/>
        <v>0</v>
      </c>
      <c r="U12" s="362">
        <f t="shared" si="2"/>
        <v>0</v>
      </c>
      <c r="V12" s="362">
        <f t="shared" si="2"/>
        <v>0</v>
      </c>
      <c r="W12" s="362">
        <f t="shared" si="2"/>
        <v>0</v>
      </c>
      <c r="X12" s="362">
        <f t="shared" si="2"/>
        <v>0</v>
      </c>
      <c r="Y12" s="362">
        <f t="shared" si="2"/>
        <v>0</v>
      </c>
      <c r="Z12" s="362">
        <f t="shared" si="2"/>
        <v>0</v>
      </c>
      <c r="AA12" s="362">
        <f t="shared" si="2"/>
        <v>0</v>
      </c>
      <c r="AB12" s="362">
        <f t="shared" si="2"/>
        <v>0</v>
      </c>
      <c r="AC12" s="362">
        <f t="shared" si="2"/>
        <v>0</v>
      </c>
      <c r="AD12" s="362">
        <f t="shared" si="2"/>
        <v>0</v>
      </c>
      <c r="AE12" s="362">
        <f t="shared" si="2"/>
        <v>0</v>
      </c>
      <c r="AF12" s="1167"/>
    </row>
    <row r="13" spans="1:32" ht="24" customHeight="1" x14ac:dyDescent="0.25">
      <c r="A13" s="1169" t="s">
        <v>422</v>
      </c>
      <c r="B13" s="1170"/>
      <c r="C13" s="1170"/>
      <c r="D13" s="1170"/>
      <c r="E13" s="1170"/>
      <c r="F13" s="1170"/>
      <c r="G13" s="1170"/>
      <c r="H13" s="1170"/>
      <c r="I13" s="1170"/>
      <c r="J13" s="1170"/>
      <c r="K13" s="1170"/>
      <c r="L13" s="1170"/>
      <c r="M13" s="1170"/>
      <c r="N13" s="1170"/>
      <c r="O13" s="1170"/>
      <c r="P13" s="1170"/>
      <c r="Q13" s="1170"/>
      <c r="R13" s="1170"/>
      <c r="S13" s="1170"/>
      <c r="T13" s="1170"/>
      <c r="U13" s="1170"/>
      <c r="V13" s="1170"/>
      <c r="W13" s="1170"/>
      <c r="X13" s="1170"/>
      <c r="Y13" s="1170"/>
      <c r="Z13" s="1170"/>
      <c r="AA13" s="1170"/>
      <c r="AB13" s="1170"/>
      <c r="AC13" s="1170"/>
      <c r="AD13" s="1170"/>
      <c r="AE13" s="1171"/>
      <c r="AF13" s="1174"/>
    </row>
    <row r="14" spans="1:32" x14ac:dyDescent="0.25">
      <c r="A14" s="358" t="s">
        <v>31</v>
      </c>
      <c r="B14" s="359">
        <v>23028.33</v>
      </c>
      <c r="C14" s="359">
        <v>14050.88</v>
      </c>
      <c r="D14" s="359">
        <v>14050.88</v>
      </c>
      <c r="E14" s="359">
        <v>14050.88</v>
      </c>
      <c r="F14" s="359">
        <f t="shared" ref="F14:F19" si="3">IFERROR(E14/B14%,0)</f>
        <v>61.015627273015447</v>
      </c>
      <c r="G14" s="359">
        <f t="shared" ref="G14:G19" si="4">IFERROR(E14/C14%,0)</f>
        <v>100.00000000000001</v>
      </c>
      <c r="H14" s="359">
        <f t="shared" ref="H14:AE14" si="5">H15+H16+H17+H19</f>
        <v>0</v>
      </c>
      <c r="I14" s="359">
        <f t="shared" si="5"/>
        <v>0</v>
      </c>
      <c r="J14" s="359">
        <f t="shared" si="5"/>
        <v>0</v>
      </c>
      <c r="K14" s="359">
        <f t="shared" si="5"/>
        <v>0</v>
      </c>
      <c r="L14" s="361">
        <v>0</v>
      </c>
      <c r="M14" s="359">
        <f t="shared" si="5"/>
        <v>0</v>
      </c>
      <c r="N14" s="359">
        <f t="shared" si="5"/>
        <v>0</v>
      </c>
      <c r="O14" s="359">
        <f t="shared" si="5"/>
        <v>0</v>
      </c>
      <c r="P14" s="359">
        <v>9878.57</v>
      </c>
      <c r="Q14" s="359">
        <v>9878.57</v>
      </c>
      <c r="R14" s="359">
        <v>4172.3100000000004</v>
      </c>
      <c r="S14" s="359">
        <v>4172.3100000000004</v>
      </c>
      <c r="T14" s="359">
        <f t="shared" si="5"/>
        <v>0</v>
      </c>
      <c r="U14" s="359">
        <f t="shared" si="5"/>
        <v>0</v>
      </c>
      <c r="V14" s="359">
        <v>8977.4500000000007</v>
      </c>
      <c r="W14" s="359">
        <f t="shared" si="5"/>
        <v>0</v>
      </c>
      <c r="X14" s="359">
        <f t="shared" si="5"/>
        <v>0</v>
      </c>
      <c r="Y14" s="359">
        <f t="shared" si="5"/>
        <v>0</v>
      </c>
      <c r="Z14" s="359">
        <f t="shared" si="5"/>
        <v>0</v>
      </c>
      <c r="AA14" s="359">
        <f t="shared" si="5"/>
        <v>0</v>
      </c>
      <c r="AB14" s="359">
        <f t="shared" si="5"/>
        <v>0</v>
      </c>
      <c r="AC14" s="359">
        <f t="shared" si="5"/>
        <v>0</v>
      </c>
      <c r="AD14" s="359">
        <f t="shared" si="5"/>
        <v>0</v>
      </c>
      <c r="AE14" s="359">
        <f t="shared" si="5"/>
        <v>0</v>
      </c>
      <c r="AF14" s="1175"/>
    </row>
    <row r="15" spans="1:32" x14ac:dyDescent="0.25">
      <c r="A15" s="360" t="s">
        <v>169</v>
      </c>
      <c r="B15" s="361">
        <v>4870.8</v>
      </c>
      <c r="C15" s="361">
        <v>4375.68</v>
      </c>
      <c r="D15" s="361">
        <v>4375.68</v>
      </c>
      <c r="E15" s="361">
        <v>4375.68</v>
      </c>
      <c r="F15" s="337">
        <f t="shared" si="3"/>
        <v>89.834934712983497</v>
      </c>
      <c r="G15" s="337">
        <f t="shared" si="4"/>
        <v>100</v>
      </c>
      <c r="H15" s="361">
        <f t="shared" ref="H15:O15" si="6">H22</f>
        <v>0</v>
      </c>
      <c r="I15" s="361">
        <f t="shared" si="6"/>
        <v>0</v>
      </c>
      <c r="J15" s="361">
        <f t="shared" si="6"/>
        <v>0</v>
      </c>
      <c r="K15" s="361">
        <f t="shared" si="6"/>
        <v>0</v>
      </c>
      <c r="L15" s="361">
        <f t="shared" si="6"/>
        <v>0</v>
      </c>
      <c r="M15" s="361">
        <f t="shared" si="6"/>
        <v>0</v>
      </c>
      <c r="N15" s="361">
        <f t="shared" si="6"/>
        <v>0</v>
      </c>
      <c r="O15" s="361">
        <f t="shared" si="6"/>
        <v>0</v>
      </c>
      <c r="P15" s="361">
        <v>3076.35</v>
      </c>
      <c r="Q15" s="361">
        <v>3076.35</v>
      </c>
      <c r="R15" s="361">
        <v>1299.33</v>
      </c>
      <c r="S15" s="361">
        <v>1299.33</v>
      </c>
      <c r="T15" s="361">
        <f>T22</f>
        <v>0</v>
      </c>
      <c r="U15" s="361">
        <f>U22</f>
        <v>0</v>
      </c>
      <c r="V15" s="361">
        <v>495.12</v>
      </c>
      <c r="W15" s="361">
        <f t="shared" ref="W15:AE15" si="7">W22</f>
        <v>0</v>
      </c>
      <c r="X15" s="361">
        <f t="shared" si="7"/>
        <v>0</v>
      </c>
      <c r="Y15" s="361">
        <f t="shared" si="7"/>
        <v>0</v>
      </c>
      <c r="Z15" s="361">
        <f t="shared" si="7"/>
        <v>0</v>
      </c>
      <c r="AA15" s="361">
        <f t="shared" si="7"/>
        <v>0</v>
      </c>
      <c r="AB15" s="361">
        <f t="shared" si="7"/>
        <v>0</v>
      </c>
      <c r="AC15" s="361">
        <f t="shared" si="7"/>
        <v>0</v>
      </c>
      <c r="AD15" s="361">
        <f t="shared" si="7"/>
        <v>0</v>
      </c>
      <c r="AE15" s="361">
        <f t="shared" si="7"/>
        <v>0</v>
      </c>
      <c r="AF15" s="1175"/>
    </row>
    <row r="16" spans="1:32" x14ac:dyDescent="0.25">
      <c r="A16" s="360" t="s">
        <v>32</v>
      </c>
      <c r="B16" s="361">
        <v>7641.82</v>
      </c>
      <c r="C16" s="361">
        <v>6865.02</v>
      </c>
      <c r="D16" s="361">
        <v>6865.02</v>
      </c>
      <c r="E16" s="361">
        <v>6865.02</v>
      </c>
      <c r="F16" s="337">
        <f t="shared" si="3"/>
        <v>89.834882266266419</v>
      </c>
      <c r="G16" s="337">
        <f t="shared" si="4"/>
        <v>100.00000000000001</v>
      </c>
      <c r="H16" s="361">
        <f t="shared" ref="H16:W19" si="8">H23</f>
        <v>0</v>
      </c>
      <c r="I16" s="361">
        <f t="shared" si="8"/>
        <v>0</v>
      </c>
      <c r="J16" s="361">
        <f t="shared" si="8"/>
        <v>0</v>
      </c>
      <c r="K16" s="361">
        <f t="shared" si="8"/>
        <v>0</v>
      </c>
      <c r="L16" s="361">
        <f t="shared" si="8"/>
        <v>0</v>
      </c>
      <c r="M16" s="361">
        <f t="shared" si="8"/>
        <v>0</v>
      </c>
      <c r="N16" s="361">
        <f t="shared" si="8"/>
        <v>0</v>
      </c>
      <c r="O16" s="361">
        <f t="shared" si="8"/>
        <v>0</v>
      </c>
      <c r="P16" s="361">
        <v>4826.5</v>
      </c>
      <c r="Q16" s="361">
        <v>4826.5</v>
      </c>
      <c r="R16" s="361">
        <v>2038.52</v>
      </c>
      <c r="S16" s="361">
        <v>2038.52</v>
      </c>
      <c r="T16" s="361">
        <f t="shared" si="8"/>
        <v>0</v>
      </c>
      <c r="U16" s="361">
        <f t="shared" si="8"/>
        <v>0</v>
      </c>
      <c r="V16" s="361">
        <v>776.8</v>
      </c>
      <c r="W16" s="361">
        <f t="shared" si="8"/>
        <v>0</v>
      </c>
      <c r="X16" s="361">
        <f t="shared" ref="X16:AE19" si="9">X23</f>
        <v>0</v>
      </c>
      <c r="Y16" s="361">
        <f t="shared" si="9"/>
        <v>0</v>
      </c>
      <c r="Z16" s="361">
        <f t="shared" si="9"/>
        <v>0</v>
      </c>
      <c r="AA16" s="361">
        <f t="shared" si="9"/>
        <v>0</v>
      </c>
      <c r="AB16" s="361">
        <f t="shared" si="9"/>
        <v>0</v>
      </c>
      <c r="AC16" s="361">
        <f t="shared" si="9"/>
        <v>0</v>
      </c>
      <c r="AD16" s="361">
        <f t="shared" si="9"/>
        <v>0</v>
      </c>
      <c r="AE16" s="361">
        <f t="shared" si="9"/>
        <v>0</v>
      </c>
      <c r="AF16" s="1175"/>
    </row>
    <row r="17" spans="1:32" x14ac:dyDescent="0.25">
      <c r="A17" s="360" t="s">
        <v>33</v>
      </c>
      <c r="B17" s="361">
        <v>10515.7</v>
      </c>
      <c r="C17" s="361">
        <v>2810.17</v>
      </c>
      <c r="D17" s="361">
        <v>2810.17</v>
      </c>
      <c r="E17" s="361">
        <v>2810.17</v>
      </c>
      <c r="F17" s="337">
        <f t="shared" si="3"/>
        <v>26.723565716024609</v>
      </c>
      <c r="G17" s="337">
        <f t="shared" si="4"/>
        <v>100</v>
      </c>
      <c r="H17" s="361">
        <f t="shared" si="8"/>
        <v>0</v>
      </c>
      <c r="I17" s="361">
        <f t="shared" si="8"/>
        <v>0</v>
      </c>
      <c r="J17" s="361">
        <f t="shared" si="8"/>
        <v>0</v>
      </c>
      <c r="K17" s="361">
        <f t="shared" si="8"/>
        <v>0</v>
      </c>
      <c r="L17" s="361">
        <v>0</v>
      </c>
      <c r="M17" s="361">
        <f t="shared" si="8"/>
        <v>0</v>
      </c>
      <c r="N17" s="361">
        <f t="shared" si="8"/>
        <v>0</v>
      </c>
      <c r="O17" s="361">
        <f t="shared" si="8"/>
        <v>0</v>
      </c>
      <c r="P17" s="361">
        <v>1975.71</v>
      </c>
      <c r="Q17" s="361">
        <v>1975.71</v>
      </c>
      <c r="R17" s="361">
        <v>834.46</v>
      </c>
      <c r="S17" s="361">
        <v>834.46</v>
      </c>
      <c r="T17" s="361">
        <f t="shared" si="8"/>
        <v>0</v>
      </c>
      <c r="U17" s="361">
        <f t="shared" si="8"/>
        <v>0</v>
      </c>
      <c r="V17" s="361">
        <v>7705.53</v>
      </c>
      <c r="W17" s="361">
        <f t="shared" si="8"/>
        <v>0</v>
      </c>
      <c r="X17" s="361">
        <f t="shared" si="9"/>
        <v>0</v>
      </c>
      <c r="Y17" s="361">
        <f t="shared" si="9"/>
        <v>0</v>
      </c>
      <c r="Z17" s="361">
        <f t="shared" si="9"/>
        <v>0</v>
      </c>
      <c r="AA17" s="361">
        <f t="shared" si="9"/>
        <v>0</v>
      </c>
      <c r="AB17" s="361">
        <f t="shared" si="9"/>
        <v>0</v>
      </c>
      <c r="AC17" s="361">
        <f t="shared" si="9"/>
        <v>0</v>
      </c>
      <c r="AD17" s="361">
        <f t="shared" si="9"/>
        <v>0</v>
      </c>
      <c r="AE17" s="361">
        <f t="shared" si="9"/>
        <v>0</v>
      </c>
      <c r="AF17" s="1175"/>
    </row>
    <row r="18" spans="1:32" ht="31.5" x14ac:dyDescent="0.25">
      <c r="A18" s="363" t="s">
        <v>174</v>
      </c>
      <c r="B18" s="361">
        <v>3128.15</v>
      </c>
      <c r="C18" s="361">
        <v>2810.17</v>
      </c>
      <c r="D18" s="361">
        <v>2810.17</v>
      </c>
      <c r="E18" s="361">
        <v>2810.17</v>
      </c>
      <c r="F18" s="337">
        <f t="shared" si="3"/>
        <v>89.834886434474043</v>
      </c>
      <c r="G18" s="337">
        <f t="shared" si="4"/>
        <v>100</v>
      </c>
      <c r="H18" s="361">
        <f t="shared" si="8"/>
        <v>0</v>
      </c>
      <c r="I18" s="361">
        <f t="shared" si="8"/>
        <v>0</v>
      </c>
      <c r="J18" s="361">
        <f t="shared" si="8"/>
        <v>0</v>
      </c>
      <c r="K18" s="361">
        <f t="shared" si="8"/>
        <v>0</v>
      </c>
      <c r="L18" s="361">
        <f t="shared" si="8"/>
        <v>0</v>
      </c>
      <c r="M18" s="361">
        <f t="shared" si="8"/>
        <v>0</v>
      </c>
      <c r="N18" s="361">
        <f t="shared" si="8"/>
        <v>0</v>
      </c>
      <c r="O18" s="361">
        <f t="shared" si="8"/>
        <v>0</v>
      </c>
      <c r="P18" s="361">
        <v>1975.71</v>
      </c>
      <c r="Q18" s="361">
        <v>1975.71</v>
      </c>
      <c r="R18" s="361">
        <v>834.46</v>
      </c>
      <c r="S18" s="361">
        <v>834.46</v>
      </c>
      <c r="T18" s="361">
        <f t="shared" si="8"/>
        <v>0</v>
      </c>
      <c r="U18" s="361">
        <f t="shared" si="8"/>
        <v>0</v>
      </c>
      <c r="V18" s="361">
        <v>317.98</v>
      </c>
      <c r="W18" s="361">
        <f t="shared" si="8"/>
        <v>0</v>
      </c>
      <c r="X18" s="361">
        <f t="shared" si="9"/>
        <v>0</v>
      </c>
      <c r="Y18" s="361">
        <f t="shared" si="9"/>
        <v>0</v>
      </c>
      <c r="Z18" s="361">
        <f t="shared" si="9"/>
        <v>0</v>
      </c>
      <c r="AA18" s="361">
        <f t="shared" si="9"/>
        <v>0</v>
      </c>
      <c r="AB18" s="361">
        <f t="shared" si="9"/>
        <v>0</v>
      </c>
      <c r="AC18" s="361">
        <f t="shared" si="9"/>
        <v>0</v>
      </c>
      <c r="AD18" s="361">
        <f t="shared" si="9"/>
        <v>0</v>
      </c>
      <c r="AE18" s="361">
        <f t="shared" si="9"/>
        <v>0</v>
      </c>
      <c r="AF18" s="1175"/>
    </row>
    <row r="19" spans="1:32" x14ac:dyDescent="0.25">
      <c r="A19" s="360" t="s">
        <v>374</v>
      </c>
      <c r="B19" s="361">
        <f>B26</f>
        <v>0</v>
      </c>
      <c r="C19" s="361">
        <f>C26</f>
        <v>0</v>
      </c>
      <c r="D19" s="361">
        <f>E19</f>
        <v>0</v>
      </c>
      <c r="E19" s="361">
        <f>I19+K19+M19+O19+Q19+S19+U19+W19+Y19+AA19+AC19+AE19</f>
        <v>0</v>
      </c>
      <c r="F19" s="337">
        <f t="shared" si="3"/>
        <v>0</v>
      </c>
      <c r="G19" s="337">
        <f t="shared" si="4"/>
        <v>0</v>
      </c>
      <c r="H19" s="361">
        <f t="shared" si="8"/>
        <v>0</v>
      </c>
      <c r="I19" s="361">
        <f t="shared" si="8"/>
        <v>0</v>
      </c>
      <c r="J19" s="361">
        <f t="shared" si="8"/>
        <v>0</v>
      </c>
      <c r="K19" s="361">
        <f t="shared" si="8"/>
        <v>0</v>
      </c>
      <c r="L19" s="361">
        <f t="shared" si="8"/>
        <v>0</v>
      </c>
      <c r="M19" s="361">
        <f t="shared" si="8"/>
        <v>0</v>
      </c>
      <c r="N19" s="361">
        <f t="shared" si="8"/>
        <v>0</v>
      </c>
      <c r="O19" s="361">
        <f t="shared" si="8"/>
        <v>0</v>
      </c>
      <c r="P19" s="361">
        <f t="shared" si="8"/>
        <v>0</v>
      </c>
      <c r="Q19" s="361">
        <f t="shared" si="8"/>
        <v>0</v>
      </c>
      <c r="R19" s="361">
        <f t="shared" si="8"/>
        <v>0</v>
      </c>
      <c r="S19" s="361">
        <f t="shared" si="8"/>
        <v>0</v>
      </c>
      <c r="T19" s="361">
        <f t="shared" si="8"/>
        <v>0</v>
      </c>
      <c r="U19" s="361">
        <f t="shared" si="8"/>
        <v>0</v>
      </c>
      <c r="V19" s="361">
        <f t="shared" si="8"/>
        <v>0</v>
      </c>
      <c r="W19" s="361">
        <f t="shared" si="8"/>
        <v>0</v>
      </c>
      <c r="X19" s="361">
        <f t="shared" si="9"/>
        <v>0</v>
      </c>
      <c r="Y19" s="361">
        <f t="shared" si="9"/>
        <v>0</v>
      </c>
      <c r="Z19" s="361">
        <f t="shared" si="9"/>
        <v>0</v>
      </c>
      <c r="AA19" s="361">
        <f t="shared" si="9"/>
        <v>0</v>
      </c>
      <c r="AB19" s="361">
        <f t="shared" si="9"/>
        <v>0</v>
      </c>
      <c r="AC19" s="361">
        <f t="shared" si="9"/>
        <v>0</v>
      </c>
      <c r="AD19" s="361">
        <f t="shared" si="9"/>
        <v>0</v>
      </c>
      <c r="AE19" s="361">
        <f t="shared" si="9"/>
        <v>0</v>
      </c>
      <c r="AF19" s="1176"/>
    </row>
    <row r="20" spans="1:32" ht="30" customHeight="1" x14ac:dyDescent="0.25">
      <c r="A20" s="1169" t="s">
        <v>423</v>
      </c>
      <c r="B20" s="1170"/>
      <c r="C20" s="1170"/>
      <c r="D20" s="1170"/>
      <c r="E20" s="1170"/>
      <c r="F20" s="1170"/>
      <c r="G20" s="1170"/>
      <c r="H20" s="1170"/>
      <c r="I20" s="1170"/>
      <c r="J20" s="1170"/>
      <c r="K20" s="1170"/>
      <c r="L20" s="1170"/>
      <c r="M20" s="1170"/>
      <c r="N20" s="1170"/>
      <c r="O20" s="1170"/>
      <c r="P20" s="1170"/>
      <c r="Q20" s="1170"/>
      <c r="R20" s="1170"/>
      <c r="S20" s="1170"/>
      <c r="T20" s="1170"/>
      <c r="U20" s="1170"/>
      <c r="V20" s="1170"/>
      <c r="W20" s="1170"/>
      <c r="X20" s="1170"/>
      <c r="Y20" s="1170"/>
      <c r="Z20" s="1170"/>
      <c r="AA20" s="1170"/>
      <c r="AB20" s="1170"/>
      <c r="AC20" s="1170"/>
      <c r="AD20" s="1170"/>
      <c r="AE20" s="1171"/>
      <c r="AF20" s="1181" t="s">
        <v>646</v>
      </c>
    </row>
    <row r="21" spans="1:32" x14ac:dyDescent="0.25">
      <c r="A21" s="364" t="s">
        <v>31</v>
      </c>
      <c r="B21" s="359">
        <v>23028.33</v>
      </c>
      <c r="C21" s="359">
        <v>14050.88</v>
      </c>
      <c r="D21" s="359">
        <v>14050.88</v>
      </c>
      <c r="E21" s="359">
        <v>14050.88</v>
      </c>
      <c r="F21" s="359">
        <f t="shared" ref="F21:F26" si="10">IFERROR(E21/B21%,0)</f>
        <v>61.015627273015447</v>
      </c>
      <c r="G21" s="359">
        <f t="shared" ref="G21:G26" si="11">IFERROR(E21/C21%,0)</f>
        <v>100.00000000000001</v>
      </c>
      <c r="H21" s="359">
        <f t="shared" ref="H21:AE21" si="12">H22+H23+H24+H26</f>
        <v>0</v>
      </c>
      <c r="I21" s="359">
        <f t="shared" si="12"/>
        <v>0</v>
      </c>
      <c r="J21" s="359">
        <f t="shared" si="12"/>
        <v>0</v>
      </c>
      <c r="K21" s="359">
        <f t="shared" si="12"/>
        <v>0</v>
      </c>
      <c r="L21" s="359">
        <v>0</v>
      </c>
      <c r="M21" s="359">
        <f t="shared" si="12"/>
        <v>0</v>
      </c>
      <c r="N21" s="359">
        <f t="shared" si="12"/>
        <v>0</v>
      </c>
      <c r="O21" s="359">
        <f t="shared" si="12"/>
        <v>0</v>
      </c>
      <c r="P21" s="359">
        <v>9878.57</v>
      </c>
      <c r="Q21" s="359">
        <v>9878.57</v>
      </c>
      <c r="R21" s="359">
        <v>4172.3100000000004</v>
      </c>
      <c r="S21" s="359">
        <v>4172.3100000000004</v>
      </c>
      <c r="T21" s="359">
        <f t="shared" si="12"/>
        <v>0</v>
      </c>
      <c r="U21" s="359">
        <f t="shared" si="12"/>
        <v>0</v>
      </c>
      <c r="V21" s="359">
        <v>8977.4500000000007</v>
      </c>
      <c r="W21" s="359">
        <f t="shared" si="12"/>
        <v>0</v>
      </c>
      <c r="X21" s="359">
        <f t="shared" si="12"/>
        <v>0</v>
      </c>
      <c r="Y21" s="359">
        <f t="shared" si="12"/>
        <v>0</v>
      </c>
      <c r="Z21" s="359">
        <f t="shared" si="12"/>
        <v>0</v>
      </c>
      <c r="AA21" s="359">
        <f t="shared" si="12"/>
        <v>0</v>
      </c>
      <c r="AB21" s="359">
        <f t="shared" si="12"/>
        <v>0</v>
      </c>
      <c r="AC21" s="359">
        <f t="shared" si="12"/>
        <v>0</v>
      </c>
      <c r="AD21" s="359">
        <f t="shared" si="12"/>
        <v>0</v>
      </c>
      <c r="AE21" s="359">
        <f t="shared" si="12"/>
        <v>0</v>
      </c>
      <c r="AF21" s="1182"/>
    </row>
    <row r="22" spans="1:32" x14ac:dyDescent="0.25">
      <c r="A22" s="360" t="s">
        <v>169</v>
      </c>
      <c r="B22" s="361">
        <v>4870.8</v>
      </c>
      <c r="C22" s="361">
        <v>4375.68</v>
      </c>
      <c r="D22" s="361">
        <v>4375.68</v>
      </c>
      <c r="E22" s="361">
        <v>4375.68</v>
      </c>
      <c r="F22" s="337">
        <f t="shared" si="10"/>
        <v>89.834934712983497</v>
      </c>
      <c r="G22" s="337">
        <f t="shared" si="11"/>
        <v>100</v>
      </c>
      <c r="H22" s="362">
        <v>0</v>
      </c>
      <c r="I22" s="362">
        <v>0</v>
      </c>
      <c r="J22" s="362">
        <v>0</v>
      </c>
      <c r="K22" s="362">
        <v>0</v>
      </c>
      <c r="L22" s="362">
        <v>0</v>
      </c>
      <c r="M22" s="362">
        <v>0</v>
      </c>
      <c r="N22" s="362">
        <v>0</v>
      </c>
      <c r="O22" s="362">
        <v>0</v>
      </c>
      <c r="P22" s="361">
        <v>3076.35</v>
      </c>
      <c r="Q22" s="361">
        <v>3076.35</v>
      </c>
      <c r="R22" s="362">
        <v>1299.33</v>
      </c>
      <c r="S22" s="362">
        <v>1299.33</v>
      </c>
      <c r="T22" s="362">
        <v>0</v>
      </c>
      <c r="U22" s="362">
        <v>0</v>
      </c>
      <c r="V22" s="362">
        <v>495.12</v>
      </c>
      <c r="W22" s="362">
        <v>0</v>
      </c>
      <c r="X22" s="362">
        <v>0</v>
      </c>
      <c r="Y22" s="362">
        <v>0</v>
      </c>
      <c r="Z22" s="362">
        <v>0</v>
      </c>
      <c r="AA22" s="362">
        <v>0</v>
      </c>
      <c r="AB22" s="362">
        <v>0</v>
      </c>
      <c r="AC22" s="362">
        <v>0</v>
      </c>
      <c r="AD22" s="362">
        <v>0</v>
      </c>
      <c r="AE22" s="362">
        <v>0</v>
      </c>
      <c r="AF22" s="1182"/>
    </row>
    <row r="23" spans="1:32" x14ac:dyDescent="0.25">
      <c r="A23" s="360" t="s">
        <v>32</v>
      </c>
      <c r="B23" s="361">
        <v>7641.82</v>
      </c>
      <c r="C23" s="361">
        <v>6865.02</v>
      </c>
      <c r="D23" s="361">
        <v>6865.02</v>
      </c>
      <c r="E23" s="361">
        <v>6865.02</v>
      </c>
      <c r="F23" s="337">
        <f t="shared" si="10"/>
        <v>89.834882266266419</v>
      </c>
      <c r="G23" s="337">
        <f t="shared" si="11"/>
        <v>100.00000000000001</v>
      </c>
      <c r="H23" s="362">
        <v>0</v>
      </c>
      <c r="I23" s="362">
        <v>0</v>
      </c>
      <c r="J23" s="362">
        <v>0</v>
      </c>
      <c r="K23" s="362">
        <v>0</v>
      </c>
      <c r="L23" s="362">
        <v>0</v>
      </c>
      <c r="M23" s="362">
        <v>0</v>
      </c>
      <c r="N23" s="362">
        <v>0</v>
      </c>
      <c r="O23" s="362">
        <v>0</v>
      </c>
      <c r="P23" s="361">
        <v>4826.5</v>
      </c>
      <c r="Q23" s="361">
        <v>4826.5</v>
      </c>
      <c r="R23" s="362">
        <v>2038.52</v>
      </c>
      <c r="S23" s="362">
        <v>2038.52</v>
      </c>
      <c r="T23" s="362">
        <v>0</v>
      </c>
      <c r="U23" s="362">
        <v>0</v>
      </c>
      <c r="V23" s="362">
        <v>776.8</v>
      </c>
      <c r="W23" s="362">
        <v>0</v>
      </c>
      <c r="X23" s="362">
        <v>0</v>
      </c>
      <c r="Y23" s="362">
        <v>0</v>
      </c>
      <c r="Z23" s="362">
        <v>0</v>
      </c>
      <c r="AA23" s="362">
        <v>0</v>
      </c>
      <c r="AB23" s="362">
        <v>0</v>
      </c>
      <c r="AC23" s="362">
        <v>0</v>
      </c>
      <c r="AD23" s="362">
        <v>0</v>
      </c>
      <c r="AE23" s="362">
        <v>0</v>
      </c>
      <c r="AF23" s="1182"/>
    </row>
    <row r="24" spans="1:32" x14ac:dyDescent="0.25">
      <c r="A24" s="360" t="s">
        <v>33</v>
      </c>
      <c r="B24" s="582">
        <v>10515.7</v>
      </c>
      <c r="C24" s="361">
        <v>2810.17</v>
      </c>
      <c r="D24" s="361">
        <v>2810.17</v>
      </c>
      <c r="E24" s="361">
        <v>2810.17</v>
      </c>
      <c r="F24" s="361">
        <f t="shared" si="10"/>
        <v>26.723565716024609</v>
      </c>
      <c r="G24" s="337">
        <f t="shared" si="11"/>
        <v>100</v>
      </c>
      <c r="H24" s="362">
        <v>0</v>
      </c>
      <c r="I24" s="362">
        <v>0</v>
      </c>
      <c r="J24" s="362">
        <v>0</v>
      </c>
      <c r="K24" s="362">
        <v>0</v>
      </c>
      <c r="L24" s="362">
        <v>0</v>
      </c>
      <c r="M24" s="362">
        <v>0</v>
      </c>
      <c r="N24" s="362">
        <v>0</v>
      </c>
      <c r="O24" s="362">
        <v>0</v>
      </c>
      <c r="P24" s="361">
        <v>1975.71</v>
      </c>
      <c r="Q24" s="361">
        <v>1975.71</v>
      </c>
      <c r="R24" s="362">
        <v>834.46</v>
      </c>
      <c r="S24" s="362">
        <v>834.46</v>
      </c>
      <c r="T24" s="362">
        <v>0</v>
      </c>
      <c r="U24" s="362">
        <v>0</v>
      </c>
      <c r="V24" s="362">
        <v>7705.53</v>
      </c>
      <c r="W24" s="362">
        <v>0</v>
      </c>
      <c r="X24" s="362">
        <v>0</v>
      </c>
      <c r="Y24" s="362">
        <v>0</v>
      </c>
      <c r="Z24" s="362">
        <v>0</v>
      </c>
      <c r="AA24" s="362">
        <v>0</v>
      </c>
      <c r="AB24" s="362">
        <v>0</v>
      </c>
      <c r="AC24" s="362">
        <v>0</v>
      </c>
      <c r="AD24" s="362">
        <v>0</v>
      </c>
      <c r="AE24" s="362">
        <v>0</v>
      </c>
      <c r="AF24" s="1182"/>
    </row>
    <row r="25" spans="1:32" ht="31.5" x14ac:dyDescent="0.25">
      <c r="A25" s="363" t="s">
        <v>174</v>
      </c>
      <c r="B25" s="582">
        <v>3128.15</v>
      </c>
      <c r="C25" s="361">
        <v>2810.17</v>
      </c>
      <c r="D25" s="361">
        <v>2810.17</v>
      </c>
      <c r="E25" s="361">
        <v>2810.17</v>
      </c>
      <c r="F25" s="361">
        <f t="shared" si="10"/>
        <v>89.834886434474043</v>
      </c>
      <c r="G25" s="337">
        <f t="shared" si="11"/>
        <v>100</v>
      </c>
      <c r="H25" s="362">
        <v>0</v>
      </c>
      <c r="I25" s="362">
        <v>0</v>
      </c>
      <c r="J25" s="362">
        <v>0</v>
      </c>
      <c r="K25" s="362">
        <v>0</v>
      </c>
      <c r="L25" s="362">
        <v>0</v>
      </c>
      <c r="M25" s="362">
        <v>0</v>
      </c>
      <c r="N25" s="362">
        <v>0</v>
      </c>
      <c r="O25" s="362">
        <v>0</v>
      </c>
      <c r="P25" s="361">
        <v>1975.71</v>
      </c>
      <c r="Q25" s="361">
        <v>1975.71</v>
      </c>
      <c r="R25" s="362">
        <v>834.46</v>
      </c>
      <c r="S25" s="362">
        <v>834.46</v>
      </c>
      <c r="T25" s="362">
        <v>0</v>
      </c>
      <c r="U25" s="362">
        <v>0</v>
      </c>
      <c r="V25" s="362">
        <v>317.98</v>
      </c>
      <c r="W25" s="362">
        <v>0</v>
      </c>
      <c r="X25" s="362">
        <v>0</v>
      </c>
      <c r="Y25" s="362">
        <v>0</v>
      </c>
      <c r="Z25" s="362">
        <v>0</v>
      </c>
      <c r="AA25" s="362">
        <v>0</v>
      </c>
      <c r="AB25" s="362">
        <v>0</v>
      </c>
      <c r="AC25" s="362">
        <v>0</v>
      </c>
      <c r="AD25" s="362">
        <v>0</v>
      </c>
      <c r="AE25" s="362">
        <v>0</v>
      </c>
      <c r="AF25" s="1182"/>
    </row>
    <row r="26" spans="1:32" ht="51.75" customHeight="1" x14ac:dyDescent="0.25">
      <c r="A26" s="360" t="s">
        <v>374</v>
      </c>
      <c r="B26" s="361">
        <f>H26+J26+L26+N26+P26+R26+T26+V26+X26+Z26+AB26+AD26</f>
        <v>0</v>
      </c>
      <c r="C26" s="361">
        <f>H26</f>
        <v>0</v>
      </c>
      <c r="D26" s="361">
        <v>0</v>
      </c>
      <c r="E26" s="361">
        <v>0</v>
      </c>
      <c r="F26" s="337">
        <f t="shared" si="10"/>
        <v>0</v>
      </c>
      <c r="G26" s="337">
        <f t="shared" si="11"/>
        <v>0</v>
      </c>
      <c r="H26" s="362">
        <v>0</v>
      </c>
      <c r="I26" s="362">
        <v>0</v>
      </c>
      <c r="J26" s="362">
        <v>0</v>
      </c>
      <c r="K26" s="362">
        <v>0</v>
      </c>
      <c r="L26" s="362">
        <v>0</v>
      </c>
      <c r="M26" s="362">
        <v>0</v>
      </c>
      <c r="N26" s="362">
        <v>0</v>
      </c>
      <c r="O26" s="362">
        <v>0</v>
      </c>
      <c r="P26" s="361">
        <f>P33</f>
        <v>0</v>
      </c>
      <c r="Q26" s="361">
        <f>Q33</f>
        <v>0</v>
      </c>
      <c r="R26" s="362">
        <v>0</v>
      </c>
      <c r="S26" s="362">
        <v>0</v>
      </c>
      <c r="T26" s="362">
        <v>0</v>
      </c>
      <c r="U26" s="362">
        <v>0</v>
      </c>
      <c r="V26" s="362">
        <v>0</v>
      </c>
      <c r="W26" s="362">
        <v>0</v>
      </c>
      <c r="X26" s="362">
        <v>0</v>
      </c>
      <c r="Y26" s="362">
        <v>0</v>
      </c>
      <c r="Z26" s="362">
        <v>0</v>
      </c>
      <c r="AA26" s="362">
        <v>0</v>
      </c>
      <c r="AB26" s="362">
        <v>0</v>
      </c>
      <c r="AC26" s="362">
        <v>0</v>
      </c>
      <c r="AD26" s="362">
        <v>0</v>
      </c>
      <c r="AE26" s="362">
        <v>0</v>
      </c>
      <c r="AF26" s="1183"/>
    </row>
    <row r="27" spans="1:32" ht="109.5" customHeight="1" x14ac:dyDescent="0.25">
      <c r="A27" s="908" t="s">
        <v>585</v>
      </c>
      <c r="B27" s="914"/>
      <c r="C27" s="914"/>
      <c r="D27" s="914"/>
      <c r="E27" s="914"/>
      <c r="F27" s="864"/>
      <c r="G27" s="864"/>
      <c r="H27" s="915"/>
      <c r="I27" s="915"/>
      <c r="J27" s="915"/>
      <c r="K27" s="915"/>
      <c r="L27" s="915"/>
      <c r="M27" s="915"/>
      <c r="N27" s="915"/>
      <c r="O27" s="915"/>
      <c r="P27" s="915"/>
      <c r="Q27" s="915"/>
      <c r="R27" s="915"/>
      <c r="S27" s="915"/>
      <c r="T27" s="915"/>
      <c r="U27" s="915"/>
      <c r="V27" s="915"/>
      <c r="W27" s="915"/>
      <c r="X27" s="915"/>
      <c r="Y27" s="915"/>
      <c r="Z27" s="915"/>
      <c r="AA27" s="915"/>
      <c r="AB27" s="915"/>
      <c r="AC27" s="915"/>
      <c r="AD27" s="915"/>
      <c r="AE27" s="916"/>
      <c r="AF27" s="909" t="s">
        <v>634</v>
      </c>
    </row>
    <row r="28" spans="1:32" x14ac:dyDescent="0.25">
      <c r="A28" s="364" t="s">
        <v>31</v>
      </c>
      <c r="B28" s="359">
        <v>21775.13</v>
      </c>
      <c r="C28" s="359">
        <v>9732.0400000000009</v>
      </c>
      <c r="D28" s="359">
        <f t="shared" ref="D28:D33" si="13">C28</f>
        <v>9732.0400000000009</v>
      </c>
      <c r="E28" s="359">
        <v>9120.59</v>
      </c>
      <c r="F28" s="359">
        <f t="shared" ref="F28:F33" si="14">IFERROR(E28/B28%,0)</f>
        <v>41.885352693646375</v>
      </c>
      <c r="G28" s="359">
        <f t="shared" ref="G28:G33" si="15">IFERROR(E28/C28%,0)</f>
        <v>93.717144606886109</v>
      </c>
      <c r="H28" s="359">
        <f t="shared" ref="H28:V28" si="16">H29+H30+H31+H33</f>
        <v>0</v>
      </c>
      <c r="I28" s="359">
        <f t="shared" si="16"/>
        <v>0</v>
      </c>
      <c r="J28" s="359">
        <f t="shared" si="16"/>
        <v>0</v>
      </c>
      <c r="K28" s="359">
        <f t="shared" si="16"/>
        <v>0</v>
      </c>
      <c r="L28" s="359">
        <f t="shared" si="16"/>
        <v>0</v>
      </c>
      <c r="M28" s="359">
        <f t="shared" si="16"/>
        <v>0</v>
      </c>
      <c r="N28" s="359">
        <f t="shared" si="16"/>
        <v>0</v>
      </c>
      <c r="O28" s="359">
        <f t="shared" si="16"/>
        <v>0</v>
      </c>
      <c r="P28" s="359">
        <f t="shared" si="16"/>
        <v>0</v>
      </c>
      <c r="Q28" s="359">
        <f t="shared" si="16"/>
        <v>0</v>
      </c>
      <c r="R28" s="359">
        <v>9732.0400000000009</v>
      </c>
      <c r="S28" s="359">
        <v>9120.59</v>
      </c>
      <c r="T28" s="359">
        <f t="shared" si="16"/>
        <v>0</v>
      </c>
      <c r="U28" s="359">
        <f t="shared" si="16"/>
        <v>0</v>
      </c>
      <c r="V28" s="359">
        <f t="shared" si="16"/>
        <v>0</v>
      </c>
      <c r="W28" s="359">
        <f t="shared" ref="W28:AE28" si="17">W29+W30+W31+W33</f>
        <v>0</v>
      </c>
      <c r="X28" s="359">
        <f t="shared" si="17"/>
        <v>0</v>
      </c>
      <c r="Y28" s="359">
        <f t="shared" si="17"/>
        <v>0</v>
      </c>
      <c r="Z28" s="359">
        <v>12043.09</v>
      </c>
      <c r="AA28" s="359">
        <f t="shared" si="17"/>
        <v>0</v>
      </c>
      <c r="AB28" s="359">
        <f t="shared" si="17"/>
        <v>0</v>
      </c>
      <c r="AC28" s="359">
        <f t="shared" si="17"/>
        <v>0</v>
      </c>
      <c r="AD28" s="359">
        <f t="shared" si="17"/>
        <v>0</v>
      </c>
      <c r="AE28" s="359">
        <f t="shared" si="17"/>
        <v>0</v>
      </c>
      <c r="AF28" s="910"/>
    </row>
    <row r="29" spans="1:32" x14ac:dyDescent="0.25">
      <c r="A29" s="360" t="s">
        <v>169</v>
      </c>
      <c r="B29" s="582">
        <f>H29+J29+L29+N29+P29+R29+T29+V29+X29+Z29+AB29+AD29</f>
        <v>0</v>
      </c>
      <c r="C29" s="361">
        <f>H29+J29+L29+N29+P29</f>
        <v>0</v>
      </c>
      <c r="D29" s="359">
        <f t="shared" si="13"/>
        <v>0</v>
      </c>
      <c r="E29" s="361">
        <v>0</v>
      </c>
      <c r="F29" s="337">
        <f t="shared" si="14"/>
        <v>0</v>
      </c>
      <c r="G29" s="337">
        <f t="shared" si="15"/>
        <v>0</v>
      </c>
      <c r="H29" s="362">
        <v>0</v>
      </c>
      <c r="I29" s="362">
        <v>0</v>
      </c>
      <c r="J29" s="362">
        <v>0</v>
      </c>
      <c r="K29" s="362">
        <v>0</v>
      </c>
      <c r="L29" s="362">
        <v>0</v>
      </c>
      <c r="M29" s="362">
        <v>0</v>
      </c>
      <c r="N29" s="362">
        <v>0</v>
      </c>
      <c r="O29" s="362">
        <v>0</v>
      </c>
      <c r="P29" s="362">
        <v>0</v>
      </c>
      <c r="Q29" s="362">
        <v>0</v>
      </c>
      <c r="R29" s="362">
        <v>0</v>
      </c>
      <c r="S29" s="362">
        <v>0</v>
      </c>
      <c r="T29" s="362">
        <v>0</v>
      </c>
      <c r="U29" s="362">
        <v>0</v>
      </c>
      <c r="V29" s="362"/>
      <c r="W29" s="362">
        <v>0</v>
      </c>
      <c r="X29" s="362">
        <v>0</v>
      </c>
      <c r="Y29" s="362">
        <v>0</v>
      </c>
      <c r="Z29" s="362">
        <v>0</v>
      </c>
      <c r="AA29" s="362">
        <v>0</v>
      </c>
      <c r="AB29" s="362">
        <v>0</v>
      </c>
      <c r="AC29" s="362">
        <v>0</v>
      </c>
      <c r="AD29" s="362">
        <v>0</v>
      </c>
      <c r="AE29" s="362">
        <v>0</v>
      </c>
      <c r="AF29" s="910"/>
    </row>
    <row r="30" spans="1:32" x14ac:dyDescent="0.25">
      <c r="A30" s="360" t="s">
        <v>32</v>
      </c>
      <c r="B30" s="582">
        <v>10000</v>
      </c>
      <c r="C30" s="361">
        <v>4799.99</v>
      </c>
      <c r="D30" s="359">
        <f t="shared" si="13"/>
        <v>4799.99</v>
      </c>
      <c r="E30" s="361">
        <v>4188.54</v>
      </c>
      <c r="F30" s="337">
        <f t="shared" si="14"/>
        <v>41.885399999999997</v>
      </c>
      <c r="G30" s="337">
        <f t="shared" si="15"/>
        <v>87.261431794649582</v>
      </c>
      <c r="H30" s="362">
        <v>0</v>
      </c>
      <c r="I30" s="362">
        <v>0</v>
      </c>
      <c r="J30" s="362">
        <v>0</v>
      </c>
      <c r="K30" s="362">
        <v>0</v>
      </c>
      <c r="L30" s="362">
        <v>0</v>
      </c>
      <c r="M30" s="362">
        <v>0</v>
      </c>
      <c r="N30" s="362">
        <v>0</v>
      </c>
      <c r="O30" s="362">
        <v>0</v>
      </c>
      <c r="P30" s="362">
        <v>0</v>
      </c>
      <c r="Q30" s="362">
        <v>0</v>
      </c>
      <c r="R30" s="362">
        <v>4799.99</v>
      </c>
      <c r="S30" s="362">
        <v>4188.54</v>
      </c>
      <c r="T30" s="362">
        <v>0</v>
      </c>
      <c r="U30" s="362">
        <v>0</v>
      </c>
      <c r="V30" s="362"/>
      <c r="W30" s="362">
        <v>0</v>
      </c>
      <c r="X30" s="362">
        <v>0</v>
      </c>
      <c r="Y30" s="362">
        <v>0</v>
      </c>
      <c r="Z30" s="362">
        <v>5200.01</v>
      </c>
      <c r="AA30" s="362">
        <v>0</v>
      </c>
      <c r="AB30" s="362">
        <v>0</v>
      </c>
      <c r="AC30" s="362">
        <v>0</v>
      </c>
      <c r="AD30" s="362">
        <v>0</v>
      </c>
      <c r="AE30" s="362">
        <v>0</v>
      </c>
    </row>
    <row r="31" spans="1:32" x14ac:dyDescent="0.25">
      <c r="A31" s="360" t="s">
        <v>33</v>
      </c>
      <c r="B31" s="582">
        <v>11775.13</v>
      </c>
      <c r="C31" s="361">
        <v>4932.05</v>
      </c>
      <c r="D31" s="359">
        <f t="shared" si="13"/>
        <v>4932.05</v>
      </c>
      <c r="E31" s="361">
        <v>4932.05</v>
      </c>
      <c r="F31" s="361">
        <f t="shared" si="14"/>
        <v>41.885312518842689</v>
      </c>
      <c r="G31" s="337">
        <f t="shared" si="15"/>
        <v>100</v>
      </c>
      <c r="H31" s="362">
        <v>0</v>
      </c>
      <c r="I31" s="362">
        <v>0</v>
      </c>
      <c r="J31" s="362">
        <v>0</v>
      </c>
      <c r="K31" s="362">
        <v>0</v>
      </c>
      <c r="L31" s="362"/>
      <c r="M31" s="362">
        <v>0</v>
      </c>
      <c r="N31" s="362">
        <v>0</v>
      </c>
      <c r="O31" s="362">
        <v>0</v>
      </c>
      <c r="P31" s="362">
        <v>0</v>
      </c>
      <c r="Q31" s="362">
        <v>0</v>
      </c>
      <c r="R31" s="362">
        <v>4932.05</v>
      </c>
      <c r="S31" s="362">
        <v>4932.05</v>
      </c>
      <c r="T31" s="362">
        <v>0</v>
      </c>
      <c r="U31" s="362">
        <v>0</v>
      </c>
      <c r="V31" s="362"/>
      <c r="W31" s="362">
        <v>0</v>
      </c>
      <c r="X31" s="362">
        <v>0</v>
      </c>
      <c r="Y31" s="362">
        <v>0</v>
      </c>
      <c r="Z31" s="362">
        <v>6843.08</v>
      </c>
      <c r="AA31" s="362">
        <v>0</v>
      </c>
      <c r="AB31" s="362">
        <v>0</v>
      </c>
      <c r="AC31" s="362">
        <v>0</v>
      </c>
      <c r="AD31" s="362">
        <v>0</v>
      </c>
      <c r="AE31" s="362">
        <v>0</v>
      </c>
      <c r="AF31" s="910"/>
    </row>
    <row r="32" spans="1:32" ht="31.5" x14ac:dyDescent="0.25">
      <c r="A32" s="363" t="s">
        <v>174</v>
      </c>
      <c r="B32" s="582">
        <v>1500</v>
      </c>
      <c r="C32" s="361">
        <v>1500</v>
      </c>
      <c r="D32" s="359">
        <f t="shared" si="13"/>
        <v>1500</v>
      </c>
      <c r="E32" s="361">
        <v>1500</v>
      </c>
      <c r="F32" s="361">
        <f t="shared" si="14"/>
        <v>100</v>
      </c>
      <c r="G32" s="337">
        <f t="shared" si="15"/>
        <v>100</v>
      </c>
      <c r="H32" s="362">
        <v>0</v>
      </c>
      <c r="I32" s="362">
        <v>0</v>
      </c>
      <c r="J32" s="362">
        <v>0</v>
      </c>
      <c r="K32" s="362">
        <v>0</v>
      </c>
      <c r="L32" s="362">
        <v>0</v>
      </c>
      <c r="M32" s="362">
        <v>0</v>
      </c>
      <c r="N32" s="362">
        <v>0</v>
      </c>
      <c r="O32" s="362">
        <v>0</v>
      </c>
      <c r="P32" s="362">
        <v>0</v>
      </c>
      <c r="Q32" s="362">
        <v>0</v>
      </c>
      <c r="R32" s="362">
        <v>1500</v>
      </c>
      <c r="S32" s="362">
        <v>1500</v>
      </c>
      <c r="T32" s="362">
        <v>0</v>
      </c>
      <c r="U32" s="362">
        <v>0</v>
      </c>
      <c r="V32" s="362"/>
      <c r="W32" s="362">
        <v>0</v>
      </c>
      <c r="X32" s="362">
        <v>0</v>
      </c>
      <c r="Y32" s="362">
        <v>0</v>
      </c>
      <c r="Z32" s="362">
        <v>0</v>
      </c>
      <c r="AA32" s="362">
        <v>0</v>
      </c>
      <c r="AB32" s="362">
        <v>0</v>
      </c>
      <c r="AC32" s="362">
        <v>0</v>
      </c>
      <c r="AD32" s="362">
        <v>0</v>
      </c>
      <c r="AE32" s="362">
        <v>0</v>
      </c>
      <c r="AF32" s="910"/>
    </row>
    <row r="33" spans="1:32" x14ac:dyDescent="0.25">
      <c r="A33" s="360" t="s">
        <v>374</v>
      </c>
      <c r="B33" s="361">
        <f>H33+J33+L33+N33+P33+R33+T33+V33+X33+Z33+AB33+AD33</f>
        <v>0</v>
      </c>
      <c r="C33" s="361">
        <f>H33+J33+L33+N33+P33</f>
        <v>0</v>
      </c>
      <c r="D33" s="359">
        <f t="shared" si="13"/>
        <v>0</v>
      </c>
      <c r="E33" s="361">
        <v>0</v>
      </c>
      <c r="F33" s="337">
        <f t="shared" si="14"/>
        <v>0</v>
      </c>
      <c r="G33" s="337">
        <f t="shared" si="15"/>
        <v>0</v>
      </c>
      <c r="H33" s="362">
        <v>0</v>
      </c>
      <c r="I33" s="362">
        <v>0</v>
      </c>
      <c r="J33" s="362">
        <v>0</v>
      </c>
      <c r="K33" s="362">
        <v>0</v>
      </c>
      <c r="L33" s="362">
        <v>0</v>
      </c>
      <c r="M33" s="362">
        <v>0</v>
      </c>
      <c r="N33" s="362">
        <v>0</v>
      </c>
      <c r="O33" s="362">
        <v>0</v>
      </c>
      <c r="P33" s="362">
        <v>0</v>
      </c>
      <c r="Q33" s="362">
        <v>0</v>
      </c>
      <c r="R33" s="362">
        <v>0</v>
      </c>
      <c r="S33" s="362">
        <v>0</v>
      </c>
      <c r="T33" s="362">
        <v>0</v>
      </c>
      <c r="U33" s="362">
        <v>0</v>
      </c>
      <c r="V33" s="362">
        <v>0</v>
      </c>
      <c r="W33" s="362">
        <v>0</v>
      </c>
      <c r="X33" s="362">
        <v>0</v>
      </c>
      <c r="Y33" s="362">
        <v>0</v>
      </c>
      <c r="Z33" s="362">
        <v>0</v>
      </c>
      <c r="AA33" s="362">
        <v>0</v>
      </c>
      <c r="AB33" s="362">
        <v>0</v>
      </c>
      <c r="AC33" s="362">
        <v>0</v>
      </c>
      <c r="AD33" s="362">
        <v>0</v>
      </c>
      <c r="AE33" s="362">
        <v>0</v>
      </c>
      <c r="AF33" s="910"/>
    </row>
    <row r="34" spans="1:32" x14ac:dyDescent="0.25">
      <c r="A34" s="1184" t="s">
        <v>424</v>
      </c>
      <c r="B34" s="1185"/>
      <c r="C34" s="1185"/>
      <c r="D34" s="1185"/>
      <c r="E34" s="1185"/>
      <c r="F34" s="1185"/>
      <c r="G34" s="1185"/>
      <c r="H34" s="1185"/>
      <c r="I34" s="1185"/>
      <c r="J34" s="1185"/>
      <c r="K34" s="1185"/>
      <c r="L34" s="1185"/>
      <c r="M34" s="1185"/>
      <c r="N34" s="1185"/>
      <c r="O34" s="1185"/>
      <c r="P34" s="1185"/>
      <c r="Q34" s="1185"/>
      <c r="R34" s="1185"/>
      <c r="S34" s="1185"/>
      <c r="T34" s="1185"/>
      <c r="U34" s="1185"/>
      <c r="V34" s="1185"/>
      <c r="W34" s="1185"/>
      <c r="X34" s="1185"/>
      <c r="Y34" s="1185"/>
      <c r="Z34" s="1185"/>
      <c r="AA34" s="1185"/>
      <c r="AB34" s="1185"/>
      <c r="AC34" s="1185"/>
      <c r="AD34" s="1185"/>
      <c r="AE34" s="1186"/>
      <c r="AF34" s="365"/>
    </row>
    <row r="35" spans="1:32" ht="82.5" customHeight="1" x14ac:dyDescent="0.25">
      <c r="A35" s="1169" t="s">
        <v>425</v>
      </c>
      <c r="B35" s="1170"/>
      <c r="C35" s="1170"/>
      <c r="D35" s="1170"/>
      <c r="E35" s="1170"/>
      <c r="F35" s="1170"/>
      <c r="G35" s="1170"/>
      <c r="H35" s="1170"/>
      <c r="I35" s="1170"/>
      <c r="J35" s="1170"/>
      <c r="K35" s="1170"/>
      <c r="L35" s="1170"/>
      <c r="M35" s="1170"/>
      <c r="N35" s="1170"/>
      <c r="O35" s="1170"/>
      <c r="P35" s="1170"/>
      <c r="Q35" s="1170"/>
      <c r="R35" s="1170"/>
      <c r="S35" s="1170"/>
      <c r="T35" s="1170"/>
      <c r="U35" s="1170"/>
      <c r="V35" s="1170"/>
      <c r="W35" s="1170"/>
      <c r="X35" s="1170"/>
      <c r="Y35" s="1170"/>
      <c r="Z35" s="1170"/>
      <c r="AA35" s="1170"/>
      <c r="AB35" s="1170"/>
      <c r="AC35" s="1170"/>
      <c r="AD35" s="1170"/>
      <c r="AE35" s="1171"/>
      <c r="AF35" s="1187" t="s">
        <v>591</v>
      </c>
    </row>
    <row r="36" spans="1:32" x14ac:dyDescent="0.25">
      <c r="A36" s="358" t="s">
        <v>31</v>
      </c>
      <c r="B36" s="366">
        <f>B37+B38+B39+B41</f>
        <v>16000</v>
      </c>
      <c r="C36" s="366">
        <f>C37+C38+C39+C41</f>
        <v>0</v>
      </c>
      <c r="D36" s="366">
        <f>D37+D38+D39+D41</f>
        <v>0</v>
      </c>
      <c r="E36" s="366">
        <f>E37+E38+E39+E41</f>
        <v>0</v>
      </c>
      <c r="F36" s="359">
        <f t="shared" ref="F36:F41" si="18">IFERROR(E36/B36%,0)</f>
        <v>0</v>
      </c>
      <c r="G36" s="359">
        <f t="shared" ref="G36:G41" si="19">IFERROR(E36/C36%,0)</f>
        <v>0</v>
      </c>
      <c r="H36" s="366">
        <f t="shared" ref="H36:AE36" si="20">H37+H38+H39+H41</f>
        <v>0</v>
      </c>
      <c r="I36" s="366">
        <f t="shared" si="20"/>
        <v>0</v>
      </c>
      <c r="J36" s="366">
        <f t="shared" si="20"/>
        <v>0</v>
      </c>
      <c r="K36" s="366">
        <f t="shared" si="20"/>
        <v>0</v>
      </c>
      <c r="L36" s="366">
        <f t="shared" si="20"/>
        <v>0</v>
      </c>
      <c r="M36" s="366">
        <f t="shared" si="20"/>
        <v>0</v>
      </c>
      <c r="N36" s="366">
        <f t="shared" si="20"/>
        <v>0</v>
      </c>
      <c r="O36" s="366">
        <f t="shared" si="20"/>
        <v>0</v>
      </c>
      <c r="P36" s="366">
        <f t="shared" si="20"/>
        <v>0</v>
      </c>
      <c r="Q36" s="366">
        <f t="shared" si="20"/>
        <v>0</v>
      </c>
      <c r="R36" s="366">
        <f t="shared" si="20"/>
        <v>0</v>
      </c>
      <c r="S36" s="366">
        <f t="shared" si="20"/>
        <v>0</v>
      </c>
      <c r="T36" s="366">
        <f t="shared" si="20"/>
        <v>0</v>
      </c>
      <c r="U36" s="366">
        <f t="shared" si="20"/>
        <v>0</v>
      </c>
      <c r="V36" s="366">
        <f t="shared" si="20"/>
        <v>0</v>
      </c>
      <c r="W36" s="366">
        <f t="shared" si="20"/>
        <v>0</v>
      </c>
      <c r="X36" s="366">
        <f t="shared" si="20"/>
        <v>0</v>
      </c>
      <c r="Y36" s="366">
        <f t="shared" si="20"/>
        <v>0</v>
      </c>
      <c r="Z36" s="366">
        <f t="shared" si="20"/>
        <v>16000</v>
      </c>
      <c r="AA36" s="366">
        <f t="shared" si="20"/>
        <v>0</v>
      </c>
      <c r="AB36" s="366">
        <f t="shared" si="20"/>
        <v>0</v>
      </c>
      <c r="AC36" s="366">
        <f t="shared" si="20"/>
        <v>0</v>
      </c>
      <c r="AD36" s="366">
        <f t="shared" si="20"/>
        <v>0</v>
      </c>
      <c r="AE36" s="366">
        <f t="shared" si="20"/>
        <v>0</v>
      </c>
      <c r="AF36" s="1188"/>
    </row>
    <row r="37" spans="1:32" x14ac:dyDescent="0.25">
      <c r="A37" s="360" t="s">
        <v>169</v>
      </c>
      <c r="B37" s="361">
        <f>H37+J37+L37+N37+P37+R37+T37+V37+X37+Z37+AB37+AD37</f>
        <v>0</v>
      </c>
      <c r="C37" s="361">
        <f>H37+J37</f>
        <v>0</v>
      </c>
      <c r="D37" s="361">
        <f>E37</f>
        <v>0</v>
      </c>
      <c r="E37" s="361">
        <f>I37+K37+M37+O37+Q37+S37+U37+W37+Y37+AA37+AC37+AE37</f>
        <v>0</v>
      </c>
      <c r="F37" s="337">
        <f t="shared" si="18"/>
        <v>0</v>
      </c>
      <c r="G37" s="337">
        <f t="shared" si="19"/>
        <v>0</v>
      </c>
      <c r="H37" s="362">
        <v>0</v>
      </c>
      <c r="I37" s="362">
        <v>0</v>
      </c>
      <c r="J37" s="362">
        <v>0</v>
      </c>
      <c r="K37" s="362">
        <v>0</v>
      </c>
      <c r="L37" s="362">
        <v>0</v>
      </c>
      <c r="M37" s="362">
        <v>0</v>
      </c>
      <c r="N37" s="362">
        <v>0</v>
      </c>
      <c r="O37" s="362">
        <v>0</v>
      </c>
      <c r="P37" s="362">
        <v>0</v>
      </c>
      <c r="Q37" s="362">
        <v>0</v>
      </c>
      <c r="R37" s="362">
        <v>0</v>
      </c>
      <c r="S37" s="362">
        <v>0</v>
      </c>
      <c r="T37" s="362">
        <v>0</v>
      </c>
      <c r="U37" s="362">
        <v>0</v>
      </c>
      <c r="V37" s="362">
        <v>0</v>
      </c>
      <c r="W37" s="362">
        <v>0</v>
      </c>
      <c r="X37" s="362">
        <v>0</v>
      </c>
      <c r="Y37" s="362">
        <v>0</v>
      </c>
      <c r="Z37" s="362">
        <v>0</v>
      </c>
      <c r="AA37" s="362">
        <v>0</v>
      </c>
      <c r="AB37" s="362">
        <v>0</v>
      </c>
      <c r="AC37" s="362">
        <v>0</v>
      </c>
      <c r="AD37" s="362">
        <v>0</v>
      </c>
      <c r="AE37" s="362">
        <v>0</v>
      </c>
      <c r="AF37" s="1188"/>
    </row>
    <row r="38" spans="1:32" x14ac:dyDescent="0.25">
      <c r="A38" s="360" t="s">
        <v>32</v>
      </c>
      <c r="B38" s="361">
        <f>H38+J38+L38+N38+P38+R38+T38+V38+X38+Z38+AB38+AD38</f>
        <v>0</v>
      </c>
      <c r="C38" s="361">
        <f>H38+J38</f>
        <v>0</v>
      </c>
      <c r="D38" s="361">
        <f>E38</f>
        <v>0</v>
      </c>
      <c r="E38" s="361">
        <f>I38+K38+M38+O38+Q38+S38+U38+W38+Y38+AA38+AC38+AE38</f>
        <v>0</v>
      </c>
      <c r="F38" s="337">
        <f t="shared" si="18"/>
        <v>0</v>
      </c>
      <c r="G38" s="337">
        <f t="shared" si="19"/>
        <v>0</v>
      </c>
      <c r="H38" s="362">
        <v>0</v>
      </c>
      <c r="I38" s="362">
        <v>0</v>
      </c>
      <c r="J38" s="362">
        <v>0</v>
      </c>
      <c r="K38" s="362">
        <v>0</v>
      </c>
      <c r="L38" s="362">
        <v>0</v>
      </c>
      <c r="M38" s="362">
        <v>0</v>
      </c>
      <c r="N38" s="362">
        <v>0</v>
      </c>
      <c r="O38" s="362">
        <v>0</v>
      </c>
      <c r="P38" s="362">
        <v>0</v>
      </c>
      <c r="Q38" s="362">
        <v>0</v>
      </c>
      <c r="R38" s="362">
        <v>0</v>
      </c>
      <c r="S38" s="362">
        <v>0</v>
      </c>
      <c r="T38" s="362">
        <v>0</v>
      </c>
      <c r="U38" s="362">
        <v>0</v>
      </c>
      <c r="V38" s="362">
        <v>0</v>
      </c>
      <c r="W38" s="362">
        <v>0</v>
      </c>
      <c r="X38" s="362">
        <v>0</v>
      </c>
      <c r="Y38" s="362">
        <v>0</v>
      </c>
      <c r="Z38" s="362">
        <v>0</v>
      </c>
      <c r="AA38" s="362">
        <v>0</v>
      </c>
      <c r="AB38" s="362">
        <v>0</v>
      </c>
      <c r="AC38" s="362">
        <v>0</v>
      </c>
      <c r="AD38" s="362">
        <v>0</v>
      </c>
      <c r="AE38" s="362">
        <v>0</v>
      </c>
      <c r="AF38" s="1188"/>
    </row>
    <row r="39" spans="1:32" x14ac:dyDescent="0.25">
      <c r="A39" s="360" t="s">
        <v>33</v>
      </c>
      <c r="B39" s="361">
        <f>H39+J39+L39+N39+P39+R39+T39+V39+X39+Z39+AB39+AD39</f>
        <v>16000</v>
      </c>
      <c r="C39" s="361">
        <f>H39+J39</f>
        <v>0</v>
      </c>
      <c r="D39" s="361">
        <f>E39</f>
        <v>0</v>
      </c>
      <c r="E39" s="361">
        <f>I39+K39+M39+O39+Q39+S39+U39+W39+Y39+AA39+AC39+AE39</f>
        <v>0</v>
      </c>
      <c r="F39" s="337">
        <f t="shared" si="18"/>
        <v>0</v>
      </c>
      <c r="G39" s="337">
        <f t="shared" si="19"/>
        <v>0</v>
      </c>
      <c r="H39" s="362">
        <v>0</v>
      </c>
      <c r="I39" s="362">
        <v>0</v>
      </c>
      <c r="J39" s="362">
        <v>0</v>
      </c>
      <c r="K39" s="362">
        <v>0</v>
      </c>
      <c r="L39" s="362">
        <v>0</v>
      </c>
      <c r="M39" s="362">
        <v>0</v>
      </c>
      <c r="N39" s="362">
        <v>0</v>
      </c>
      <c r="O39" s="362">
        <v>0</v>
      </c>
      <c r="P39" s="362">
        <v>0</v>
      </c>
      <c r="Q39" s="362">
        <v>0</v>
      </c>
      <c r="R39" s="362">
        <v>0</v>
      </c>
      <c r="S39" s="362">
        <v>0</v>
      </c>
      <c r="T39" s="362">
        <v>0</v>
      </c>
      <c r="U39" s="362">
        <v>0</v>
      </c>
      <c r="V39" s="362">
        <v>0</v>
      </c>
      <c r="W39" s="362">
        <v>0</v>
      </c>
      <c r="X39" s="362">
        <v>0</v>
      </c>
      <c r="Y39" s="362">
        <v>0</v>
      </c>
      <c r="Z39" s="362">
        <v>16000</v>
      </c>
      <c r="AA39" s="362">
        <v>0</v>
      </c>
      <c r="AB39" s="362">
        <v>0</v>
      </c>
      <c r="AC39" s="362">
        <v>0</v>
      </c>
      <c r="AD39" s="362">
        <v>0</v>
      </c>
      <c r="AE39" s="362">
        <v>0</v>
      </c>
      <c r="AF39" s="1188"/>
    </row>
    <row r="40" spans="1:32" ht="31.5" x14ac:dyDescent="0.25">
      <c r="A40" s="363" t="s">
        <v>174</v>
      </c>
      <c r="B40" s="361">
        <f>H40+J40+L40+N40+P40+R40+T40+V40+X40+Z40+AB40+AD40</f>
        <v>0</v>
      </c>
      <c r="C40" s="361">
        <f>H40+J40</f>
        <v>0</v>
      </c>
      <c r="D40" s="361">
        <f>E40</f>
        <v>0</v>
      </c>
      <c r="E40" s="361">
        <f>I40+K40+M40+O40+Q40+S40+U40+W40+Y40+AA40+AC40+AE40</f>
        <v>0</v>
      </c>
      <c r="F40" s="337">
        <f t="shared" si="18"/>
        <v>0</v>
      </c>
      <c r="G40" s="337">
        <f t="shared" si="19"/>
        <v>0</v>
      </c>
      <c r="H40" s="362">
        <v>0</v>
      </c>
      <c r="I40" s="362">
        <v>0</v>
      </c>
      <c r="J40" s="362">
        <v>0</v>
      </c>
      <c r="K40" s="362">
        <v>0</v>
      </c>
      <c r="L40" s="362">
        <v>0</v>
      </c>
      <c r="M40" s="362">
        <v>0</v>
      </c>
      <c r="N40" s="362">
        <v>0</v>
      </c>
      <c r="O40" s="362">
        <v>0</v>
      </c>
      <c r="P40" s="362">
        <v>0</v>
      </c>
      <c r="Q40" s="362">
        <v>0</v>
      </c>
      <c r="R40" s="362">
        <v>0</v>
      </c>
      <c r="S40" s="362">
        <v>0</v>
      </c>
      <c r="T40" s="362">
        <v>0</v>
      </c>
      <c r="U40" s="362">
        <v>0</v>
      </c>
      <c r="V40" s="362">
        <v>0</v>
      </c>
      <c r="W40" s="362">
        <v>0</v>
      </c>
      <c r="X40" s="362">
        <v>0</v>
      </c>
      <c r="Y40" s="362">
        <v>0</v>
      </c>
      <c r="Z40" s="362">
        <v>0</v>
      </c>
      <c r="AA40" s="362">
        <v>0</v>
      </c>
      <c r="AB40" s="362">
        <v>0</v>
      </c>
      <c r="AC40" s="362">
        <v>0</v>
      </c>
      <c r="AD40" s="362">
        <v>0</v>
      </c>
      <c r="AE40" s="362">
        <v>0</v>
      </c>
      <c r="AF40" s="1188"/>
    </row>
    <row r="41" spans="1:32" x14ac:dyDescent="0.25">
      <c r="A41" s="360" t="s">
        <v>374</v>
      </c>
      <c r="B41" s="361">
        <f>H41+J41+L41+N41+P41+R41+T41+V41+X41+Z41+AB41+AD41</f>
        <v>0</v>
      </c>
      <c r="C41" s="361">
        <f>H41+J41</f>
        <v>0</v>
      </c>
      <c r="D41" s="361">
        <f>E41</f>
        <v>0</v>
      </c>
      <c r="E41" s="361">
        <f>I41+K41+M41+O41+Q41+S41+U41+W41+Y41+AA41+AC41+AE41</f>
        <v>0</v>
      </c>
      <c r="F41" s="337">
        <f t="shared" si="18"/>
        <v>0</v>
      </c>
      <c r="G41" s="337">
        <f t="shared" si="19"/>
        <v>0</v>
      </c>
      <c r="H41" s="362">
        <v>0</v>
      </c>
      <c r="I41" s="362">
        <v>0</v>
      </c>
      <c r="J41" s="362">
        <v>0</v>
      </c>
      <c r="K41" s="362">
        <v>0</v>
      </c>
      <c r="L41" s="362">
        <v>0</v>
      </c>
      <c r="M41" s="362">
        <v>0</v>
      </c>
      <c r="N41" s="362">
        <v>0</v>
      </c>
      <c r="O41" s="362">
        <v>0</v>
      </c>
      <c r="P41" s="362">
        <v>0</v>
      </c>
      <c r="Q41" s="362">
        <v>0</v>
      </c>
      <c r="R41" s="362">
        <v>0</v>
      </c>
      <c r="S41" s="362">
        <v>0</v>
      </c>
      <c r="T41" s="362">
        <v>0</v>
      </c>
      <c r="U41" s="362">
        <v>0</v>
      </c>
      <c r="V41" s="362">
        <v>0</v>
      </c>
      <c r="W41" s="362">
        <v>0</v>
      </c>
      <c r="X41" s="362">
        <v>0</v>
      </c>
      <c r="Y41" s="362">
        <v>0</v>
      </c>
      <c r="Z41" s="362">
        <v>0</v>
      </c>
      <c r="AA41" s="362">
        <v>0</v>
      </c>
      <c r="AB41" s="362">
        <v>0</v>
      </c>
      <c r="AC41" s="362">
        <v>0</v>
      </c>
      <c r="AD41" s="362">
        <v>0</v>
      </c>
      <c r="AE41" s="362">
        <v>0</v>
      </c>
      <c r="AF41" s="1189"/>
    </row>
    <row r="42" spans="1:32" ht="39.75" customHeight="1" x14ac:dyDescent="0.25">
      <c r="A42" s="1190" t="s">
        <v>426</v>
      </c>
      <c r="B42" s="1191"/>
      <c r="C42" s="1191"/>
      <c r="D42" s="1191"/>
      <c r="E42" s="1191"/>
      <c r="F42" s="1191"/>
      <c r="G42" s="1191"/>
      <c r="H42" s="1191"/>
      <c r="I42" s="1191"/>
      <c r="J42" s="1191"/>
      <c r="K42" s="1191"/>
      <c r="L42" s="1191"/>
      <c r="M42" s="1191"/>
      <c r="N42" s="1191"/>
      <c r="O42" s="1191"/>
      <c r="P42" s="1191"/>
      <c r="Q42" s="1191"/>
      <c r="R42" s="1191"/>
      <c r="S42" s="1191"/>
      <c r="T42" s="1191"/>
      <c r="U42" s="1191"/>
      <c r="V42" s="1191"/>
      <c r="W42" s="1191"/>
      <c r="X42" s="1191"/>
      <c r="Y42" s="1191"/>
      <c r="Z42" s="1191"/>
      <c r="AA42" s="1191"/>
      <c r="AB42" s="1191"/>
      <c r="AC42" s="1191"/>
      <c r="AD42" s="1191"/>
      <c r="AE42" s="1192"/>
      <c r="AF42" s="367"/>
    </row>
    <row r="43" spans="1:32" s="580" customFormat="1" x14ac:dyDescent="0.25">
      <c r="A43" s="576" t="s">
        <v>31</v>
      </c>
      <c r="B43" s="577">
        <v>47346.3</v>
      </c>
      <c r="C43" s="577">
        <v>1473.04</v>
      </c>
      <c r="D43" s="577">
        <v>1473.04</v>
      </c>
      <c r="E43" s="577">
        <v>1472.95</v>
      </c>
      <c r="F43" s="578">
        <f>IFERROR(E43/B43%,0)</f>
        <v>3.1110139546279223</v>
      </c>
      <c r="G43" s="578">
        <f>IFERROR(E43/C43%,0)</f>
        <v>99.993890186281433</v>
      </c>
      <c r="H43" s="577">
        <f t="shared" ref="H43:AE43" si="21">H44+H45+H46+H48</f>
        <v>232</v>
      </c>
      <c r="I43" s="577">
        <f t="shared" si="21"/>
        <v>232</v>
      </c>
      <c r="J43" s="577">
        <f t="shared" si="21"/>
        <v>0</v>
      </c>
      <c r="K43" s="577">
        <f t="shared" si="21"/>
        <v>0</v>
      </c>
      <c r="L43" s="577">
        <f t="shared" si="21"/>
        <v>594.1</v>
      </c>
      <c r="M43" s="577">
        <f t="shared" si="21"/>
        <v>594.1</v>
      </c>
      <c r="N43" s="577">
        <f t="shared" si="21"/>
        <v>0</v>
      </c>
      <c r="O43" s="577">
        <f t="shared" si="21"/>
        <v>0</v>
      </c>
      <c r="P43" s="577">
        <v>646.94000000000005</v>
      </c>
      <c r="Q43" s="577">
        <v>49.84</v>
      </c>
      <c r="R43" s="577">
        <f t="shared" si="21"/>
        <v>0</v>
      </c>
      <c r="S43" s="577">
        <f t="shared" si="21"/>
        <v>597.01</v>
      </c>
      <c r="T43" s="577">
        <f t="shared" si="21"/>
        <v>0</v>
      </c>
      <c r="U43" s="577">
        <f t="shared" si="21"/>
        <v>0</v>
      </c>
      <c r="V43" s="577">
        <v>8.76</v>
      </c>
      <c r="W43" s="577">
        <f t="shared" si="21"/>
        <v>0</v>
      </c>
      <c r="X43" s="577">
        <f t="shared" si="21"/>
        <v>0</v>
      </c>
      <c r="Y43" s="577">
        <f t="shared" si="21"/>
        <v>0</v>
      </c>
      <c r="Z43" s="577">
        <v>21439.8</v>
      </c>
      <c r="AA43" s="577">
        <f t="shared" si="21"/>
        <v>0</v>
      </c>
      <c r="AB43" s="577">
        <f t="shared" si="21"/>
        <v>593.79999999999995</v>
      </c>
      <c r="AC43" s="577">
        <f t="shared" si="21"/>
        <v>0</v>
      </c>
      <c r="AD43" s="577">
        <f t="shared" si="21"/>
        <v>1199.0999999999999</v>
      </c>
      <c r="AE43" s="577">
        <f t="shared" si="21"/>
        <v>0</v>
      </c>
      <c r="AF43" s="579"/>
    </row>
    <row r="44" spans="1:32" s="580" customFormat="1" x14ac:dyDescent="0.25">
      <c r="A44" s="581" t="s">
        <v>169</v>
      </c>
      <c r="B44" s="582">
        <f>H44+J44+L44+N44+P44+R44+T44+V44+X44+Z44+AB44+AD44</f>
        <v>0</v>
      </c>
      <c r="C44" s="582">
        <f>H44</f>
        <v>0</v>
      </c>
      <c r="D44" s="582">
        <f>E44</f>
        <v>0</v>
      </c>
      <c r="E44" s="582">
        <f>I44+K44+M44+O44+Q44+S44+U44+W44+Y44+AA44+AC44+AE44</f>
        <v>0</v>
      </c>
      <c r="F44" s="583">
        <f>IFERROR(E44/B44%,0)</f>
        <v>0</v>
      </c>
      <c r="G44" s="583">
        <f>IFERROR(E44/C44%,0)</f>
        <v>0</v>
      </c>
      <c r="H44" s="584">
        <v>0</v>
      </c>
      <c r="I44" s="584">
        <v>0</v>
      </c>
      <c r="J44" s="584">
        <v>0</v>
      </c>
      <c r="K44" s="584">
        <v>0</v>
      </c>
      <c r="L44" s="584">
        <v>0</v>
      </c>
      <c r="M44" s="584">
        <v>0</v>
      </c>
      <c r="N44" s="584">
        <v>0</v>
      </c>
      <c r="O44" s="584">
        <v>0</v>
      </c>
      <c r="P44" s="584">
        <v>0</v>
      </c>
      <c r="Q44" s="584">
        <v>0</v>
      </c>
      <c r="R44" s="584">
        <v>0</v>
      </c>
      <c r="S44" s="584">
        <v>0</v>
      </c>
      <c r="T44" s="584">
        <v>0</v>
      </c>
      <c r="U44" s="584">
        <v>0</v>
      </c>
      <c r="V44" s="584">
        <v>0</v>
      </c>
      <c r="W44" s="584">
        <v>0</v>
      </c>
      <c r="X44" s="584">
        <v>0</v>
      </c>
      <c r="Y44" s="584">
        <v>0</v>
      </c>
      <c r="Z44" s="584">
        <v>0</v>
      </c>
      <c r="AA44" s="584">
        <v>0</v>
      </c>
      <c r="AB44" s="584">
        <v>0</v>
      </c>
      <c r="AC44" s="584">
        <v>0</v>
      </c>
      <c r="AD44" s="584">
        <v>0</v>
      </c>
      <c r="AE44" s="584">
        <v>0</v>
      </c>
      <c r="AF44" s="579"/>
    </row>
    <row r="45" spans="1:32" s="580" customFormat="1" x14ac:dyDescent="0.25">
      <c r="A45" s="581" t="s">
        <v>32</v>
      </c>
      <c r="B45" s="582">
        <f>H45+J45+L45+N45+P45+R45+T45+V45+X45+Z45+AB45+AD45</f>
        <v>0</v>
      </c>
      <c r="C45" s="582">
        <f>H45</f>
        <v>0</v>
      </c>
      <c r="D45" s="582">
        <f>E45</f>
        <v>0</v>
      </c>
      <c r="E45" s="582">
        <f>I45+K45+M45+O45+Q45+S45+U45+W45+Y45+AA45+AC45+AE45</f>
        <v>0</v>
      </c>
      <c r="F45" s="583">
        <f>IFERROR(E45/B45%,0)</f>
        <v>0</v>
      </c>
      <c r="G45" s="583">
        <f>IFERROR(E45/C45%,0)</f>
        <v>0</v>
      </c>
      <c r="H45" s="584">
        <v>0</v>
      </c>
      <c r="I45" s="584">
        <v>0</v>
      </c>
      <c r="J45" s="584">
        <v>0</v>
      </c>
      <c r="K45" s="584">
        <v>0</v>
      </c>
      <c r="L45" s="584">
        <v>0</v>
      </c>
      <c r="M45" s="584">
        <v>0</v>
      </c>
      <c r="N45" s="584">
        <v>0</v>
      </c>
      <c r="O45" s="584">
        <v>0</v>
      </c>
      <c r="P45" s="584">
        <v>0</v>
      </c>
      <c r="Q45" s="584">
        <v>0</v>
      </c>
      <c r="R45" s="584">
        <v>0</v>
      </c>
      <c r="S45" s="584">
        <v>0</v>
      </c>
      <c r="T45" s="584">
        <v>0</v>
      </c>
      <c r="U45" s="584">
        <v>0</v>
      </c>
      <c r="V45" s="584">
        <v>0</v>
      </c>
      <c r="W45" s="584">
        <v>0</v>
      </c>
      <c r="X45" s="584">
        <v>0</v>
      </c>
      <c r="Y45" s="584">
        <v>0</v>
      </c>
      <c r="Z45" s="584">
        <v>0</v>
      </c>
      <c r="AA45" s="584">
        <v>0</v>
      </c>
      <c r="AB45" s="584">
        <v>0</v>
      </c>
      <c r="AC45" s="584">
        <v>0</v>
      </c>
      <c r="AD45" s="584">
        <v>0</v>
      </c>
      <c r="AE45" s="584">
        <v>0</v>
      </c>
      <c r="AF45" s="579"/>
    </row>
    <row r="46" spans="1:32" s="580" customFormat="1" x14ac:dyDescent="0.25">
      <c r="A46" s="581" t="s">
        <v>33</v>
      </c>
      <c r="B46" s="582">
        <v>31810.3</v>
      </c>
      <c r="C46" s="582">
        <v>1473.04</v>
      </c>
      <c r="D46" s="582">
        <v>1473.04</v>
      </c>
      <c r="E46" s="582">
        <v>1472.95</v>
      </c>
      <c r="F46" s="583">
        <f>IFERROR(E46/B46%,0)</f>
        <v>4.6304184493701728</v>
      </c>
      <c r="G46" s="583">
        <f>IFERROR(E46/C46%,0)</f>
        <v>99.993890186281433</v>
      </c>
      <c r="H46" s="584">
        <v>232</v>
      </c>
      <c r="I46" s="584">
        <v>232</v>
      </c>
      <c r="J46" s="584">
        <v>0</v>
      </c>
      <c r="K46" s="584">
        <v>0</v>
      </c>
      <c r="L46" s="584">
        <v>594.1</v>
      </c>
      <c r="M46" s="584">
        <v>594.1</v>
      </c>
      <c r="N46" s="584">
        <v>0</v>
      </c>
      <c r="O46" s="584">
        <v>0</v>
      </c>
      <c r="P46" s="584">
        <v>646.94000000000005</v>
      </c>
      <c r="Q46" s="577">
        <v>49.84</v>
      </c>
      <c r="R46" s="584">
        <v>0</v>
      </c>
      <c r="S46" s="584">
        <v>597.01</v>
      </c>
      <c r="T46" s="584">
        <v>0</v>
      </c>
      <c r="U46" s="584">
        <v>0</v>
      </c>
      <c r="V46" s="584">
        <v>8.76</v>
      </c>
      <c r="W46" s="584">
        <v>0</v>
      </c>
      <c r="X46" s="584">
        <v>0</v>
      </c>
      <c r="Y46" s="584">
        <v>0</v>
      </c>
      <c r="Z46" s="584">
        <v>28535.599999999999</v>
      </c>
      <c r="AA46" s="584">
        <v>0</v>
      </c>
      <c r="AB46" s="584">
        <v>593.79999999999995</v>
      </c>
      <c r="AC46" s="584">
        <v>0</v>
      </c>
      <c r="AD46" s="584">
        <v>1199.0999999999999</v>
      </c>
      <c r="AE46" s="584">
        <v>0</v>
      </c>
      <c r="AF46" s="579"/>
    </row>
    <row r="47" spans="1:32" s="580" customFormat="1" ht="31.5" x14ac:dyDescent="0.25">
      <c r="A47" s="585" t="s">
        <v>174</v>
      </c>
      <c r="B47" s="582">
        <f>H47+J47+L47+N47+P47+R47+T47+V47+X47+Z47+AB47+AD47</f>
        <v>0</v>
      </c>
      <c r="C47" s="582">
        <f>H47</f>
        <v>0</v>
      </c>
      <c r="D47" s="582">
        <f>E47</f>
        <v>0</v>
      </c>
      <c r="E47" s="582">
        <f>I47+K47+M47+O47+Q47+S47+U47+W47+Y47+AA47+AC47+AE47</f>
        <v>0</v>
      </c>
      <c r="F47" s="583">
        <f>IFERROR(E47/B47%,0)</f>
        <v>0</v>
      </c>
      <c r="G47" s="583">
        <f>IFERROR(E47/C47%,0)</f>
        <v>0</v>
      </c>
      <c r="H47" s="584">
        <v>0</v>
      </c>
      <c r="I47" s="584">
        <v>0</v>
      </c>
      <c r="J47" s="584">
        <v>0</v>
      </c>
      <c r="K47" s="584">
        <v>0</v>
      </c>
      <c r="L47" s="584">
        <v>0</v>
      </c>
      <c r="M47" s="584">
        <v>0</v>
      </c>
      <c r="N47" s="584">
        <v>0</v>
      </c>
      <c r="O47" s="584">
        <v>0</v>
      </c>
      <c r="P47" s="584">
        <v>0</v>
      </c>
      <c r="Q47" s="584">
        <v>0</v>
      </c>
      <c r="R47" s="584">
        <v>0</v>
      </c>
      <c r="S47" s="584">
        <v>0</v>
      </c>
      <c r="T47" s="584">
        <v>0</v>
      </c>
      <c r="U47" s="584">
        <v>0</v>
      </c>
      <c r="V47" s="584">
        <v>0</v>
      </c>
      <c r="W47" s="584">
        <v>0</v>
      </c>
      <c r="X47" s="584">
        <v>0</v>
      </c>
      <c r="Y47" s="584">
        <v>0</v>
      </c>
      <c r="Z47" s="584">
        <v>0</v>
      </c>
      <c r="AA47" s="584">
        <v>0</v>
      </c>
      <c r="AB47" s="584">
        <v>0</v>
      </c>
      <c r="AC47" s="584">
        <v>0</v>
      </c>
      <c r="AD47" s="584">
        <v>0</v>
      </c>
      <c r="AE47" s="584">
        <v>0</v>
      </c>
      <c r="AF47" s="579"/>
    </row>
    <row r="48" spans="1:32" s="580" customFormat="1" ht="65.25" customHeight="1" x14ac:dyDescent="0.25">
      <c r="A48" s="969" t="s">
        <v>586</v>
      </c>
      <c r="B48" s="912"/>
      <c r="C48" s="912"/>
      <c r="D48" s="912"/>
      <c r="E48" s="912"/>
      <c r="F48" s="912"/>
      <c r="G48" s="912"/>
      <c r="H48" s="912"/>
      <c r="I48" s="912"/>
      <c r="J48" s="912"/>
      <c r="K48" s="912"/>
      <c r="L48" s="912"/>
      <c r="M48" s="912"/>
      <c r="N48" s="912"/>
      <c r="O48" s="912"/>
      <c r="P48" s="912"/>
      <c r="Q48" s="912"/>
      <c r="R48" s="912"/>
      <c r="S48" s="912"/>
      <c r="T48" s="912"/>
      <c r="U48" s="912"/>
      <c r="V48" s="912"/>
      <c r="W48" s="912"/>
      <c r="X48" s="912"/>
      <c r="Y48" s="912"/>
      <c r="Z48" s="912"/>
      <c r="AA48" s="912"/>
      <c r="AB48" s="912"/>
      <c r="AC48" s="912"/>
      <c r="AD48" s="912"/>
      <c r="AE48" s="913"/>
      <c r="AF48" s="1177" t="s">
        <v>647</v>
      </c>
    </row>
    <row r="49" spans="1:32" s="580" customFormat="1" ht="24" customHeight="1" x14ac:dyDescent="0.25">
      <c r="A49" s="576" t="s">
        <v>31</v>
      </c>
      <c r="B49" s="577">
        <v>15811.6</v>
      </c>
      <c r="C49" s="577">
        <v>266.83999999999997</v>
      </c>
      <c r="D49" s="577">
        <v>266.83999999999997</v>
      </c>
      <c r="E49" s="577">
        <v>266.83999999999997</v>
      </c>
      <c r="F49" s="578">
        <v>1.69</v>
      </c>
      <c r="G49" s="578">
        <f>IFERROR(E49/C49%,0)</f>
        <v>100</v>
      </c>
      <c r="H49" s="577">
        <f t="shared" ref="H49:O49" si="22">H50+H51+H52+H54</f>
        <v>232</v>
      </c>
      <c r="I49" s="577">
        <f t="shared" si="22"/>
        <v>232</v>
      </c>
      <c r="J49" s="577">
        <f t="shared" si="22"/>
        <v>0</v>
      </c>
      <c r="K49" s="577">
        <f t="shared" si="22"/>
        <v>0</v>
      </c>
      <c r="L49" s="577">
        <v>0</v>
      </c>
      <c r="M49" s="577">
        <v>0</v>
      </c>
      <c r="N49" s="577">
        <f t="shared" si="22"/>
        <v>0</v>
      </c>
      <c r="O49" s="577">
        <f t="shared" si="22"/>
        <v>0</v>
      </c>
      <c r="P49" s="577">
        <v>34.840000000000003</v>
      </c>
      <c r="Q49" s="577">
        <v>34.840000000000003</v>
      </c>
      <c r="R49" s="577">
        <f>R50+R51+R52+R54</f>
        <v>0</v>
      </c>
      <c r="S49" s="577">
        <f>S50+S51+S52+S54</f>
        <v>0</v>
      </c>
      <c r="T49" s="577">
        <f>T50+T51+T52+T54</f>
        <v>0</v>
      </c>
      <c r="U49" s="577">
        <f>U50+U51+U52+U54</f>
        <v>0</v>
      </c>
      <c r="V49" s="577">
        <v>8.76</v>
      </c>
      <c r="W49" s="577">
        <f>W50+W51+W52+W54</f>
        <v>0</v>
      </c>
      <c r="X49" s="577">
        <f>X50+X51+X52+X54</f>
        <v>0</v>
      </c>
      <c r="Y49" s="577">
        <f>Y50+Y51+Y52+Y54</f>
        <v>0</v>
      </c>
      <c r="Z49" s="577">
        <v>0</v>
      </c>
      <c r="AA49" s="577">
        <f>AA50+AA51+AA52+AA54</f>
        <v>0</v>
      </c>
      <c r="AB49" s="577">
        <v>15536</v>
      </c>
      <c r="AC49" s="577">
        <f>AC50+AC51+AC52+AC54</f>
        <v>0</v>
      </c>
      <c r="AD49" s="577">
        <v>0</v>
      </c>
      <c r="AE49" s="577">
        <f>AE50+AE51+AE52+AE54</f>
        <v>0</v>
      </c>
      <c r="AF49" s="1178"/>
    </row>
    <row r="50" spans="1:32" s="580" customFormat="1" x14ac:dyDescent="0.25">
      <c r="A50" s="581" t="s">
        <v>169</v>
      </c>
      <c r="B50" s="582">
        <f>H50+J50+L50+N50+P50+R50+T50+V50+X50+Z50+AB50+AD50</f>
        <v>0</v>
      </c>
      <c r="C50" s="582">
        <f>H50</f>
        <v>0</v>
      </c>
      <c r="D50" s="582">
        <f>E50</f>
        <v>0</v>
      </c>
      <c r="E50" s="582">
        <f>I50+K50+M50+O50+Q50+S50+U50+W50+Y50+AA50+AC50+AE50</f>
        <v>0</v>
      </c>
      <c r="F50" s="583">
        <f>IFERROR(E50/B50%,0)</f>
        <v>0</v>
      </c>
      <c r="G50" s="583">
        <f>IFERROR(E50/C50%,0)</f>
        <v>0</v>
      </c>
      <c r="H50" s="584">
        <v>0</v>
      </c>
      <c r="I50" s="584">
        <v>0</v>
      </c>
      <c r="J50" s="584">
        <v>0</v>
      </c>
      <c r="K50" s="584">
        <v>0</v>
      </c>
      <c r="L50" s="584">
        <v>0</v>
      </c>
      <c r="M50" s="584">
        <v>0</v>
      </c>
      <c r="N50" s="584">
        <v>0</v>
      </c>
      <c r="O50" s="584">
        <v>0</v>
      </c>
      <c r="P50" s="584">
        <v>0</v>
      </c>
      <c r="Q50" s="584">
        <v>0</v>
      </c>
      <c r="R50" s="584">
        <v>0</v>
      </c>
      <c r="S50" s="584">
        <v>0</v>
      </c>
      <c r="T50" s="584">
        <v>0</v>
      </c>
      <c r="U50" s="584">
        <v>0</v>
      </c>
      <c r="V50" s="584">
        <v>0</v>
      </c>
      <c r="W50" s="584">
        <v>0</v>
      </c>
      <c r="X50" s="584">
        <v>0</v>
      </c>
      <c r="Y50" s="584">
        <v>0</v>
      </c>
      <c r="Z50" s="584">
        <v>0</v>
      </c>
      <c r="AA50" s="584">
        <v>0</v>
      </c>
      <c r="AB50" s="584">
        <v>0</v>
      </c>
      <c r="AC50" s="584">
        <v>0</v>
      </c>
      <c r="AD50" s="584">
        <v>0</v>
      </c>
      <c r="AE50" s="584">
        <v>0</v>
      </c>
      <c r="AF50" s="1178"/>
    </row>
    <row r="51" spans="1:32" s="580" customFormat="1" x14ac:dyDescent="0.25">
      <c r="A51" s="581" t="s">
        <v>32</v>
      </c>
      <c r="B51" s="582">
        <f>H51+J51+L51+N51+P51+R51+T51+V51+X51+Z51+AB51+AD51</f>
        <v>0</v>
      </c>
      <c r="C51" s="582">
        <f>H51</f>
        <v>0</v>
      </c>
      <c r="D51" s="582">
        <f>E51</f>
        <v>0</v>
      </c>
      <c r="E51" s="582">
        <f>I51+K51+M51+O51+Q51+S51+U51+W51+Y51+AA51+AC51+AE51</f>
        <v>0</v>
      </c>
      <c r="F51" s="583">
        <f>IFERROR(E51/B51%,0)</f>
        <v>0</v>
      </c>
      <c r="G51" s="583">
        <f>IFERROR(E51/C51%,0)</f>
        <v>0</v>
      </c>
      <c r="H51" s="584">
        <v>0</v>
      </c>
      <c r="I51" s="584">
        <v>0</v>
      </c>
      <c r="J51" s="584">
        <v>0</v>
      </c>
      <c r="K51" s="584">
        <v>0</v>
      </c>
      <c r="L51" s="584">
        <v>0</v>
      </c>
      <c r="M51" s="584">
        <v>0</v>
      </c>
      <c r="N51" s="584">
        <v>0</v>
      </c>
      <c r="O51" s="584">
        <v>0</v>
      </c>
      <c r="P51" s="584">
        <v>0</v>
      </c>
      <c r="Q51" s="584">
        <v>0</v>
      </c>
      <c r="R51" s="584">
        <v>0</v>
      </c>
      <c r="S51" s="584">
        <v>0</v>
      </c>
      <c r="T51" s="584">
        <v>0</v>
      </c>
      <c r="U51" s="584">
        <v>0</v>
      </c>
      <c r="V51" s="584">
        <v>0</v>
      </c>
      <c r="W51" s="584">
        <v>0</v>
      </c>
      <c r="X51" s="584">
        <v>0</v>
      </c>
      <c r="Y51" s="584">
        <v>0</v>
      </c>
      <c r="Z51" s="584">
        <v>0</v>
      </c>
      <c r="AA51" s="584">
        <v>0</v>
      </c>
      <c r="AB51" s="584">
        <v>0</v>
      </c>
      <c r="AC51" s="584">
        <v>0</v>
      </c>
      <c r="AD51" s="584">
        <v>0</v>
      </c>
      <c r="AE51" s="584">
        <v>0</v>
      </c>
      <c r="AF51" s="1178"/>
    </row>
    <row r="52" spans="1:32" s="580" customFormat="1" x14ac:dyDescent="0.25">
      <c r="A52" s="581" t="s">
        <v>33</v>
      </c>
      <c r="B52" s="582">
        <v>275.60000000000002</v>
      </c>
      <c r="C52" s="582">
        <v>266.83999999999997</v>
      </c>
      <c r="D52" s="582">
        <v>266.83999999999997</v>
      </c>
      <c r="E52" s="582">
        <v>266.83999999999997</v>
      </c>
      <c r="F52" s="583">
        <f>IFERROR(E52/B52%,0)</f>
        <v>96.821480406386044</v>
      </c>
      <c r="G52" s="583">
        <f>IFERROR(E52/C52%,0)</f>
        <v>100</v>
      </c>
      <c r="H52" s="584">
        <v>232</v>
      </c>
      <c r="I52" s="584">
        <v>232</v>
      </c>
      <c r="J52" s="584">
        <v>0</v>
      </c>
      <c r="K52" s="584">
        <v>0</v>
      </c>
      <c r="L52" s="584">
        <v>0</v>
      </c>
      <c r="M52" s="584">
        <v>0</v>
      </c>
      <c r="N52" s="584">
        <v>0</v>
      </c>
      <c r="O52" s="584">
        <v>0</v>
      </c>
      <c r="P52" s="584">
        <v>34.840000000000003</v>
      </c>
      <c r="Q52" s="577">
        <v>34.840000000000003</v>
      </c>
      <c r="R52" s="584">
        <v>0</v>
      </c>
      <c r="S52" s="584">
        <v>0</v>
      </c>
      <c r="T52" s="584">
        <v>0</v>
      </c>
      <c r="U52" s="584">
        <v>0</v>
      </c>
      <c r="V52" s="584">
        <v>8.76</v>
      </c>
      <c r="W52" s="584">
        <v>0</v>
      </c>
      <c r="X52" s="584">
        <v>0</v>
      </c>
      <c r="Y52" s="584">
        <v>0</v>
      </c>
      <c r="Z52" s="584">
        <v>0</v>
      </c>
      <c r="AA52" s="584">
        <v>0</v>
      </c>
      <c r="AB52" s="584">
        <v>0</v>
      </c>
      <c r="AC52" s="584">
        <v>0</v>
      </c>
      <c r="AD52" s="584">
        <v>0</v>
      </c>
      <c r="AE52" s="584">
        <v>0</v>
      </c>
      <c r="AF52" s="1178"/>
    </row>
    <row r="53" spans="1:32" s="580" customFormat="1" ht="31.5" x14ac:dyDescent="0.25">
      <c r="A53" s="585" t="s">
        <v>174</v>
      </c>
      <c r="B53" s="582">
        <f>H53+J53+L53+N53+P53+R53+T53+V53+X53+Z53+AB53+AD53</f>
        <v>0</v>
      </c>
      <c r="C53" s="582">
        <f>H53</f>
        <v>0</v>
      </c>
      <c r="D53" s="582">
        <f>E53</f>
        <v>0</v>
      </c>
      <c r="E53" s="582">
        <f>I53+K53+M53+O53+Q53+S53+U53+W53+Y53+AA53+AC53+AE53</f>
        <v>0</v>
      </c>
      <c r="F53" s="583">
        <f>IFERROR(E53/B53%,0)</f>
        <v>0</v>
      </c>
      <c r="G53" s="583">
        <f>IFERROR(E53/C53%,0)</f>
        <v>0</v>
      </c>
      <c r="H53" s="584">
        <v>0</v>
      </c>
      <c r="I53" s="584">
        <v>0</v>
      </c>
      <c r="J53" s="584">
        <v>0</v>
      </c>
      <c r="K53" s="584">
        <v>0</v>
      </c>
      <c r="L53" s="584">
        <v>0</v>
      </c>
      <c r="M53" s="584">
        <v>0</v>
      </c>
      <c r="N53" s="584">
        <v>0</v>
      </c>
      <c r="O53" s="584">
        <v>0</v>
      </c>
      <c r="P53" s="584">
        <v>0</v>
      </c>
      <c r="Q53" s="584">
        <v>0</v>
      </c>
      <c r="R53" s="584">
        <v>0</v>
      </c>
      <c r="S53" s="584">
        <v>0</v>
      </c>
      <c r="T53" s="584">
        <v>0</v>
      </c>
      <c r="U53" s="584">
        <v>0</v>
      </c>
      <c r="V53" s="584">
        <v>0</v>
      </c>
      <c r="W53" s="584">
        <v>0</v>
      </c>
      <c r="X53" s="584">
        <v>0</v>
      </c>
      <c r="Y53" s="584">
        <v>0</v>
      </c>
      <c r="Z53" s="584">
        <v>0</v>
      </c>
      <c r="AA53" s="584">
        <v>0</v>
      </c>
      <c r="AB53" s="584">
        <v>0</v>
      </c>
      <c r="AC53" s="584">
        <v>0</v>
      </c>
      <c r="AD53" s="584">
        <v>0</v>
      </c>
      <c r="AE53" s="584">
        <v>0</v>
      </c>
      <c r="AF53" s="1178"/>
    </row>
    <row r="54" spans="1:32" s="580" customFormat="1" ht="87" customHeight="1" x14ac:dyDescent="0.25">
      <c r="A54" s="911" t="s">
        <v>587</v>
      </c>
      <c r="B54" s="912"/>
      <c r="C54" s="912"/>
      <c r="D54" s="912"/>
      <c r="E54" s="912"/>
      <c r="F54" s="912"/>
      <c r="G54" s="912"/>
      <c r="H54" s="912"/>
      <c r="I54" s="912"/>
      <c r="J54" s="912"/>
      <c r="K54" s="912"/>
      <c r="L54" s="912"/>
      <c r="M54" s="912"/>
      <c r="N54" s="912"/>
      <c r="O54" s="912"/>
      <c r="P54" s="912"/>
      <c r="Q54" s="912"/>
      <c r="R54" s="912"/>
      <c r="S54" s="912"/>
      <c r="T54" s="912"/>
      <c r="U54" s="912"/>
      <c r="V54" s="912"/>
      <c r="W54" s="912"/>
      <c r="X54" s="912"/>
      <c r="Y54" s="912"/>
      <c r="Z54" s="912"/>
      <c r="AA54" s="912"/>
      <c r="AB54" s="912"/>
      <c r="AC54" s="912"/>
      <c r="AD54" s="912"/>
      <c r="AE54" s="913"/>
      <c r="AF54" s="1178"/>
    </row>
    <row r="55" spans="1:32" x14ac:dyDescent="0.25">
      <c r="A55" s="576" t="s">
        <v>31</v>
      </c>
      <c r="B55" s="577">
        <v>29741.8</v>
      </c>
      <c r="C55" s="577">
        <v>1206.2</v>
      </c>
      <c r="D55" s="577">
        <v>1206.2</v>
      </c>
      <c r="E55" s="577">
        <v>1206.1099999999999</v>
      </c>
      <c r="F55" s="578">
        <f>IFERROR(E55/B55%,0)</f>
        <v>4.0552690153252318</v>
      </c>
      <c r="G55" s="578">
        <f>IFERROR(E55/C55%,0)</f>
        <v>99.99253855082074</v>
      </c>
      <c r="H55" s="577">
        <v>0</v>
      </c>
      <c r="I55" s="577">
        <v>0</v>
      </c>
      <c r="J55" s="577">
        <f t="shared" ref="J55:O55" si="23">J56+J57+J58+J60</f>
        <v>0</v>
      </c>
      <c r="K55" s="577">
        <f t="shared" si="23"/>
        <v>0</v>
      </c>
      <c r="L55" s="577">
        <f t="shared" si="23"/>
        <v>594.1</v>
      </c>
      <c r="M55" s="577">
        <f t="shared" si="23"/>
        <v>594.1</v>
      </c>
      <c r="N55" s="577">
        <f t="shared" si="23"/>
        <v>0</v>
      </c>
      <c r="O55" s="577">
        <f t="shared" si="23"/>
        <v>0</v>
      </c>
      <c r="P55" s="577">
        <v>612.1</v>
      </c>
      <c r="Q55" s="577" t="s">
        <v>588</v>
      </c>
      <c r="R55" s="577">
        <f>R56+R57+R58+R60</f>
        <v>0</v>
      </c>
      <c r="S55" s="577">
        <v>597.01</v>
      </c>
      <c r="T55" s="577">
        <f>T56+T57+T58+T60</f>
        <v>0</v>
      </c>
      <c r="U55" s="577">
        <f>U56+U57+U58+U60</f>
        <v>0</v>
      </c>
      <c r="V55" s="577">
        <v>0</v>
      </c>
      <c r="W55" s="577">
        <f>W56+W57+W58+W60</f>
        <v>0</v>
      </c>
      <c r="X55" s="577">
        <f>X56+X57+X58+X60</f>
        <v>0</v>
      </c>
      <c r="Y55" s="577">
        <f>Y56+Y57+Y58+Y60</f>
        <v>0</v>
      </c>
      <c r="Z55" s="577">
        <v>28535.599999999999</v>
      </c>
      <c r="AA55" s="577">
        <f>AA56+AA57+AA58+AA60</f>
        <v>0</v>
      </c>
      <c r="AB55" s="577">
        <f>AB56+AB57+AB58+AB60</f>
        <v>0</v>
      </c>
      <c r="AC55" s="577">
        <f>AC56+AC57+AC58+AC60</f>
        <v>0</v>
      </c>
      <c r="AD55" s="577">
        <v>0</v>
      </c>
      <c r="AE55" s="577">
        <f>AE56+AE57+AE58+AE60</f>
        <v>0</v>
      </c>
      <c r="AF55" s="368"/>
    </row>
    <row r="56" spans="1:32" x14ac:dyDescent="0.25">
      <c r="A56" s="581" t="s">
        <v>169</v>
      </c>
      <c r="B56" s="582">
        <f>H56+J56+L56+N56+P56+R56+T56+V56+X56+Z56+AB56+AD56</f>
        <v>0</v>
      </c>
      <c r="C56" s="582">
        <f>H56</f>
        <v>0</v>
      </c>
      <c r="D56" s="582">
        <f>E56</f>
        <v>0</v>
      </c>
      <c r="E56" s="582">
        <f>I56+K56+M56+O56+Q56+S56+U56+W56+Y56+AA56+AC56+AE56</f>
        <v>0</v>
      </c>
      <c r="F56" s="583">
        <f>IFERROR(E56/B56%,0)</f>
        <v>0</v>
      </c>
      <c r="G56" s="583">
        <f>IFERROR(E56/C56%,0)</f>
        <v>0</v>
      </c>
      <c r="H56" s="584">
        <v>0</v>
      </c>
      <c r="I56" s="584">
        <v>0</v>
      </c>
      <c r="J56" s="584">
        <v>0</v>
      </c>
      <c r="K56" s="584">
        <v>0</v>
      </c>
      <c r="L56" s="584">
        <v>0</v>
      </c>
      <c r="M56" s="584">
        <v>0</v>
      </c>
      <c r="N56" s="584">
        <v>0</v>
      </c>
      <c r="O56" s="584">
        <v>0</v>
      </c>
      <c r="P56" s="584">
        <v>0</v>
      </c>
      <c r="Q56" s="584">
        <v>0</v>
      </c>
      <c r="R56" s="584">
        <v>0</v>
      </c>
      <c r="S56" s="584">
        <v>0</v>
      </c>
      <c r="T56" s="584">
        <v>0</v>
      </c>
      <c r="U56" s="584">
        <v>0</v>
      </c>
      <c r="V56" s="584">
        <v>0</v>
      </c>
      <c r="W56" s="584">
        <v>0</v>
      </c>
      <c r="X56" s="584">
        <v>0</v>
      </c>
      <c r="Y56" s="584">
        <v>0</v>
      </c>
      <c r="Z56" s="584">
        <v>0</v>
      </c>
      <c r="AA56" s="584">
        <v>0</v>
      </c>
      <c r="AB56" s="584">
        <v>0</v>
      </c>
      <c r="AC56" s="584">
        <v>0</v>
      </c>
      <c r="AD56" s="584">
        <v>0</v>
      </c>
      <c r="AE56" s="584">
        <v>0</v>
      </c>
      <c r="AF56" s="1179" t="s">
        <v>635</v>
      </c>
    </row>
    <row r="57" spans="1:32" x14ac:dyDescent="0.25">
      <c r="A57" s="581" t="s">
        <v>32</v>
      </c>
      <c r="B57" s="582">
        <f>H57+J57+L57+N57+P57+R57+T57+V57+X57+Z57+AB57+AD57</f>
        <v>0</v>
      </c>
      <c r="C57" s="582">
        <f>H57</f>
        <v>0</v>
      </c>
      <c r="D57" s="582">
        <f>E57</f>
        <v>0</v>
      </c>
      <c r="E57" s="582">
        <f>I57+K57+M57+O57+Q57+S57+U57+W57+Y57+AA57+AC57+AE57</f>
        <v>0</v>
      </c>
      <c r="F57" s="583">
        <f>IFERROR(E57/B57%,0)</f>
        <v>0</v>
      </c>
      <c r="G57" s="583">
        <f>IFERROR(E57/C57%,0)</f>
        <v>0</v>
      </c>
      <c r="H57" s="584">
        <v>0</v>
      </c>
      <c r="I57" s="584">
        <v>0</v>
      </c>
      <c r="J57" s="584">
        <v>0</v>
      </c>
      <c r="K57" s="584">
        <v>0</v>
      </c>
      <c r="L57" s="584">
        <v>0</v>
      </c>
      <c r="M57" s="584">
        <v>0</v>
      </c>
      <c r="N57" s="584">
        <v>0</v>
      </c>
      <c r="O57" s="584">
        <v>0</v>
      </c>
      <c r="P57" s="584">
        <v>0</v>
      </c>
      <c r="Q57" s="584">
        <v>0</v>
      </c>
      <c r="R57" s="584">
        <v>0</v>
      </c>
      <c r="S57" s="584">
        <v>0</v>
      </c>
      <c r="T57" s="584">
        <v>0</v>
      </c>
      <c r="U57" s="584">
        <v>0</v>
      </c>
      <c r="V57" s="584">
        <v>0</v>
      </c>
      <c r="W57" s="584">
        <v>0</v>
      </c>
      <c r="X57" s="584">
        <v>0</v>
      </c>
      <c r="Y57" s="584">
        <v>0</v>
      </c>
      <c r="Z57" s="584">
        <v>0</v>
      </c>
      <c r="AA57" s="584">
        <v>0</v>
      </c>
      <c r="AB57" s="584">
        <v>0</v>
      </c>
      <c r="AC57" s="584">
        <v>0</v>
      </c>
      <c r="AD57" s="584">
        <v>0</v>
      </c>
      <c r="AE57" s="584">
        <v>0</v>
      </c>
      <c r="AF57" s="1180"/>
    </row>
    <row r="58" spans="1:32" x14ac:dyDescent="0.25">
      <c r="A58" s="581" t="s">
        <v>33</v>
      </c>
      <c r="B58" s="582">
        <v>29741.8</v>
      </c>
      <c r="C58" s="582">
        <v>1206.2</v>
      </c>
      <c r="D58" s="577">
        <v>1206.2</v>
      </c>
      <c r="E58" s="582" t="s">
        <v>599</v>
      </c>
      <c r="F58" s="583">
        <v>4.0599999999999996</v>
      </c>
      <c r="G58" s="583">
        <v>99.99</v>
      </c>
      <c r="H58" s="584">
        <v>0</v>
      </c>
      <c r="I58" s="584">
        <v>0</v>
      </c>
      <c r="J58" s="584">
        <v>0</v>
      </c>
      <c r="K58" s="584">
        <v>0</v>
      </c>
      <c r="L58" s="584">
        <v>594.1</v>
      </c>
      <c r="M58" s="584">
        <v>594.1</v>
      </c>
      <c r="N58" s="584">
        <v>0</v>
      </c>
      <c r="O58" s="584">
        <v>0</v>
      </c>
      <c r="P58" s="584">
        <v>612.1</v>
      </c>
      <c r="Q58" s="577">
        <v>15</v>
      </c>
      <c r="R58" s="584">
        <v>0</v>
      </c>
      <c r="S58" s="584">
        <v>597.01</v>
      </c>
      <c r="T58" s="584">
        <v>0</v>
      </c>
      <c r="U58" s="584">
        <v>0</v>
      </c>
      <c r="V58" s="584">
        <v>8.76</v>
      </c>
      <c r="W58" s="584">
        <v>0</v>
      </c>
      <c r="X58" s="584">
        <v>0</v>
      </c>
      <c r="Y58" s="584">
        <v>0</v>
      </c>
      <c r="Z58" s="584">
        <v>28535.599999999999</v>
      </c>
      <c r="AA58" s="584">
        <v>0</v>
      </c>
      <c r="AB58" s="584">
        <v>0</v>
      </c>
      <c r="AC58" s="584">
        <v>0</v>
      </c>
      <c r="AD58" s="584">
        <v>0</v>
      </c>
      <c r="AE58" s="584">
        <v>0</v>
      </c>
      <c r="AF58" s="1180"/>
    </row>
    <row r="59" spans="1:32" ht="409.5" customHeight="1" x14ac:dyDescent="0.25">
      <c r="A59" s="585" t="s">
        <v>174</v>
      </c>
      <c r="B59" s="582">
        <f>H59+J59+L59+N59+P59+R59+T59+V59+X59+Z59+AB59+AD59</f>
        <v>0</v>
      </c>
      <c r="C59" s="582">
        <f>H59</f>
        <v>0</v>
      </c>
      <c r="D59" s="582">
        <f>E59</f>
        <v>0</v>
      </c>
      <c r="E59" s="582">
        <f>I59+K59+M59+O59+Q59+S59+U59+W59+Y59+AA59+AC59+AE59</f>
        <v>0</v>
      </c>
      <c r="F59" s="583">
        <f>IFERROR(E59/B59%,0)</f>
        <v>0</v>
      </c>
      <c r="G59" s="583">
        <f>IFERROR(E59/C59%,0)</f>
        <v>0</v>
      </c>
      <c r="H59" s="584">
        <v>0</v>
      </c>
      <c r="I59" s="584">
        <v>0</v>
      </c>
      <c r="J59" s="584">
        <v>0</v>
      </c>
      <c r="K59" s="584">
        <v>0</v>
      </c>
      <c r="L59" s="584">
        <v>0</v>
      </c>
      <c r="M59" s="584">
        <v>0</v>
      </c>
      <c r="N59" s="584">
        <v>0</v>
      </c>
      <c r="O59" s="584">
        <v>0</v>
      </c>
      <c r="P59" s="584">
        <v>0</v>
      </c>
      <c r="Q59" s="584">
        <v>0</v>
      </c>
      <c r="R59" s="584">
        <v>0</v>
      </c>
      <c r="S59" s="584">
        <v>0</v>
      </c>
      <c r="T59" s="584">
        <v>0</v>
      </c>
      <c r="U59" s="584">
        <v>0</v>
      </c>
      <c r="V59" s="584">
        <v>0</v>
      </c>
      <c r="W59" s="584">
        <v>0</v>
      </c>
      <c r="X59" s="584">
        <v>0</v>
      </c>
      <c r="Y59" s="584">
        <v>0</v>
      </c>
      <c r="Z59" s="584">
        <v>0</v>
      </c>
      <c r="AA59" s="584">
        <v>0</v>
      </c>
      <c r="AB59" s="584">
        <v>0</v>
      </c>
      <c r="AC59" s="584">
        <v>0</v>
      </c>
      <c r="AD59" s="584">
        <v>0</v>
      </c>
      <c r="AE59" s="584">
        <v>0</v>
      </c>
      <c r="AF59" s="1180"/>
    </row>
    <row r="60" spans="1:32" x14ac:dyDescent="0.25">
      <c r="A60" s="911" t="s">
        <v>589</v>
      </c>
      <c r="B60" s="912"/>
      <c r="C60" s="912"/>
      <c r="D60" s="912"/>
      <c r="E60" s="912"/>
      <c r="F60" s="912"/>
      <c r="G60" s="912"/>
      <c r="H60" s="912"/>
      <c r="I60" s="912"/>
      <c r="J60" s="912"/>
      <c r="K60" s="912"/>
      <c r="L60" s="912"/>
      <c r="M60" s="912"/>
      <c r="N60" s="912"/>
      <c r="O60" s="912"/>
      <c r="P60" s="912"/>
      <c r="Q60" s="912"/>
      <c r="R60" s="912"/>
      <c r="S60" s="912"/>
      <c r="T60" s="912"/>
      <c r="U60" s="912"/>
      <c r="V60" s="912"/>
      <c r="W60" s="912"/>
      <c r="X60" s="912"/>
      <c r="Y60" s="912"/>
      <c r="Z60" s="912"/>
      <c r="AA60" s="912"/>
      <c r="AB60" s="912"/>
      <c r="AC60" s="912"/>
      <c r="AD60" s="912"/>
      <c r="AE60" s="913"/>
      <c r="AF60" s="1180"/>
    </row>
    <row r="61" spans="1:32" x14ac:dyDescent="0.25">
      <c r="A61" s="576" t="s">
        <v>31</v>
      </c>
      <c r="B61" s="577">
        <v>799.1</v>
      </c>
      <c r="C61" s="577">
        <v>0</v>
      </c>
      <c r="D61" s="577">
        <v>0</v>
      </c>
      <c r="E61" s="577">
        <v>0</v>
      </c>
      <c r="F61" s="578">
        <f t="shared" ref="F61:F66" si="24">IFERROR(E61/B61%,0)</f>
        <v>0</v>
      </c>
      <c r="G61" s="578">
        <f t="shared" ref="G61:G66" si="25">IFERROR(E61/C61%,0)</f>
        <v>0</v>
      </c>
      <c r="H61" s="577">
        <v>0</v>
      </c>
      <c r="I61" s="577">
        <v>0</v>
      </c>
      <c r="J61" s="577">
        <f t="shared" ref="J61:O61" si="26">J62+J63+J64+J66</f>
        <v>0</v>
      </c>
      <c r="K61" s="577">
        <f t="shared" si="26"/>
        <v>0</v>
      </c>
      <c r="L61" s="577">
        <v>0</v>
      </c>
      <c r="M61" s="577">
        <v>0</v>
      </c>
      <c r="N61" s="577">
        <f t="shared" si="26"/>
        <v>0</v>
      </c>
      <c r="O61" s="577">
        <f t="shared" si="26"/>
        <v>0</v>
      </c>
      <c r="P61" s="577">
        <v>0</v>
      </c>
      <c r="Q61" s="577">
        <v>0</v>
      </c>
      <c r="R61" s="577">
        <v>0</v>
      </c>
      <c r="S61" s="577">
        <v>0</v>
      </c>
      <c r="T61" s="577">
        <f>T62+T63+T64+T66</f>
        <v>0</v>
      </c>
      <c r="U61" s="577">
        <f>U62+U63+U64+U66</f>
        <v>0</v>
      </c>
      <c r="V61" s="577">
        <v>0</v>
      </c>
      <c r="W61" s="577">
        <f>W62+W63+W64+W66</f>
        <v>0</v>
      </c>
      <c r="X61" s="577">
        <f>X62+X63+X64+X66</f>
        <v>0</v>
      </c>
      <c r="Y61" s="577">
        <f>Y62+Y63+Y64+Y66</f>
        <v>0</v>
      </c>
      <c r="Z61" s="577">
        <v>0</v>
      </c>
      <c r="AA61" s="577">
        <f>AA62+AA63+AA64+AA66</f>
        <v>0</v>
      </c>
      <c r="AB61" s="577">
        <f>AB62+AB63+AB64+AB66</f>
        <v>0</v>
      </c>
      <c r="AC61" s="577">
        <f>AC62+AC63+AC64+AC66</f>
        <v>0</v>
      </c>
      <c r="AD61" s="577">
        <v>799.1</v>
      </c>
      <c r="AE61" s="577">
        <f>AE62+AE63+AE64+AE66</f>
        <v>0</v>
      </c>
      <c r="AF61" s="368"/>
    </row>
    <row r="62" spans="1:32" x14ac:dyDescent="0.25">
      <c r="A62" s="581" t="s">
        <v>169</v>
      </c>
      <c r="B62" s="582">
        <f>H62+J62+L62+N62+P62+R62+T62+V62+X62+Z62+AB62+AD62</f>
        <v>0</v>
      </c>
      <c r="C62" s="582">
        <f>H62</f>
        <v>0</v>
      </c>
      <c r="D62" s="582">
        <f>E62</f>
        <v>0</v>
      </c>
      <c r="E62" s="582">
        <f>I62+K62+M62+O62+Q62+S62+U62+W62+Y62+AA62+AC62+AE62</f>
        <v>0</v>
      </c>
      <c r="F62" s="583">
        <f t="shared" si="24"/>
        <v>0</v>
      </c>
      <c r="G62" s="583">
        <f t="shared" si="25"/>
        <v>0</v>
      </c>
      <c r="H62" s="584">
        <v>0</v>
      </c>
      <c r="I62" s="584">
        <v>0</v>
      </c>
      <c r="J62" s="584">
        <v>0</v>
      </c>
      <c r="K62" s="584">
        <v>0</v>
      </c>
      <c r="L62" s="584">
        <v>0</v>
      </c>
      <c r="M62" s="584">
        <v>0</v>
      </c>
      <c r="N62" s="584">
        <v>0</v>
      </c>
      <c r="O62" s="584">
        <v>0</v>
      </c>
      <c r="P62" s="577">
        <v>0</v>
      </c>
      <c r="Q62" s="577">
        <v>0</v>
      </c>
      <c r="R62" s="577">
        <v>0</v>
      </c>
      <c r="S62" s="577">
        <v>0</v>
      </c>
      <c r="T62" s="584">
        <v>0</v>
      </c>
      <c r="U62" s="584">
        <v>0</v>
      </c>
      <c r="V62" s="584">
        <v>0</v>
      </c>
      <c r="W62" s="584">
        <v>0</v>
      </c>
      <c r="X62" s="584">
        <v>0</v>
      </c>
      <c r="Y62" s="584">
        <v>0</v>
      </c>
      <c r="Z62" s="584">
        <v>0</v>
      </c>
      <c r="AA62" s="584">
        <v>0</v>
      </c>
      <c r="AB62" s="584">
        <v>0</v>
      </c>
      <c r="AC62" s="584">
        <v>0</v>
      </c>
      <c r="AD62" s="584">
        <v>0</v>
      </c>
      <c r="AE62" s="584">
        <v>0</v>
      </c>
      <c r="AF62" s="1179" t="s">
        <v>648</v>
      </c>
    </row>
    <row r="63" spans="1:32" x14ac:dyDescent="0.25">
      <c r="A63" s="581" t="s">
        <v>32</v>
      </c>
      <c r="B63" s="582">
        <f>H63+J63+L63+N63+P63+R63+T63+V63+X63+Z63+AB63+AD63</f>
        <v>0</v>
      </c>
      <c r="C63" s="582">
        <f>H63</f>
        <v>0</v>
      </c>
      <c r="D63" s="582">
        <f>E63</f>
        <v>0</v>
      </c>
      <c r="E63" s="582">
        <f>I63+K63+M63+O63+Q63+S63+U63+W63+Y63+AA63+AC63+AE63</f>
        <v>0</v>
      </c>
      <c r="F63" s="583">
        <f t="shared" si="24"/>
        <v>0</v>
      </c>
      <c r="G63" s="583">
        <f t="shared" si="25"/>
        <v>0</v>
      </c>
      <c r="H63" s="584">
        <v>0</v>
      </c>
      <c r="I63" s="584">
        <v>0</v>
      </c>
      <c r="J63" s="584">
        <v>0</v>
      </c>
      <c r="K63" s="584">
        <v>0</v>
      </c>
      <c r="L63" s="584">
        <v>0</v>
      </c>
      <c r="M63" s="584">
        <v>0</v>
      </c>
      <c r="N63" s="584">
        <v>0</v>
      </c>
      <c r="O63" s="584">
        <v>0</v>
      </c>
      <c r="P63" s="577">
        <v>0</v>
      </c>
      <c r="Q63" s="577">
        <v>0</v>
      </c>
      <c r="R63" s="577">
        <v>0</v>
      </c>
      <c r="S63" s="577">
        <v>0</v>
      </c>
      <c r="T63" s="584">
        <v>0</v>
      </c>
      <c r="U63" s="584">
        <v>0</v>
      </c>
      <c r="V63" s="584">
        <v>0</v>
      </c>
      <c r="W63" s="584">
        <v>0</v>
      </c>
      <c r="X63" s="584">
        <v>0</v>
      </c>
      <c r="Y63" s="584">
        <v>0</v>
      </c>
      <c r="Z63" s="584">
        <v>0</v>
      </c>
      <c r="AA63" s="584">
        <v>0</v>
      </c>
      <c r="AB63" s="584">
        <v>0</v>
      </c>
      <c r="AC63" s="584">
        <v>0</v>
      </c>
      <c r="AD63" s="584">
        <v>0</v>
      </c>
      <c r="AE63" s="584">
        <v>0</v>
      </c>
      <c r="AF63" s="1180"/>
    </row>
    <row r="64" spans="1:32" x14ac:dyDescent="0.25">
      <c r="A64" s="581" t="s">
        <v>33</v>
      </c>
      <c r="B64" s="582">
        <v>799.1</v>
      </c>
      <c r="C64" s="582">
        <v>0</v>
      </c>
      <c r="D64" s="582">
        <v>0</v>
      </c>
      <c r="E64" s="582">
        <v>0</v>
      </c>
      <c r="F64" s="583">
        <f t="shared" si="24"/>
        <v>0</v>
      </c>
      <c r="G64" s="583">
        <f t="shared" si="25"/>
        <v>0</v>
      </c>
      <c r="H64" s="584">
        <v>0</v>
      </c>
      <c r="I64" s="584">
        <v>0</v>
      </c>
      <c r="J64" s="584">
        <v>0</v>
      </c>
      <c r="K64" s="584">
        <v>0</v>
      </c>
      <c r="L64" s="584">
        <v>0</v>
      </c>
      <c r="M64" s="584">
        <v>0</v>
      </c>
      <c r="N64" s="584">
        <v>0</v>
      </c>
      <c r="O64" s="584">
        <v>0</v>
      </c>
      <c r="P64" s="577">
        <v>0</v>
      </c>
      <c r="Q64" s="577">
        <v>0</v>
      </c>
      <c r="R64" s="577">
        <v>0</v>
      </c>
      <c r="S64" s="577">
        <v>0</v>
      </c>
      <c r="T64" s="584">
        <v>0</v>
      </c>
      <c r="U64" s="584">
        <v>0</v>
      </c>
      <c r="V64" s="584">
        <v>0</v>
      </c>
      <c r="W64" s="584">
        <v>0</v>
      </c>
      <c r="X64" s="584">
        <v>0</v>
      </c>
      <c r="Y64" s="584">
        <v>0</v>
      </c>
      <c r="Z64" s="584">
        <v>0</v>
      </c>
      <c r="AA64" s="584">
        <v>0</v>
      </c>
      <c r="AB64" s="584">
        <v>0</v>
      </c>
      <c r="AC64" s="584">
        <v>0</v>
      </c>
      <c r="AD64" s="584">
        <v>799.1</v>
      </c>
      <c r="AE64" s="584">
        <v>0</v>
      </c>
      <c r="AF64" s="1180"/>
    </row>
    <row r="65" spans="1:32" ht="31.5" x14ac:dyDescent="0.25">
      <c r="A65" s="585" t="s">
        <v>174</v>
      </c>
      <c r="B65" s="582">
        <f>H65+J65+L65+N65+P65+R65+T65+V65+X65+Z65+AB65+AD65</f>
        <v>0</v>
      </c>
      <c r="C65" s="582">
        <f>H65</f>
        <v>0</v>
      </c>
      <c r="D65" s="582">
        <f>E65</f>
        <v>0</v>
      </c>
      <c r="E65" s="582">
        <f>I65+K65+M65+O65+Q65+S65+U65+W65+Y65+AA65+AC65+AE65</f>
        <v>0</v>
      </c>
      <c r="F65" s="583">
        <f t="shared" si="24"/>
        <v>0</v>
      </c>
      <c r="G65" s="583">
        <f t="shared" si="25"/>
        <v>0</v>
      </c>
      <c r="H65" s="584">
        <v>0</v>
      </c>
      <c r="I65" s="584">
        <v>0</v>
      </c>
      <c r="J65" s="584">
        <v>0</v>
      </c>
      <c r="K65" s="584">
        <v>0</v>
      </c>
      <c r="L65" s="584">
        <v>0</v>
      </c>
      <c r="M65" s="584">
        <v>0</v>
      </c>
      <c r="N65" s="584">
        <v>0</v>
      </c>
      <c r="O65" s="584">
        <v>0</v>
      </c>
      <c r="P65" s="577">
        <v>0</v>
      </c>
      <c r="Q65" s="577">
        <v>0</v>
      </c>
      <c r="R65" s="577">
        <v>0</v>
      </c>
      <c r="S65" s="577">
        <v>0</v>
      </c>
      <c r="T65" s="584">
        <v>0</v>
      </c>
      <c r="U65" s="584">
        <v>0</v>
      </c>
      <c r="V65" s="584">
        <v>0</v>
      </c>
      <c r="W65" s="584">
        <v>0</v>
      </c>
      <c r="X65" s="584">
        <v>0</v>
      </c>
      <c r="Y65" s="584">
        <v>0</v>
      </c>
      <c r="Z65" s="584">
        <v>0</v>
      </c>
      <c r="AA65" s="584">
        <v>0</v>
      </c>
      <c r="AB65" s="584">
        <v>0</v>
      </c>
      <c r="AC65" s="584">
        <v>0</v>
      </c>
      <c r="AD65" s="584">
        <v>0</v>
      </c>
      <c r="AE65" s="584">
        <v>0</v>
      </c>
      <c r="AF65" s="1180"/>
    </row>
    <row r="66" spans="1:32" x14ac:dyDescent="0.25">
      <c r="A66" s="581" t="s">
        <v>374</v>
      </c>
      <c r="B66" s="582">
        <f>H66+J66+L66+N66+P66+R66+T66+V66+X66+Z66+AB66+AD66</f>
        <v>0</v>
      </c>
      <c r="C66" s="582">
        <f>H66</f>
        <v>0</v>
      </c>
      <c r="D66" s="582">
        <f>E66</f>
        <v>0</v>
      </c>
      <c r="E66" s="582">
        <f>I66+K66+M66+O66+Q66+S66+U66+W66+Y66+AA66+AC66+AE66</f>
        <v>0</v>
      </c>
      <c r="F66" s="583">
        <f t="shared" si="24"/>
        <v>0</v>
      </c>
      <c r="G66" s="583">
        <f t="shared" si="25"/>
        <v>0</v>
      </c>
      <c r="H66" s="584">
        <v>0</v>
      </c>
      <c r="I66" s="584">
        <v>0</v>
      </c>
      <c r="J66" s="584">
        <v>0</v>
      </c>
      <c r="K66" s="584">
        <v>0</v>
      </c>
      <c r="L66" s="584">
        <v>0</v>
      </c>
      <c r="M66" s="584">
        <v>0</v>
      </c>
      <c r="N66" s="584">
        <v>0</v>
      </c>
      <c r="O66" s="584">
        <v>0</v>
      </c>
      <c r="P66" s="584">
        <v>0</v>
      </c>
      <c r="Q66" s="584">
        <v>0</v>
      </c>
      <c r="R66" s="584">
        <v>0</v>
      </c>
      <c r="S66" s="584">
        <v>0</v>
      </c>
      <c r="T66" s="584">
        <v>0</v>
      </c>
      <c r="U66" s="584">
        <v>0</v>
      </c>
      <c r="V66" s="584">
        <v>0</v>
      </c>
      <c r="W66" s="584">
        <v>0</v>
      </c>
      <c r="X66" s="584">
        <v>0</v>
      </c>
      <c r="Y66" s="584">
        <v>0</v>
      </c>
      <c r="Z66" s="584">
        <v>0</v>
      </c>
      <c r="AA66" s="584">
        <v>0</v>
      </c>
      <c r="AB66" s="584">
        <v>0</v>
      </c>
      <c r="AC66" s="584">
        <v>0</v>
      </c>
      <c r="AD66" s="584">
        <v>0</v>
      </c>
      <c r="AE66" s="584">
        <v>0</v>
      </c>
      <c r="AF66" s="1180"/>
    </row>
    <row r="67" spans="1:32" ht="42" customHeight="1" x14ac:dyDescent="0.25">
      <c r="A67" s="911" t="s">
        <v>590</v>
      </c>
      <c r="B67" s="912"/>
      <c r="C67" s="912"/>
      <c r="D67" s="912"/>
      <c r="E67" s="912"/>
      <c r="F67" s="912"/>
      <c r="G67" s="912"/>
      <c r="H67" s="912"/>
      <c r="I67" s="912"/>
      <c r="J67" s="912"/>
      <c r="K67" s="912"/>
      <c r="L67" s="912"/>
      <c r="M67" s="912"/>
      <c r="N67" s="912"/>
      <c r="O67" s="912"/>
      <c r="P67" s="912"/>
      <c r="Q67" s="912"/>
      <c r="R67" s="912"/>
      <c r="S67" s="912"/>
      <c r="T67" s="912"/>
      <c r="U67" s="912"/>
      <c r="V67" s="912"/>
      <c r="W67" s="912"/>
      <c r="X67" s="912"/>
      <c r="Y67" s="912"/>
      <c r="Z67" s="912"/>
      <c r="AA67" s="912"/>
      <c r="AB67" s="912"/>
      <c r="AC67" s="912"/>
      <c r="AD67" s="912"/>
      <c r="AE67" s="913"/>
      <c r="AF67" s="917"/>
    </row>
    <row r="68" spans="1:32" ht="106.5" customHeight="1" x14ac:dyDescent="0.25">
      <c r="A68" s="576" t="s">
        <v>31</v>
      </c>
      <c r="B68" s="577">
        <v>993.8</v>
      </c>
      <c r="C68" s="577">
        <v>0</v>
      </c>
      <c r="D68" s="577">
        <v>0</v>
      </c>
      <c r="E68" s="577">
        <v>0</v>
      </c>
      <c r="F68" s="578">
        <f t="shared" ref="F68:F73" si="27">IFERROR(E68/B68%,0)</f>
        <v>0</v>
      </c>
      <c r="G68" s="578">
        <f t="shared" ref="G68:G73" si="28">IFERROR(E68/C68%,0)</f>
        <v>0</v>
      </c>
      <c r="H68" s="577">
        <v>0</v>
      </c>
      <c r="I68" s="577">
        <v>0</v>
      </c>
      <c r="J68" s="577">
        <f>J69+J70+J71+J73</f>
        <v>0</v>
      </c>
      <c r="K68" s="577">
        <f>K69+K70+K71+K73</f>
        <v>0</v>
      </c>
      <c r="L68" s="577">
        <v>0</v>
      </c>
      <c r="M68" s="577">
        <v>0</v>
      </c>
      <c r="N68" s="577">
        <f>N69+N70+N71+N73</f>
        <v>0</v>
      </c>
      <c r="O68" s="577">
        <f>O69+O70+O71+O73</f>
        <v>0</v>
      </c>
      <c r="P68" s="577">
        <v>0</v>
      </c>
      <c r="Q68" s="577" t="s">
        <v>466</v>
      </c>
      <c r="R68" s="577">
        <f>R69+R70+R71+R73</f>
        <v>0</v>
      </c>
      <c r="S68" s="577">
        <f>S69+S70+S71+S73</f>
        <v>0</v>
      </c>
      <c r="T68" s="577">
        <f>T69+T70+T71+T73</f>
        <v>0</v>
      </c>
      <c r="U68" s="577">
        <f>U69+U70+U71+U73</f>
        <v>0</v>
      </c>
      <c r="V68" s="577">
        <v>0</v>
      </c>
      <c r="W68" s="577">
        <f>W69+W70+W71+W73</f>
        <v>0</v>
      </c>
      <c r="X68" s="577">
        <f>X69+X70+X71+X73</f>
        <v>0</v>
      </c>
      <c r="Y68" s="577">
        <f>Y69+Y70+Y71+Y73</f>
        <v>0</v>
      </c>
      <c r="Z68" s="577">
        <v>0</v>
      </c>
      <c r="AA68" s="577">
        <f>AA69+AA70+AA71+AA73</f>
        <v>0</v>
      </c>
      <c r="AB68" s="577">
        <v>593.79999999999995</v>
      </c>
      <c r="AC68" s="577">
        <f>AC69+AC70+AC71+AC73</f>
        <v>0</v>
      </c>
      <c r="AD68" s="577">
        <v>400</v>
      </c>
      <c r="AE68" s="577">
        <f>AE69+AE70+AE71+AE73</f>
        <v>0</v>
      </c>
      <c r="AF68" s="918" t="s">
        <v>649</v>
      </c>
    </row>
    <row r="69" spans="1:32" x14ac:dyDescent="0.25">
      <c r="A69" s="581" t="s">
        <v>169</v>
      </c>
      <c r="B69" s="582">
        <f>H69+J69+L69+N69+P69+R69+T69+V69+X69+Z69+AB69+AD69</f>
        <v>0</v>
      </c>
      <c r="C69" s="582">
        <f>H69</f>
        <v>0</v>
      </c>
      <c r="D69" s="582">
        <f>E69</f>
        <v>0</v>
      </c>
      <c r="E69" s="582">
        <f>I69+K69+M69+O69+Q69+S69+U69+W69+Y69+AA69+AC69+AE69</f>
        <v>0</v>
      </c>
      <c r="F69" s="583">
        <f t="shared" si="27"/>
        <v>0</v>
      </c>
      <c r="G69" s="583">
        <f t="shared" si="28"/>
        <v>0</v>
      </c>
      <c r="H69" s="584">
        <v>0</v>
      </c>
      <c r="I69" s="584">
        <v>0</v>
      </c>
      <c r="J69" s="584">
        <v>0</v>
      </c>
      <c r="K69" s="584">
        <v>0</v>
      </c>
      <c r="L69" s="584">
        <v>0</v>
      </c>
      <c r="M69" s="584">
        <v>0</v>
      </c>
      <c r="N69" s="584">
        <v>0</v>
      </c>
      <c r="O69" s="584">
        <v>0</v>
      </c>
      <c r="P69" s="584">
        <v>0</v>
      </c>
      <c r="Q69" s="584">
        <v>0</v>
      </c>
      <c r="R69" s="584">
        <v>0</v>
      </c>
      <c r="S69" s="584">
        <v>0</v>
      </c>
      <c r="T69" s="584">
        <v>0</v>
      </c>
      <c r="U69" s="584">
        <v>0</v>
      </c>
      <c r="V69" s="584">
        <v>0</v>
      </c>
      <c r="W69" s="584">
        <v>0</v>
      </c>
      <c r="X69" s="584">
        <v>0</v>
      </c>
      <c r="Y69" s="584">
        <v>0</v>
      </c>
      <c r="Z69" s="584">
        <v>0</v>
      </c>
      <c r="AA69" s="584">
        <v>0</v>
      </c>
      <c r="AB69" s="584">
        <v>0</v>
      </c>
      <c r="AC69" s="584">
        <v>0</v>
      </c>
      <c r="AD69" s="584">
        <v>0</v>
      </c>
      <c r="AE69" s="584">
        <v>0</v>
      </c>
      <c r="AF69" s="917"/>
    </row>
    <row r="70" spans="1:32" x14ac:dyDescent="0.25">
      <c r="A70" s="581" t="s">
        <v>32</v>
      </c>
      <c r="B70" s="582">
        <f>H70+J70+L70+N70+P70+R70+T70+V70+X70+Z70+AB70+AD70</f>
        <v>0</v>
      </c>
      <c r="C70" s="582">
        <f>H70</f>
        <v>0</v>
      </c>
      <c r="D70" s="582">
        <f>E70</f>
        <v>0</v>
      </c>
      <c r="E70" s="582">
        <f>I70+K70+M70+O70+Q70+S70+U70+W70+Y70+AA70+AC70+AE70</f>
        <v>0</v>
      </c>
      <c r="F70" s="583">
        <f t="shared" si="27"/>
        <v>0</v>
      </c>
      <c r="G70" s="583">
        <f t="shared" si="28"/>
        <v>0</v>
      </c>
      <c r="H70" s="584">
        <v>0</v>
      </c>
      <c r="I70" s="584">
        <v>0</v>
      </c>
      <c r="J70" s="584">
        <v>0</v>
      </c>
      <c r="K70" s="584">
        <v>0</v>
      </c>
      <c r="L70" s="584">
        <v>0</v>
      </c>
      <c r="M70" s="584">
        <v>0</v>
      </c>
      <c r="N70" s="584">
        <v>0</v>
      </c>
      <c r="O70" s="584">
        <v>0</v>
      </c>
      <c r="P70" s="584">
        <v>0</v>
      </c>
      <c r="Q70" s="584">
        <v>0</v>
      </c>
      <c r="R70" s="584">
        <v>0</v>
      </c>
      <c r="S70" s="584">
        <v>0</v>
      </c>
      <c r="T70" s="584">
        <v>0</v>
      </c>
      <c r="U70" s="584">
        <v>0</v>
      </c>
      <c r="V70" s="584">
        <v>0</v>
      </c>
      <c r="W70" s="584">
        <v>0</v>
      </c>
      <c r="X70" s="584">
        <v>0</v>
      </c>
      <c r="Y70" s="584">
        <v>0</v>
      </c>
      <c r="Z70" s="584">
        <v>0</v>
      </c>
      <c r="AA70" s="584">
        <v>0</v>
      </c>
      <c r="AB70" s="584">
        <v>0</v>
      </c>
      <c r="AC70" s="584">
        <v>0</v>
      </c>
      <c r="AD70" s="584">
        <v>0</v>
      </c>
      <c r="AE70" s="584">
        <v>0</v>
      </c>
      <c r="AF70" s="917"/>
    </row>
    <row r="71" spans="1:32" x14ac:dyDescent="0.25">
      <c r="A71" s="581" t="s">
        <v>33</v>
      </c>
      <c r="B71" s="582">
        <v>993.8</v>
      </c>
      <c r="C71" s="582">
        <v>0</v>
      </c>
      <c r="D71" s="582">
        <v>0</v>
      </c>
      <c r="E71" s="582">
        <v>0</v>
      </c>
      <c r="F71" s="583">
        <f t="shared" si="27"/>
        <v>0</v>
      </c>
      <c r="G71" s="583">
        <f t="shared" si="28"/>
        <v>0</v>
      </c>
      <c r="H71" s="584">
        <v>0</v>
      </c>
      <c r="I71" s="584">
        <v>0</v>
      </c>
      <c r="J71" s="584">
        <v>0</v>
      </c>
      <c r="K71" s="584">
        <v>0</v>
      </c>
      <c r="L71" s="584">
        <v>0</v>
      </c>
      <c r="M71" s="584">
        <v>0</v>
      </c>
      <c r="N71" s="584">
        <v>0</v>
      </c>
      <c r="O71" s="584">
        <v>0</v>
      </c>
      <c r="P71" s="584">
        <v>0</v>
      </c>
      <c r="Q71" s="577">
        <v>0</v>
      </c>
      <c r="R71" s="584">
        <v>0</v>
      </c>
      <c r="S71" s="584">
        <v>0</v>
      </c>
      <c r="T71" s="584">
        <v>0</v>
      </c>
      <c r="U71" s="584">
        <v>0</v>
      </c>
      <c r="V71" s="584">
        <v>0</v>
      </c>
      <c r="W71" s="584">
        <v>0</v>
      </c>
      <c r="X71" s="584">
        <v>0</v>
      </c>
      <c r="Y71" s="584">
        <v>0</v>
      </c>
      <c r="Z71" s="584">
        <v>0</v>
      </c>
      <c r="AA71" s="584">
        <v>0</v>
      </c>
      <c r="AB71" s="584">
        <v>593.79999999999995</v>
      </c>
      <c r="AC71" s="584">
        <v>0</v>
      </c>
      <c r="AD71" s="584">
        <v>400</v>
      </c>
      <c r="AE71" s="584">
        <v>0</v>
      </c>
      <c r="AF71" s="917"/>
    </row>
    <row r="72" spans="1:32" ht="31.5" x14ac:dyDescent="0.25">
      <c r="A72" s="585" t="s">
        <v>174</v>
      </c>
      <c r="B72" s="582">
        <f>H72+J72+L72+N72+P72+R72+T72+V72+X72+Z72+AB72+AD72</f>
        <v>0</v>
      </c>
      <c r="C72" s="582">
        <f>H72</f>
        <v>0</v>
      </c>
      <c r="D72" s="582">
        <f>E72</f>
        <v>0</v>
      </c>
      <c r="E72" s="582">
        <f>I72+K72+M72+O72+Q72+S72+U72+W72+Y72+AA72+AC72+AE72</f>
        <v>0</v>
      </c>
      <c r="F72" s="583">
        <f t="shared" si="27"/>
        <v>0</v>
      </c>
      <c r="G72" s="583">
        <f t="shared" si="28"/>
        <v>0</v>
      </c>
      <c r="H72" s="584">
        <v>0</v>
      </c>
      <c r="I72" s="584">
        <v>0</v>
      </c>
      <c r="J72" s="584">
        <v>0</v>
      </c>
      <c r="K72" s="584">
        <v>0</v>
      </c>
      <c r="L72" s="584">
        <v>0</v>
      </c>
      <c r="M72" s="584">
        <v>0</v>
      </c>
      <c r="N72" s="584">
        <v>0</v>
      </c>
      <c r="O72" s="584">
        <v>0</v>
      </c>
      <c r="P72" s="584">
        <v>0</v>
      </c>
      <c r="Q72" s="584">
        <v>0</v>
      </c>
      <c r="R72" s="584">
        <v>0</v>
      </c>
      <c r="S72" s="584">
        <v>0</v>
      </c>
      <c r="T72" s="584">
        <v>0</v>
      </c>
      <c r="U72" s="584">
        <v>0</v>
      </c>
      <c r="V72" s="584">
        <v>0</v>
      </c>
      <c r="W72" s="584">
        <v>0</v>
      </c>
      <c r="X72" s="584">
        <v>0</v>
      </c>
      <c r="Y72" s="584">
        <v>0</v>
      </c>
      <c r="Z72" s="584">
        <v>0</v>
      </c>
      <c r="AA72" s="584">
        <v>0</v>
      </c>
      <c r="AB72" s="584">
        <v>0</v>
      </c>
      <c r="AC72" s="584">
        <v>0</v>
      </c>
      <c r="AD72" s="584">
        <v>0</v>
      </c>
      <c r="AE72" s="584">
        <v>0</v>
      </c>
      <c r="AF72" s="917"/>
    </row>
    <row r="73" spans="1:32" x14ac:dyDescent="0.25">
      <c r="A73" s="581" t="s">
        <v>374</v>
      </c>
      <c r="B73" s="582">
        <f>H73+J73+L73+N73+P73+R73+T73+V73+X73+Z73+AB73+AD73</f>
        <v>0</v>
      </c>
      <c r="C73" s="582">
        <f>H73</f>
        <v>0</v>
      </c>
      <c r="D73" s="582">
        <f>E73</f>
        <v>0</v>
      </c>
      <c r="E73" s="582">
        <f>I73+K73+M73+O73+Q73+S73+U73+W73+Y73+AA73+AC73+AE73</f>
        <v>0</v>
      </c>
      <c r="F73" s="583">
        <f t="shared" si="27"/>
        <v>0</v>
      </c>
      <c r="G73" s="583">
        <f t="shared" si="28"/>
        <v>0</v>
      </c>
      <c r="H73" s="584">
        <v>0</v>
      </c>
      <c r="I73" s="584">
        <v>0</v>
      </c>
      <c r="J73" s="584">
        <v>0</v>
      </c>
      <c r="K73" s="584">
        <v>0</v>
      </c>
      <c r="L73" s="584">
        <v>0</v>
      </c>
      <c r="M73" s="584">
        <v>0</v>
      </c>
      <c r="N73" s="584">
        <v>0</v>
      </c>
      <c r="O73" s="584">
        <v>0</v>
      </c>
      <c r="P73" s="584">
        <v>0</v>
      </c>
      <c r="Q73" s="584">
        <v>0</v>
      </c>
      <c r="R73" s="584">
        <v>0</v>
      </c>
      <c r="S73" s="584">
        <v>0</v>
      </c>
      <c r="T73" s="584">
        <v>0</v>
      </c>
      <c r="U73" s="584">
        <v>0</v>
      </c>
      <c r="V73" s="584">
        <v>0</v>
      </c>
      <c r="W73" s="584">
        <v>0</v>
      </c>
      <c r="X73" s="584">
        <v>0</v>
      </c>
      <c r="Y73" s="584">
        <v>0</v>
      </c>
      <c r="Z73" s="584">
        <v>0</v>
      </c>
      <c r="AA73" s="584">
        <v>0</v>
      </c>
      <c r="AB73" s="584">
        <v>0</v>
      </c>
      <c r="AC73" s="584">
        <v>0</v>
      </c>
      <c r="AD73" s="584">
        <v>0</v>
      </c>
      <c r="AE73" s="584">
        <v>0</v>
      </c>
      <c r="AF73" s="917"/>
    </row>
    <row r="74" spans="1:32" x14ac:dyDescent="0.25">
      <c r="A74" s="911" t="s">
        <v>63</v>
      </c>
      <c r="B74" s="912"/>
      <c r="C74" s="912"/>
      <c r="D74" s="912"/>
      <c r="E74" s="912"/>
      <c r="F74" s="912"/>
      <c r="G74" s="912"/>
      <c r="H74" s="912"/>
      <c r="I74" s="912"/>
      <c r="J74" s="912"/>
      <c r="K74" s="912"/>
      <c r="L74" s="912"/>
      <c r="M74" s="912"/>
      <c r="N74" s="912"/>
      <c r="O74" s="912"/>
      <c r="P74" s="912"/>
      <c r="Q74" s="912"/>
      <c r="R74" s="912"/>
      <c r="S74" s="912"/>
      <c r="T74" s="912"/>
      <c r="U74" s="912"/>
      <c r="V74" s="912"/>
      <c r="W74" s="912"/>
      <c r="X74" s="912"/>
      <c r="Y74" s="912"/>
      <c r="Z74" s="912"/>
      <c r="AA74" s="912"/>
      <c r="AB74" s="912"/>
      <c r="AC74" s="912"/>
      <c r="AD74" s="912"/>
      <c r="AE74" s="913"/>
      <c r="AF74" s="917"/>
    </row>
    <row r="75" spans="1:32" x14ac:dyDescent="0.25">
      <c r="A75" s="576" t="s">
        <v>31</v>
      </c>
      <c r="B75" s="578">
        <v>108149.75999999999</v>
      </c>
      <c r="C75" s="577">
        <v>25255.96</v>
      </c>
      <c r="D75" s="577">
        <v>25255.96</v>
      </c>
      <c r="E75" s="577">
        <v>24644.42</v>
      </c>
      <c r="F75" s="578">
        <f>IFERROR(E75/B75%,0)</f>
        <v>22.787309005586327</v>
      </c>
      <c r="G75" s="578">
        <v>97.58</v>
      </c>
      <c r="H75" s="577">
        <v>232</v>
      </c>
      <c r="I75" s="577">
        <v>232</v>
      </c>
      <c r="J75" s="577">
        <f>J76+J77+J78+J80</f>
        <v>0</v>
      </c>
      <c r="K75" s="577">
        <f>K76+K77+K78+K80</f>
        <v>0</v>
      </c>
      <c r="L75" s="577">
        <v>594.1</v>
      </c>
      <c r="M75" s="577">
        <v>594.1</v>
      </c>
      <c r="N75" s="577">
        <f>N76+N77+N78+N80</f>
        <v>0</v>
      </c>
      <c r="O75" s="577">
        <f>O76+O77+O78+O80</f>
        <v>0</v>
      </c>
      <c r="P75" s="577">
        <v>10525.51</v>
      </c>
      <c r="Q75" s="577">
        <v>9913.41</v>
      </c>
      <c r="R75" s="577">
        <v>4172.3100000000004</v>
      </c>
      <c r="S75" s="577">
        <v>4172.3100000000004</v>
      </c>
      <c r="T75" s="577">
        <f>T76+T77+T78+T80</f>
        <v>0</v>
      </c>
      <c r="U75" s="577">
        <f>U76+U77+U78+U80</f>
        <v>0</v>
      </c>
      <c r="V75" s="577">
        <v>8986.2099999999991</v>
      </c>
      <c r="W75" s="577">
        <f>W76+W77+W78+W80</f>
        <v>0</v>
      </c>
      <c r="X75" s="577">
        <f>X76+X77+X78+X80</f>
        <v>0</v>
      </c>
      <c r="Y75" s="577">
        <f>Y76+Y77+Y78+Y80</f>
        <v>0</v>
      </c>
      <c r="Z75" s="577">
        <v>16000</v>
      </c>
      <c r="AA75" s="577">
        <f>AA76+AA77+AA78+AA80</f>
        <v>0</v>
      </c>
      <c r="AB75" s="577">
        <v>16129.8</v>
      </c>
      <c r="AC75" s="577">
        <f>AC76+AC77+AC78+AC80</f>
        <v>0</v>
      </c>
      <c r="AD75" s="577">
        <v>1199.0999999999999</v>
      </c>
      <c r="AE75" s="577">
        <f>AE76+AE77+AE78+AE80</f>
        <v>0</v>
      </c>
      <c r="AF75" s="917"/>
    </row>
    <row r="76" spans="1:32" x14ac:dyDescent="0.25">
      <c r="A76" s="581" t="s">
        <v>169</v>
      </c>
      <c r="B76" s="583">
        <v>4870.8</v>
      </c>
      <c r="C76" s="582">
        <v>4375.68</v>
      </c>
      <c r="D76" s="582">
        <v>4375.68</v>
      </c>
      <c r="E76" s="582">
        <v>4375.68</v>
      </c>
      <c r="F76" s="583">
        <f>IFERROR(E76/B76%,0)</f>
        <v>89.834934712983497</v>
      </c>
      <c r="G76" s="583">
        <v>100</v>
      </c>
      <c r="H76" s="584"/>
      <c r="I76" s="584"/>
      <c r="J76" s="584">
        <v>0</v>
      </c>
      <c r="K76" s="584">
        <v>0</v>
      </c>
      <c r="L76" s="584">
        <v>0</v>
      </c>
      <c r="M76" s="584">
        <v>0</v>
      </c>
      <c r="N76" s="584">
        <v>0</v>
      </c>
      <c r="O76" s="584">
        <v>0</v>
      </c>
      <c r="P76" s="584">
        <v>3076.35</v>
      </c>
      <c r="Q76" s="584">
        <v>3076.35</v>
      </c>
      <c r="R76" s="584">
        <v>1299.33</v>
      </c>
      <c r="S76" s="584">
        <v>1299.33</v>
      </c>
      <c r="T76" s="584">
        <v>0</v>
      </c>
      <c r="U76" s="584">
        <v>0</v>
      </c>
      <c r="V76" s="584">
        <v>495.12</v>
      </c>
      <c r="W76" s="584">
        <v>0</v>
      </c>
      <c r="X76" s="584">
        <v>0</v>
      </c>
      <c r="Y76" s="584">
        <v>0</v>
      </c>
      <c r="Z76" s="584">
        <v>0</v>
      </c>
      <c r="AA76" s="584">
        <v>0</v>
      </c>
      <c r="AB76" s="584">
        <v>0</v>
      </c>
      <c r="AC76" s="584">
        <v>0</v>
      </c>
      <c r="AD76" s="584">
        <v>0</v>
      </c>
      <c r="AE76" s="584">
        <v>0</v>
      </c>
      <c r="AF76" s="917"/>
    </row>
    <row r="77" spans="1:32" x14ac:dyDescent="0.25">
      <c r="A77" s="581" t="s">
        <v>32</v>
      </c>
      <c r="B77" s="583">
        <v>17641.82</v>
      </c>
      <c r="C77" s="582">
        <v>11665.01</v>
      </c>
      <c r="D77" s="582">
        <v>11665.01</v>
      </c>
      <c r="E77" s="582">
        <v>11053.56</v>
      </c>
      <c r="F77" s="583">
        <v>89.83</v>
      </c>
      <c r="G77" s="583">
        <v>100</v>
      </c>
      <c r="H77" s="584"/>
      <c r="I77" s="584"/>
      <c r="J77" s="584">
        <v>0</v>
      </c>
      <c r="K77" s="584">
        <v>0</v>
      </c>
      <c r="L77" s="584">
        <v>0</v>
      </c>
      <c r="M77" s="584">
        <v>0</v>
      </c>
      <c r="N77" s="584">
        <v>0</v>
      </c>
      <c r="O77" s="584">
        <v>0</v>
      </c>
      <c r="P77" s="584">
        <v>4826.5</v>
      </c>
      <c r="Q77" s="584">
        <v>4826.5</v>
      </c>
      <c r="R77" s="584">
        <v>2038.52</v>
      </c>
      <c r="S77" s="584">
        <v>2038.52</v>
      </c>
      <c r="T77" s="584">
        <v>0</v>
      </c>
      <c r="U77" s="584">
        <v>0</v>
      </c>
      <c r="V77" s="584">
        <v>776.8</v>
      </c>
      <c r="W77" s="584">
        <v>0</v>
      </c>
      <c r="X77" s="584">
        <v>0</v>
      </c>
      <c r="Y77" s="584">
        <v>0</v>
      </c>
      <c r="Z77" s="584">
        <v>0</v>
      </c>
      <c r="AA77" s="584">
        <v>0</v>
      </c>
      <c r="AB77" s="584">
        <v>0</v>
      </c>
      <c r="AC77" s="584">
        <v>0</v>
      </c>
      <c r="AD77" s="584">
        <v>0</v>
      </c>
      <c r="AE77" s="584">
        <v>0</v>
      </c>
      <c r="AF77" s="917"/>
    </row>
    <row r="78" spans="1:32" x14ac:dyDescent="0.25">
      <c r="A78" s="581" t="s">
        <v>33</v>
      </c>
      <c r="B78" s="583">
        <v>70101.13</v>
      </c>
      <c r="C78" s="582">
        <v>9215.26</v>
      </c>
      <c r="D78" s="582">
        <v>9215.26</v>
      </c>
      <c r="E78" s="582">
        <v>9215.17</v>
      </c>
      <c r="F78" s="583">
        <f>IFERROR(E78/B78%,0)</f>
        <v>13.145537026293299</v>
      </c>
      <c r="G78" s="583">
        <v>200</v>
      </c>
      <c r="H78" s="584">
        <v>232</v>
      </c>
      <c r="I78" s="584">
        <v>232</v>
      </c>
      <c r="J78" s="584">
        <v>0</v>
      </c>
      <c r="K78" s="584">
        <v>0</v>
      </c>
      <c r="L78" s="584">
        <v>594.1</v>
      </c>
      <c r="M78" s="584">
        <v>594.1</v>
      </c>
      <c r="N78" s="584">
        <v>0</v>
      </c>
      <c r="O78" s="584">
        <v>0</v>
      </c>
      <c r="P78" s="584">
        <v>2622.66</v>
      </c>
      <c r="Q78" s="577">
        <v>2010.55</v>
      </c>
      <c r="R78" s="584">
        <v>834.46</v>
      </c>
      <c r="S78" s="584">
        <v>834.46</v>
      </c>
      <c r="T78" s="584">
        <v>0</v>
      </c>
      <c r="U78" s="584">
        <v>0</v>
      </c>
      <c r="V78" s="584">
        <v>7714.29</v>
      </c>
      <c r="W78" s="584">
        <v>0</v>
      </c>
      <c r="X78" s="584">
        <v>0</v>
      </c>
      <c r="Y78" s="584">
        <v>0</v>
      </c>
      <c r="Z78" s="584">
        <v>16000</v>
      </c>
      <c r="AA78" s="584">
        <v>0</v>
      </c>
      <c r="AB78" s="584">
        <v>593.79999999999995</v>
      </c>
      <c r="AC78" s="584">
        <v>0</v>
      </c>
      <c r="AD78" s="584">
        <v>1199.0999999999999</v>
      </c>
      <c r="AE78" s="584">
        <v>0</v>
      </c>
      <c r="AF78" s="917"/>
    </row>
    <row r="79" spans="1:32" ht="31.5" x14ac:dyDescent="0.25">
      <c r="A79" s="585" t="s">
        <v>174</v>
      </c>
      <c r="B79" s="583">
        <v>3128.2</v>
      </c>
      <c r="C79" s="582">
        <v>4310.17</v>
      </c>
      <c r="D79" s="582">
        <v>2810.17</v>
      </c>
      <c r="E79" s="582">
        <v>2810.17</v>
      </c>
      <c r="F79" s="583">
        <v>89.83</v>
      </c>
      <c r="G79" s="583">
        <v>100</v>
      </c>
      <c r="H79" s="584"/>
      <c r="I79" s="584"/>
      <c r="J79" s="584">
        <v>0</v>
      </c>
      <c r="K79" s="584">
        <v>0</v>
      </c>
      <c r="L79" s="584">
        <v>0</v>
      </c>
      <c r="M79" s="584">
        <v>0</v>
      </c>
      <c r="N79" s="584">
        <v>0</v>
      </c>
      <c r="O79" s="584">
        <v>0</v>
      </c>
      <c r="P79" s="584">
        <v>1975.71</v>
      </c>
      <c r="Q79" s="584">
        <v>1975.71</v>
      </c>
      <c r="R79" s="584">
        <v>834.46</v>
      </c>
      <c r="S79" s="584">
        <v>834.46</v>
      </c>
      <c r="T79" s="584">
        <v>0</v>
      </c>
      <c r="U79" s="584">
        <v>0</v>
      </c>
      <c r="V79" s="584">
        <v>317.98</v>
      </c>
      <c r="W79" s="584">
        <v>0</v>
      </c>
      <c r="X79" s="584">
        <v>0</v>
      </c>
      <c r="Y79" s="584">
        <v>0</v>
      </c>
      <c r="Z79" s="584">
        <v>0</v>
      </c>
      <c r="AA79" s="584">
        <v>0</v>
      </c>
      <c r="AB79" s="584">
        <v>0</v>
      </c>
      <c r="AC79" s="584">
        <v>0</v>
      </c>
      <c r="AD79" s="584">
        <v>0</v>
      </c>
      <c r="AE79" s="584">
        <v>0</v>
      </c>
      <c r="AF79" s="917"/>
    </row>
    <row r="80" spans="1:32" x14ac:dyDescent="0.25">
      <c r="A80" s="581" t="s">
        <v>374</v>
      </c>
      <c r="B80" s="583">
        <v>15536</v>
      </c>
      <c r="C80" s="582">
        <f>H80</f>
        <v>0</v>
      </c>
      <c r="D80" s="582">
        <f>E80</f>
        <v>0</v>
      </c>
      <c r="E80" s="582">
        <f>I80+K80+M80+O80+Q80+S80+U80+W80+Y80+AA80+AC80+AE80</f>
        <v>0</v>
      </c>
      <c r="F80" s="583">
        <f>IFERROR(E80/B80%,0)</f>
        <v>0</v>
      </c>
      <c r="G80" s="583">
        <f>IFERROR(E80/C80%,0)</f>
        <v>0</v>
      </c>
      <c r="H80" s="584">
        <v>0</v>
      </c>
      <c r="I80" s="584">
        <v>0</v>
      </c>
      <c r="J80" s="584">
        <v>0</v>
      </c>
      <c r="K80" s="584">
        <v>0</v>
      </c>
      <c r="L80" s="584">
        <v>0</v>
      </c>
      <c r="M80" s="584">
        <v>0</v>
      </c>
      <c r="N80" s="584">
        <v>0</v>
      </c>
      <c r="O80" s="584">
        <v>0</v>
      </c>
      <c r="P80" s="584">
        <v>0</v>
      </c>
      <c r="Q80" s="584">
        <v>0</v>
      </c>
      <c r="R80" s="584">
        <v>0</v>
      </c>
      <c r="S80" s="584">
        <v>0</v>
      </c>
      <c r="T80" s="584">
        <v>0</v>
      </c>
      <c r="U80" s="584">
        <v>0</v>
      </c>
      <c r="V80" s="584">
        <v>0</v>
      </c>
      <c r="W80" s="584">
        <v>0</v>
      </c>
      <c r="X80" s="584">
        <v>0</v>
      </c>
      <c r="Y80" s="584">
        <v>0</v>
      </c>
      <c r="Z80" s="584">
        <v>0</v>
      </c>
      <c r="AA80" s="584">
        <v>0</v>
      </c>
      <c r="AB80" s="584">
        <v>15536</v>
      </c>
      <c r="AC80" s="584">
        <v>0</v>
      </c>
      <c r="AD80" s="584">
        <v>0</v>
      </c>
      <c r="AE80" s="584">
        <v>0</v>
      </c>
      <c r="AF80" s="917"/>
    </row>
  </sheetData>
  <customSheetViews>
    <customSheetView guid="{7C130984-112A-4861-AA43-E2940708E3DC}" scale="77" state="hidden">
      <pane xSplit="1" ySplit="4" topLeftCell="AC5" activePane="bottomRight" state="frozen"/>
      <selection pane="bottomRight" activeCell="AF27" sqref="AF27"/>
      <pageMargins left="0.7" right="0.7" top="0.75" bottom="0.75" header="0.3" footer="0.3"/>
      <pageSetup paperSize="9" orientation="portrait" r:id="rId1"/>
    </customSheetView>
    <customSheetView guid="{4F41B9CC-959D-442C-80B0-1F0DB2C76D27}" scale="77">
      <pane xSplit="1" ySplit="3" topLeftCell="O5" activePane="bottomRight" state="frozen"/>
      <selection pane="bottomRight" activeCell="AC27" sqref="AC27"/>
      <pageMargins left="0.7" right="0.7" top="0.75" bottom="0.75" header="0.3" footer="0.3"/>
      <pageSetup paperSize="9" orientation="portrait" r:id="rId2"/>
    </customSheetView>
    <customSheetView guid="{391AB76E-B386-49C1-800F-016A48AA1A46}" scale="77">
      <pane xSplit="1" ySplit="4" topLeftCell="O5" activePane="bottomRight" state="frozen"/>
      <selection pane="bottomRight" activeCell="AC27" sqref="AC27"/>
      <pageMargins left="0.7" right="0.7" top="0.75" bottom="0.75" header="0.3" footer="0.3"/>
      <pageSetup paperSize="9" orientation="portrait" r:id="rId3"/>
    </customSheetView>
    <customSheetView guid="{D01FA037-9AEC-4167-ADB8-2F327C01ECE6}" scale="77">
      <pane xSplit="1" ySplit="4" topLeftCell="B5" activePane="bottomRight" state="frozen"/>
      <selection pane="bottomRight" activeCell="R83" sqref="R83"/>
      <pageMargins left="0.7" right="0.7" top="0.75" bottom="0.75" header="0.3" footer="0.3"/>
      <pageSetup paperSize="9" orientation="portrait" r:id="rId4"/>
    </customSheetView>
    <customSheetView guid="{6A602CB8-B24C-4ED4-B378-B27354BE0A1A}" scale="77">
      <pane xSplit="1" ySplit="4" topLeftCell="B5" activePane="bottomRight" state="frozen"/>
      <selection pane="bottomRight" activeCell="R83" sqref="R83"/>
      <pageMargins left="0.7" right="0.7" top="0.75" bottom="0.75" header="0.3" footer="0.3"/>
      <pageSetup paperSize="9" orientation="portrait" r:id="rId5"/>
    </customSheetView>
    <customSheetView guid="{DAA8A688-7558-4B5B-8DBD-E2629BD9E9A8}" scale="77">
      <pane xSplit="1" ySplit="4" topLeftCell="B5" activePane="bottomRight" state="frozen"/>
      <selection pane="bottomRight" activeCell="R83" sqref="R83"/>
      <pageMargins left="0.7" right="0.7" top="0.75" bottom="0.75" header="0.3" footer="0.3"/>
      <pageSetup paperSize="9" orientation="portrait" r:id="rId6"/>
    </customSheetView>
    <customSheetView guid="{0C2B9C2A-7B94-41EF-A2E6-F8AC9A67DE25}" scale="77">
      <pane xSplit="1" ySplit="4" topLeftCell="B5" activePane="bottomRight" state="frozen"/>
      <selection pane="bottomRight" activeCell="R83" sqref="R83"/>
      <pageMargins left="0.7" right="0.7" top="0.75" bottom="0.75" header="0.3" footer="0.3"/>
      <pageSetup paperSize="9" orientation="portrait" r:id="rId7"/>
    </customSheetView>
    <customSheetView guid="{87218168-6C8E-4D5B-A5E5-DCCC26803AA3}" scale="80">
      <pane xSplit="1" ySplit="4" topLeftCell="B5" activePane="bottomRight" state="frozen"/>
      <selection pane="bottomRight" activeCell="F54" sqref="F54"/>
      <pageMargins left="0.7" right="0.7" top="0.75" bottom="0.75" header="0.3" footer="0.3"/>
      <pageSetup paperSize="9" orientation="portrait" r:id="rId8"/>
    </customSheetView>
    <customSheetView guid="{533DC55B-6AD4-4674-9488-685EF2039F3E}" scale="80">
      <pane xSplit="1" ySplit="4" topLeftCell="B5" activePane="bottomRight" state="frozen"/>
      <selection pane="bottomRight" activeCell="F54" sqref="F54"/>
      <pageMargins left="0.7" right="0.7" top="0.75" bottom="0.75" header="0.3" footer="0.3"/>
      <pageSetup paperSize="9" orientation="portrait" r:id="rId9"/>
    </customSheetView>
    <customSheetView guid="{69DABE6F-6182-4403-A4A2-969F10F1C13A}" scale="80">
      <pane xSplit="1" ySplit="4" topLeftCell="B5" activePane="bottomRight" state="frozen"/>
      <selection pane="bottomRight" activeCell="F54" sqref="F54"/>
      <pageMargins left="0.7" right="0.7" top="0.75" bottom="0.75" header="0.3" footer="0.3"/>
      <pageSetup paperSize="9" orientation="portrait" r:id="rId10"/>
    </customSheetView>
    <customSheetView guid="{84867370-1F3E-4368-AF79-FBCE46FFFE92}" scale="80">
      <pane xSplit="1" ySplit="4" topLeftCell="B5" activePane="bottomRight" state="frozen"/>
      <selection pane="bottomRight" activeCell="F54" sqref="F54"/>
      <pageMargins left="0.7" right="0.7" top="0.75" bottom="0.75" header="0.3" footer="0.3"/>
      <pageSetup paperSize="9" orientation="portrait" r:id="rId11"/>
    </customSheetView>
    <customSheetView guid="{47B983AB-FE5F-4725-860C-A2F29420596D}" scale="80">
      <pane xSplit="1" ySplit="4" topLeftCell="B38" activePane="bottomRight" state="frozen"/>
      <selection pane="bottomRight" activeCell="D40" sqref="D40"/>
      <pageMargins left="0.7" right="0.7" top="0.75" bottom="0.75" header="0.3" footer="0.3"/>
      <pageSetup paperSize="9" orientation="portrait" r:id="rId12"/>
    </customSheetView>
    <customSheetView guid="{959E901C-5DDE-42EE-AE94-AB8976B5E00B}" scale="80">
      <pane xSplit="1" ySplit="4" topLeftCell="B35" activePane="bottomRight" state="frozen"/>
      <selection pane="bottomRight" activeCell="F40" sqref="F40"/>
      <pageMargins left="0.7" right="0.7" top="0.75" bottom="0.75" header="0.3" footer="0.3"/>
      <pageSetup paperSize="9" orientation="portrait" r:id="rId13"/>
    </customSheetView>
    <customSheetView guid="{F679EF4A-C5FD-4B86-B87B-D85968E0F2CA}" scale="80">
      <pane xSplit="1" ySplit="4" topLeftCell="B35" activePane="bottomRight" state="frozen"/>
      <selection pane="bottomRight" activeCell="F40" sqref="F40"/>
      <pageMargins left="0.7" right="0.7" top="0.75" bottom="0.75" header="0.3" footer="0.3"/>
      <pageSetup paperSize="9" orientation="portrait" r:id="rId14"/>
    </customSheetView>
    <customSheetView guid="{009B3074-D8EC-4952-BF50-43CD64449612}" scale="80">
      <pane xSplit="1" ySplit="4" topLeftCell="B35" activePane="bottomRight" state="frozen"/>
      <selection pane="bottomRight" activeCell="F40" sqref="F40"/>
      <pageMargins left="0.7" right="0.7" top="0.75" bottom="0.75" header="0.3" footer="0.3"/>
      <pageSetup paperSize="9" orientation="portrait" r:id="rId15"/>
    </customSheetView>
    <customSheetView guid="{770624BF-07F3-44B6-94C3-4CC447CDD45C}" scale="80">
      <pane xSplit="1" ySplit="4" topLeftCell="B35" activePane="bottomRight" state="frozen"/>
      <selection pane="bottomRight" activeCell="F40" sqref="F40"/>
      <pageMargins left="0.7" right="0.7" top="0.75" bottom="0.75" header="0.3" footer="0.3"/>
      <pageSetup paperSize="9" orientation="portrait" r:id="rId16"/>
    </customSheetView>
    <customSheetView guid="{B82BA08A-1A30-4F4D-A478-74A6BD09EA97}" topLeftCell="A34">
      <selection activeCell="A38" sqref="A38"/>
      <pageMargins left="0.7" right="0.7" top="0.75" bottom="0.75" header="0.3" footer="0.3"/>
    </customSheetView>
    <customSheetView guid="{874882D1-E741-4CCA-BF0D-E72FA60B771D}" topLeftCell="A10">
      <selection activeCell="A38" sqref="A38"/>
      <pageMargins left="0.7" right="0.7" top="0.75" bottom="0.75" header="0.3" footer="0.3"/>
    </customSheetView>
    <customSheetView guid="{C236B307-BD63-48C4-A75F-B3F3717BF55C}" topLeftCell="A34">
      <selection activeCell="A38" sqref="A38"/>
      <pageMargins left="0.7" right="0.7" top="0.75" bottom="0.75" header="0.3" footer="0.3"/>
    </customSheetView>
    <customSheetView guid="{BCD82A82-B724-4763-8580-D765356E09BA}" scale="70">
      <selection sqref="A1:Y1"/>
      <pageMargins left="0.7" right="0.7" top="0.75" bottom="0.75" header="0.3" footer="0.3"/>
    </customSheetView>
    <customSheetView guid="{B1BF08D1-D416-4B47-ADD0-4F59132DC9E8}" scale="80">
      <pane xSplit="1" ySplit="4" topLeftCell="B35" activePane="bottomRight" state="frozen"/>
      <selection pane="bottomRight" activeCell="F40" sqref="F40"/>
      <pageMargins left="0.7" right="0.7" top="0.75" bottom="0.75" header="0.3" footer="0.3"/>
      <pageSetup paperSize="9" orientation="portrait" r:id="rId17"/>
    </customSheetView>
    <customSheetView guid="{85F4575B-DBC5-482A-9916-255D8F0BC94E}" scale="80">
      <pane xSplit="1" ySplit="4" topLeftCell="B38" activePane="bottomRight" state="frozen"/>
      <selection pane="bottomRight" activeCell="D40" sqref="D40"/>
      <pageMargins left="0.7" right="0.7" top="0.75" bottom="0.75" header="0.3" footer="0.3"/>
      <pageSetup paperSize="9" orientation="portrait" r:id="rId18"/>
    </customSheetView>
    <customSheetView guid="{74870EE6-26B9-40F7-9DC9-260EF16D8959}" scale="80">
      <pane xSplit="1" ySplit="4" topLeftCell="B5" activePane="bottomRight" state="frozen"/>
      <selection pane="bottomRight" activeCell="F54" sqref="F54"/>
      <pageMargins left="0.7" right="0.7" top="0.75" bottom="0.75" header="0.3" footer="0.3"/>
      <pageSetup paperSize="9" orientation="portrait" r:id="rId19"/>
    </customSheetView>
    <customSheetView guid="{E508E171-4ED9-4B07-84DF-DA28C60E1969}" scale="80">
      <pane xSplit="1" ySplit="4" topLeftCell="B5" activePane="bottomRight" state="frozen"/>
      <selection pane="bottomRight" activeCell="F54" sqref="F54"/>
      <pageMargins left="0.7" right="0.7" top="0.75" bottom="0.75" header="0.3" footer="0.3"/>
      <pageSetup paperSize="9" orientation="portrait" r:id="rId20"/>
    </customSheetView>
    <customSheetView guid="{4D0DFB57-2CBA-42F2-9A97-C453A6851FBA}" scale="80">
      <pane xSplit="1" ySplit="4" topLeftCell="G29" activePane="bottomRight" state="frozen"/>
      <selection pane="bottomRight" activeCell="Z46" sqref="Z46"/>
      <pageMargins left="0.7" right="0.7" top="0.75" bottom="0.75" header="0.3" footer="0.3"/>
      <pageSetup paperSize="9" orientation="portrait" r:id="rId21"/>
    </customSheetView>
    <customSheetView guid="{CE1CCA00-200D-4EAA-9FBE-F8EE7C5F82FE}" scale="70">
      <pane xSplit="1" ySplit="4" topLeftCell="B5" activePane="bottomRight" state="frozen"/>
      <selection pane="bottomRight" activeCell="F31" sqref="F31"/>
      <pageMargins left="0.7" right="0.7" top="0.75" bottom="0.75" header="0.3" footer="0.3"/>
      <pageSetup paperSize="9" orientation="portrait" r:id="rId22"/>
    </customSheetView>
    <customSheetView guid="{442F2C94-DD1B-4A01-8694-513D4D6F3BD9}" scale="77">
      <pane xSplit="1" ySplit="4" topLeftCell="B5" activePane="bottomRight" state="frozen"/>
      <selection pane="bottomRight" activeCell="R83" sqref="R83"/>
      <pageMargins left="0.7" right="0.7" top="0.75" bottom="0.75" header="0.3" footer="0.3"/>
      <pageSetup paperSize="9" orientation="portrait" r:id="rId23"/>
    </customSheetView>
    <customSheetView guid="{AC2D5927-4079-4C74-AF69-1BFAC505648F}" scale="77">
      <pane xSplit="1" ySplit="4" topLeftCell="I26" activePane="bottomRight" state="frozen"/>
      <selection pane="bottomRight" activeCell="AF28" sqref="AF28"/>
      <pageMargins left="0.7" right="0.7" top="0.75" bottom="0.75" header="0.3" footer="0.3"/>
      <pageSetup paperSize="9" orientation="portrait" r:id="rId24"/>
    </customSheetView>
    <customSheetView guid="{602C8EDB-B9EF-4C85-B0D5-0558C3A0ABAB}" scale="77">
      <pane xSplit="1" ySplit="4" topLeftCell="O5" activePane="bottomRight" state="frozen"/>
      <selection pane="bottomRight" activeCell="AC27" sqref="AC27"/>
      <pageMargins left="0.7" right="0.7" top="0.75" bottom="0.75" header="0.3" footer="0.3"/>
      <pageSetup paperSize="9" orientation="portrait" r:id="rId25"/>
    </customSheetView>
    <customSheetView guid="{09C3E205-981E-4A4E-BE89-8B7044192060}" scale="77">
      <pane xSplit="1" ySplit="4" topLeftCell="AC5" activePane="bottomRight" state="frozen"/>
      <selection pane="bottomRight" activeCell="AF27" sqref="AF27"/>
      <pageMargins left="0.7" right="0.7" top="0.75" bottom="0.75" header="0.3" footer="0.3"/>
      <pageSetup paperSize="9" orientation="portrait" r:id="rId26"/>
    </customSheetView>
  </customSheetViews>
  <mergeCells count="53">
    <mergeCell ref="AF48:AF54"/>
    <mergeCell ref="AF56:AF60"/>
    <mergeCell ref="AF62:AF66"/>
    <mergeCell ref="A20:AE20"/>
    <mergeCell ref="AF20:AF26"/>
    <mergeCell ref="A34:AE34"/>
    <mergeCell ref="A35:AE35"/>
    <mergeCell ref="AF35:AF41"/>
    <mergeCell ref="A42:AE42"/>
    <mergeCell ref="AF6:AF12"/>
    <mergeCell ref="A13:AE13"/>
    <mergeCell ref="AF13:AF19"/>
    <mergeCell ref="X3:X4"/>
    <mergeCell ref="Y3:Y4"/>
    <mergeCell ref="Z3:Z4"/>
    <mergeCell ref="AA3:AA4"/>
    <mergeCell ref="AB3:AB4"/>
    <mergeCell ref="AC3:AC4"/>
    <mergeCell ref="R3:R4"/>
    <mergeCell ref="S3:S4"/>
    <mergeCell ref="T3:T4"/>
    <mergeCell ref="U3:U4"/>
    <mergeCell ref="AF2:AF4"/>
    <mergeCell ref="X2:Y2"/>
    <mergeCell ref="V3:V4"/>
    <mergeCell ref="AB2:AC2"/>
    <mergeCell ref="AD2:AE2"/>
    <mergeCell ref="AD3:AD4"/>
    <mergeCell ref="AE3:AE4"/>
    <mergeCell ref="A6:AE6"/>
    <mergeCell ref="F3:F4"/>
    <mergeCell ref="G3:G4"/>
    <mergeCell ref="N3:N4"/>
    <mergeCell ref="O3:O4"/>
    <mergeCell ref="P3:P4"/>
    <mergeCell ref="Q3:Q4"/>
    <mergeCell ref="N2:O2"/>
    <mergeCell ref="P2:Q2"/>
    <mergeCell ref="R2:S2"/>
    <mergeCell ref="T2:U2"/>
    <mergeCell ref="V2:W2"/>
    <mergeCell ref="W3:W4"/>
    <mergeCell ref="Z2:AA2"/>
    <mergeCell ref="A1:Y1"/>
    <mergeCell ref="A2:A4"/>
    <mergeCell ref="B2:B4"/>
    <mergeCell ref="C2:C4"/>
    <mergeCell ref="D2:D4"/>
    <mergeCell ref="E2:E4"/>
    <mergeCell ref="F2:G2"/>
    <mergeCell ref="H2:I2"/>
    <mergeCell ref="J2:K2"/>
    <mergeCell ref="L2:M2"/>
  </mergeCells>
  <hyperlinks>
    <hyperlink ref="A1:Y1" location="Оглавление!A1" display="Отчет о ходе реализации (сетевой график) муниципальной программы &quot;Формирование комфортной городской среды в городе Когалыме&quot; "/>
  </hyperlinks>
  <pageMargins left="0.7" right="0.7" top="0.75" bottom="0.75" header="0.3" footer="0.3"/>
  <pageSetup paperSize="9" orientation="portrait" r:id="rId27"/>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110"/>
  <sheetViews>
    <sheetView zoomScale="80" zoomScaleNormal="80" workbookViewId="0">
      <pane xSplit="7" ySplit="7" topLeftCell="H91" activePane="bottomRight" state="frozen"/>
      <selection pane="topRight" activeCell="H1" sqref="H1"/>
      <selection pane="bottomLeft" activeCell="A8" sqref="A8"/>
      <selection pane="bottomRight" activeCell="C108" sqref="C108"/>
    </sheetView>
  </sheetViews>
  <sheetFormatPr defaultColWidth="9.140625" defaultRowHeight="15" x14ac:dyDescent="0.25"/>
  <cols>
    <col min="1" max="1" width="44.42578125" style="371" customWidth="1"/>
    <col min="2" max="7" width="13.28515625" style="371" customWidth="1"/>
    <col min="8" max="17" width="10.7109375" style="371" customWidth="1"/>
    <col min="18" max="18" width="13.7109375" style="371" customWidth="1"/>
    <col min="19" max="25" width="10.7109375" style="371" customWidth="1"/>
    <col min="26" max="26" width="12.7109375" style="371" customWidth="1"/>
    <col min="27" max="27" width="12.28515625" style="371" customWidth="1"/>
    <col min="28" max="28" width="13" style="371" customWidth="1"/>
    <col min="29" max="31" width="10.7109375" style="371" customWidth="1"/>
    <col min="32" max="32" width="51.7109375" style="371" customWidth="1"/>
    <col min="33" max="33" width="12.42578125" style="371" customWidth="1"/>
    <col min="34" max="16384" width="9.140625" style="371"/>
  </cols>
  <sheetData>
    <row r="1" spans="1:33" ht="18.75" x14ac:dyDescent="0.25">
      <c r="A1" s="1161" t="s">
        <v>427</v>
      </c>
      <c r="B1" s="1161"/>
      <c r="C1" s="1161"/>
      <c r="D1" s="1161"/>
      <c r="E1" s="1161"/>
      <c r="F1" s="1161"/>
      <c r="G1" s="1161"/>
      <c r="H1" s="1161"/>
      <c r="I1" s="1161"/>
      <c r="J1" s="1161"/>
      <c r="K1" s="1161"/>
      <c r="L1" s="1161"/>
      <c r="M1" s="1161"/>
      <c r="N1" s="1161"/>
      <c r="O1" s="1161"/>
      <c r="P1" s="1161"/>
      <c r="Q1" s="1161"/>
      <c r="R1" s="1161"/>
      <c r="S1" s="1161"/>
      <c r="T1" s="1161"/>
      <c r="U1" s="1161"/>
      <c r="V1" s="1161"/>
      <c r="W1" s="1161"/>
      <c r="X1" s="369"/>
      <c r="Y1" s="369"/>
      <c r="Z1" s="369"/>
      <c r="AA1" s="369"/>
      <c r="AB1" s="369"/>
      <c r="AC1" s="369"/>
      <c r="AD1" s="369"/>
      <c r="AE1" s="370"/>
      <c r="AF1" s="370"/>
    </row>
    <row r="2" spans="1:33" ht="15.75" x14ac:dyDescent="0.25">
      <c r="A2" s="370"/>
      <c r="B2" s="370"/>
      <c r="C2" s="372"/>
      <c r="D2" s="372"/>
      <c r="E2" s="372"/>
      <c r="F2" s="372"/>
      <c r="G2" s="372"/>
      <c r="H2" s="373"/>
      <c r="I2" s="370"/>
      <c r="J2" s="370"/>
      <c r="K2" s="370"/>
      <c r="L2" s="370"/>
      <c r="M2" s="370"/>
      <c r="N2" s="370"/>
      <c r="O2" s="370"/>
      <c r="P2" s="370"/>
      <c r="Q2" s="370"/>
      <c r="R2" s="370"/>
      <c r="S2" s="370"/>
      <c r="T2" s="370"/>
      <c r="U2" s="370"/>
      <c r="V2" s="370"/>
      <c r="W2" s="370"/>
      <c r="X2" s="370"/>
      <c r="Y2" s="370"/>
      <c r="Z2" s="370"/>
      <c r="AA2" s="370"/>
      <c r="AB2" s="370"/>
      <c r="AC2" s="370"/>
      <c r="AD2" s="370"/>
      <c r="AE2" s="370"/>
      <c r="AF2" s="370"/>
    </row>
    <row r="3" spans="1:33" ht="15.75" x14ac:dyDescent="0.25">
      <c r="A3" s="1193" t="s">
        <v>428</v>
      </c>
      <c r="B3" s="1194" t="s">
        <v>384</v>
      </c>
      <c r="C3" s="1196" t="s">
        <v>554</v>
      </c>
      <c r="D3" s="1196" t="s">
        <v>555</v>
      </c>
      <c r="E3" s="1196" t="s">
        <v>556</v>
      </c>
      <c r="F3" s="1198" t="s">
        <v>385</v>
      </c>
      <c r="G3" s="1199"/>
      <c r="H3" s="1118" t="s">
        <v>7</v>
      </c>
      <c r="I3" s="1119"/>
      <c r="J3" s="1118" t="s">
        <v>8</v>
      </c>
      <c r="K3" s="1119"/>
      <c r="L3" s="1118" t="s">
        <v>9</v>
      </c>
      <c r="M3" s="1119"/>
      <c r="N3" s="1118" t="s">
        <v>10</v>
      </c>
      <c r="O3" s="1119"/>
      <c r="P3" s="1118" t="s">
        <v>11</v>
      </c>
      <c r="Q3" s="1119"/>
      <c r="R3" s="1118" t="s">
        <v>12</v>
      </c>
      <c r="S3" s="1119"/>
      <c r="T3" s="1118" t="s">
        <v>13</v>
      </c>
      <c r="U3" s="1119"/>
      <c r="V3" s="1118" t="s">
        <v>14</v>
      </c>
      <c r="W3" s="1119"/>
      <c r="X3" s="1118" t="s">
        <v>15</v>
      </c>
      <c r="Y3" s="1119"/>
      <c r="Z3" s="1118" t="s">
        <v>16</v>
      </c>
      <c r="AA3" s="1119"/>
      <c r="AB3" s="1118" t="s">
        <v>17</v>
      </c>
      <c r="AC3" s="1119"/>
      <c r="AD3" s="1200" t="s">
        <v>18</v>
      </c>
      <c r="AE3" s="1200"/>
      <c r="AF3" s="1201" t="s">
        <v>19</v>
      </c>
    </row>
    <row r="4" spans="1:33" ht="47.25" x14ac:dyDescent="0.25">
      <c r="A4" s="1193"/>
      <c r="B4" s="1195"/>
      <c r="C4" s="1197"/>
      <c r="D4" s="1197"/>
      <c r="E4" s="1197"/>
      <c r="F4" s="375" t="s">
        <v>386</v>
      </c>
      <c r="G4" s="375" t="s">
        <v>21</v>
      </c>
      <c r="H4" s="376" t="s">
        <v>165</v>
      </c>
      <c r="I4" s="376" t="s">
        <v>429</v>
      </c>
      <c r="J4" s="376" t="s">
        <v>165</v>
      </c>
      <c r="K4" s="377" t="s">
        <v>429</v>
      </c>
      <c r="L4" s="376" t="s">
        <v>165</v>
      </c>
      <c r="M4" s="376" t="s">
        <v>429</v>
      </c>
      <c r="N4" s="376" t="s">
        <v>165</v>
      </c>
      <c r="O4" s="376" t="s">
        <v>429</v>
      </c>
      <c r="P4" s="376" t="s">
        <v>165</v>
      </c>
      <c r="Q4" s="376" t="s">
        <v>429</v>
      </c>
      <c r="R4" s="376" t="s">
        <v>165</v>
      </c>
      <c r="S4" s="376" t="s">
        <v>429</v>
      </c>
      <c r="T4" s="376" t="s">
        <v>165</v>
      </c>
      <c r="U4" s="376" t="s">
        <v>429</v>
      </c>
      <c r="V4" s="376" t="s">
        <v>165</v>
      </c>
      <c r="W4" s="376" t="s">
        <v>429</v>
      </c>
      <c r="X4" s="376" t="s">
        <v>165</v>
      </c>
      <c r="Y4" s="376" t="s">
        <v>429</v>
      </c>
      <c r="Z4" s="376" t="s">
        <v>165</v>
      </c>
      <c r="AA4" s="376" t="s">
        <v>429</v>
      </c>
      <c r="AB4" s="376" t="s">
        <v>165</v>
      </c>
      <c r="AC4" s="376" t="s">
        <v>429</v>
      </c>
      <c r="AD4" s="376" t="s">
        <v>165</v>
      </c>
      <c r="AE4" s="376" t="s">
        <v>429</v>
      </c>
      <c r="AF4" s="1201"/>
    </row>
    <row r="5" spans="1:33" ht="15.75" x14ac:dyDescent="0.25">
      <c r="A5" s="376">
        <v>1</v>
      </c>
      <c r="B5" s="378">
        <v>2</v>
      </c>
      <c r="C5" s="379">
        <v>3</v>
      </c>
      <c r="D5" s="379">
        <v>4</v>
      </c>
      <c r="E5" s="379">
        <v>5</v>
      </c>
      <c r="F5" s="377">
        <v>6</v>
      </c>
      <c r="G5" s="377">
        <v>7</v>
      </c>
      <c r="H5" s="376">
        <v>8</v>
      </c>
      <c r="I5" s="376">
        <v>9</v>
      </c>
      <c r="J5" s="376">
        <v>10</v>
      </c>
      <c r="K5" s="376">
        <v>11</v>
      </c>
      <c r="L5" s="376">
        <v>12</v>
      </c>
      <c r="M5" s="376">
        <v>13</v>
      </c>
      <c r="N5" s="376">
        <v>14</v>
      </c>
      <c r="O5" s="376">
        <v>15</v>
      </c>
      <c r="P5" s="376">
        <v>16</v>
      </c>
      <c r="Q5" s="376">
        <v>17</v>
      </c>
      <c r="R5" s="376">
        <v>18</v>
      </c>
      <c r="S5" s="376">
        <v>19</v>
      </c>
      <c r="T5" s="376">
        <v>20</v>
      </c>
      <c r="U5" s="376">
        <v>21</v>
      </c>
      <c r="V5" s="376">
        <v>22</v>
      </c>
      <c r="W5" s="376">
        <v>23</v>
      </c>
      <c r="X5" s="376">
        <v>24</v>
      </c>
      <c r="Y5" s="376">
        <v>25</v>
      </c>
      <c r="Z5" s="376">
        <v>26</v>
      </c>
      <c r="AA5" s="376">
        <v>27</v>
      </c>
      <c r="AB5" s="376">
        <v>28</v>
      </c>
      <c r="AC5" s="376">
        <v>29</v>
      </c>
      <c r="AD5" s="376">
        <v>30</v>
      </c>
      <c r="AE5" s="376">
        <v>31</v>
      </c>
      <c r="AF5" s="374">
        <v>32</v>
      </c>
    </row>
    <row r="6" spans="1:33" ht="15.75" x14ac:dyDescent="0.25">
      <c r="A6" s="1202" t="s">
        <v>54</v>
      </c>
      <c r="B6" s="1203"/>
      <c r="C6" s="1203"/>
      <c r="D6" s="1203"/>
      <c r="E6" s="1203"/>
      <c r="F6" s="1203"/>
      <c r="G6" s="1203"/>
      <c r="H6" s="1203"/>
      <c r="I6" s="1203"/>
      <c r="J6" s="1203"/>
      <c r="K6" s="1203"/>
      <c r="L6" s="1203"/>
      <c r="M6" s="1203"/>
      <c r="N6" s="1203"/>
      <c r="O6" s="1203"/>
      <c r="P6" s="1203"/>
      <c r="Q6" s="1203"/>
      <c r="R6" s="1203"/>
      <c r="S6" s="1203"/>
      <c r="T6" s="1203"/>
      <c r="U6" s="1203"/>
      <c r="V6" s="1203"/>
      <c r="W6" s="1203"/>
      <c r="X6" s="1203"/>
      <c r="Y6" s="1203"/>
      <c r="Z6" s="1203"/>
      <c r="AA6" s="1203"/>
      <c r="AB6" s="1203"/>
      <c r="AC6" s="1203"/>
      <c r="AD6" s="1203"/>
      <c r="AE6" s="1204"/>
      <c r="AF6" s="380"/>
    </row>
    <row r="7" spans="1:33" ht="15.75" customHeight="1" x14ac:dyDescent="0.25">
      <c r="A7" s="835" t="s">
        <v>430</v>
      </c>
      <c r="B7" s="672"/>
      <c r="C7" s="672"/>
      <c r="D7" s="672"/>
      <c r="E7" s="672"/>
      <c r="F7" s="672"/>
      <c r="G7" s="672"/>
      <c r="H7" s="672"/>
      <c r="I7" s="672"/>
      <c r="J7" s="672"/>
      <c r="K7" s="672"/>
      <c r="L7" s="672"/>
      <c r="M7" s="672"/>
      <c r="N7" s="672"/>
      <c r="O7" s="672"/>
      <c r="P7" s="672"/>
      <c r="Q7" s="672"/>
      <c r="R7" s="672"/>
      <c r="S7" s="672"/>
      <c r="T7" s="672"/>
      <c r="U7" s="672"/>
      <c r="V7" s="672"/>
      <c r="W7" s="672"/>
      <c r="X7" s="672"/>
      <c r="Y7" s="672"/>
      <c r="Z7" s="672"/>
      <c r="AA7" s="672"/>
      <c r="AB7" s="672"/>
      <c r="AC7" s="672"/>
      <c r="AD7" s="672"/>
      <c r="AE7" s="673"/>
      <c r="AF7" s="381"/>
    </row>
    <row r="8" spans="1:33" ht="15.75" x14ac:dyDescent="0.25">
      <c r="A8" s="281" t="s">
        <v>431</v>
      </c>
      <c r="B8" s="282">
        <v>146001.70000000001</v>
      </c>
      <c r="C8" s="282">
        <v>75268.26999999999</v>
      </c>
      <c r="D8" s="282">
        <v>60128.949000000008</v>
      </c>
      <c r="E8" s="282">
        <v>60128.949000000008</v>
      </c>
      <c r="F8" s="282">
        <v>41.183732107228892</v>
      </c>
      <c r="G8" s="282">
        <v>79.886184443989507</v>
      </c>
      <c r="H8" s="282">
        <v>5148.46</v>
      </c>
      <c r="I8" s="282">
        <v>2013.02</v>
      </c>
      <c r="J8" s="282">
        <v>17108.03</v>
      </c>
      <c r="K8" s="282">
        <v>13859.378999999999</v>
      </c>
      <c r="L8" s="282">
        <v>20917.510000000002</v>
      </c>
      <c r="M8" s="282">
        <v>17857.240000000002</v>
      </c>
      <c r="N8" s="282">
        <v>20254.32</v>
      </c>
      <c r="O8" s="282">
        <v>16651.55</v>
      </c>
      <c r="P8" s="282">
        <v>11839.949999999999</v>
      </c>
      <c r="Q8" s="282">
        <v>9747.76</v>
      </c>
      <c r="R8" s="282">
        <v>11895.88</v>
      </c>
      <c r="S8" s="282">
        <v>0</v>
      </c>
      <c r="T8" s="282">
        <v>6750.4000000000005</v>
      </c>
      <c r="U8" s="282">
        <v>0</v>
      </c>
      <c r="V8" s="282">
        <v>6344.33</v>
      </c>
      <c r="W8" s="282">
        <v>0</v>
      </c>
      <c r="X8" s="282">
        <v>4525.09</v>
      </c>
      <c r="Y8" s="282">
        <v>0</v>
      </c>
      <c r="Z8" s="282">
        <v>19089.379999999997</v>
      </c>
      <c r="AA8" s="282">
        <v>0</v>
      </c>
      <c r="AB8" s="282">
        <v>14933.350000000002</v>
      </c>
      <c r="AC8" s="282">
        <v>0</v>
      </c>
      <c r="AD8" s="282">
        <v>7195</v>
      </c>
      <c r="AE8" s="282">
        <v>0</v>
      </c>
      <c r="AF8" s="659"/>
      <c r="AG8" s="715">
        <f>C8-E8</f>
        <v>15139.320999999982</v>
      </c>
    </row>
    <row r="9" spans="1:33" ht="15.75" x14ac:dyDescent="0.25">
      <c r="A9" s="382" t="s">
        <v>169</v>
      </c>
      <c r="B9" s="383">
        <v>0</v>
      </c>
      <c r="C9" s="383">
        <v>0</v>
      </c>
      <c r="D9" s="384">
        <v>0</v>
      </c>
      <c r="E9" s="384">
        <v>0</v>
      </c>
      <c r="F9" s="384">
        <v>0</v>
      </c>
      <c r="G9" s="384">
        <v>0</v>
      </c>
      <c r="H9" s="285">
        <v>0</v>
      </c>
      <c r="I9" s="285">
        <v>0</v>
      </c>
      <c r="J9" s="285">
        <v>0</v>
      </c>
      <c r="K9" s="285">
        <v>0</v>
      </c>
      <c r="L9" s="285">
        <v>0</v>
      </c>
      <c r="M9" s="285">
        <v>0</v>
      </c>
      <c r="N9" s="285">
        <v>0</v>
      </c>
      <c r="O9" s="285">
        <v>0</v>
      </c>
      <c r="P9" s="285">
        <v>0</v>
      </c>
      <c r="Q9" s="285">
        <v>0</v>
      </c>
      <c r="R9" s="285">
        <v>0</v>
      </c>
      <c r="S9" s="285">
        <v>0</v>
      </c>
      <c r="T9" s="285">
        <v>0</v>
      </c>
      <c r="U9" s="285">
        <v>0</v>
      </c>
      <c r="V9" s="285">
        <v>0</v>
      </c>
      <c r="W9" s="285">
        <v>0</v>
      </c>
      <c r="X9" s="285">
        <v>0</v>
      </c>
      <c r="Y9" s="285">
        <v>0</v>
      </c>
      <c r="Z9" s="285">
        <v>0</v>
      </c>
      <c r="AA9" s="285">
        <v>0</v>
      </c>
      <c r="AB9" s="285">
        <v>0</v>
      </c>
      <c r="AC9" s="285">
        <v>0</v>
      </c>
      <c r="AD9" s="285">
        <v>0</v>
      </c>
      <c r="AE9" s="285">
        <v>0</v>
      </c>
      <c r="AF9" s="660"/>
      <c r="AG9" s="715">
        <f t="shared" ref="AG9:AG72" si="0">C9-E9</f>
        <v>0</v>
      </c>
    </row>
    <row r="10" spans="1:33" ht="15.75" x14ac:dyDescent="0.25">
      <c r="A10" s="284" t="s">
        <v>32</v>
      </c>
      <c r="B10" s="383">
        <v>0</v>
      </c>
      <c r="C10" s="383">
        <v>0</v>
      </c>
      <c r="D10" s="384">
        <v>0</v>
      </c>
      <c r="E10" s="384">
        <v>0</v>
      </c>
      <c r="F10" s="384">
        <v>0</v>
      </c>
      <c r="G10" s="384">
        <v>0</v>
      </c>
      <c r="H10" s="285">
        <v>0</v>
      </c>
      <c r="I10" s="285">
        <v>0</v>
      </c>
      <c r="J10" s="285">
        <v>0</v>
      </c>
      <c r="K10" s="285">
        <v>0</v>
      </c>
      <c r="L10" s="285">
        <v>0</v>
      </c>
      <c r="M10" s="285">
        <v>0</v>
      </c>
      <c r="N10" s="285">
        <v>0</v>
      </c>
      <c r="O10" s="285">
        <v>0</v>
      </c>
      <c r="P10" s="285">
        <v>0</v>
      </c>
      <c r="Q10" s="285">
        <v>0</v>
      </c>
      <c r="R10" s="285">
        <v>0</v>
      </c>
      <c r="S10" s="285">
        <v>0</v>
      </c>
      <c r="T10" s="285">
        <v>0</v>
      </c>
      <c r="U10" s="285">
        <v>0</v>
      </c>
      <c r="V10" s="285">
        <v>0</v>
      </c>
      <c r="W10" s="285">
        <v>0</v>
      </c>
      <c r="X10" s="285">
        <v>0</v>
      </c>
      <c r="Y10" s="285">
        <v>0</v>
      </c>
      <c r="Z10" s="285">
        <v>0</v>
      </c>
      <c r="AA10" s="285">
        <v>0</v>
      </c>
      <c r="AB10" s="285">
        <v>0</v>
      </c>
      <c r="AC10" s="285">
        <v>0</v>
      </c>
      <c r="AD10" s="285">
        <v>0</v>
      </c>
      <c r="AE10" s="285">
        <v>0</v>
      </c>
      <c r="AF10" s="660"/>
      <c r="AG10" s="715">
        <f t="shared" si="0"/>
        <v>0</v>
      </c>
    </row>
    <row r="11" spans="1:33" ht="15.75" x14ac:dyDescent="0.25">
      <c r="A11" s="284" t="s">
        <v>33</v>
      </c>
      <c r="B11" s="383">
        <v>146001.70000000001</v>
      </c>
      <c r="C11" s="383">
        <v>75268.26999999999</v>
      </c>
      <c r="D11" s="384">
        <v>60128.949000000008</v>
      </c>
      <c r="E11" s="384">
        <v>60128.949000000008</v>
      </c>
      <c r="F11" s="384">
        <v>41.183732107228892</v>
      </c>
      <c r="G11" s="384">
        <v>79.886184443989507</v>
      </c>
      <c r="H11" s="285">
        <v>5148.46</v>
      </c>
      <c r="I11" s="285">
        <v>2013.02</v>
      </c>
      <c r="J11" s="285">
        <v>17108.03</v>
      </c>
      <c r="K11" s="285">
        <v>13859.378999999999</v>
      </c>
      <c r="L11" s="285">
        <v>20917.510000000002</v>
      </c>
      <c r="M11" s="285">
        <v>17857.240000000002</v>
      </c>
      <c r="N11" s="285">
        <v>20254.32</v>
      </c>
      <c r="O11" s="285">
        <v>16651.55</v>
      </c>
      <c r="P11" s="285">
        <v>11839.949999999999</v>
      </c>
      <c r="Q11" s="285">
        <v>9747.76</v>
      </c>
      <c r="R11" s="285">
        <v>11895.88</v>
      </c>
      <c r="S11" s="285">
        <v>0</v>
      </c>
      <c r="T11" s="285">
        <v>6750.4000000000005</v>
      </c>
      <c r="U11" s="285">
        <v>0</v>
      </c>
      <c r="V11" s="285">
        <v>6344.33</v>
      </c>
      <c r="W11" s="285">
        <v>0</v>
      </c>
      <c r="X11" s="285">
        <v>4525.09</v>
      </c>
      <c r="Y11" s="285">
        <v>0</v>
      </c>
      <c r="Z11" s="285">
        <v>19089.379999999997</v>
      </c>
      <c r="AA11" s="285">
        <v>0</v>
      </c>
      <c r="AB11" s="285">
        <v>14933.350000000002</v>
      </c>
      <c r="AC11" s="285">
        <v>0</v>
      </c>
      <c r="AD11" s="285">
        <v>7195</v>
      </c>
      <c r="AE11" s="285">
        <v>0</v>
      </c>
      <c r="AF11" s="660"/>
      <c r="AG11" s="715">
        <f t="shared" si="0"/>
        <v>15139.320999999982</v>
      </c>
    </row>
    <row r="12" spans="1:33" ht="31.5" x14ac:dyDescent="0.25">
      <c r="A12" s="296" t="s">
        <v>174</v>
      </c>
      <c r="B12" s="383">
        <v>0</v>
      </c>
      <c r="C12" s="383">
        <v>0</v>
      </c>
      <c r="D12" s="384">
        <v>0</v>
      </c>
      <c r="E12" s="384">
        <v>0</v>
      </c>
      <c r="F12" s="384">
        <v>0</v>
      </c>
      <c r="G12" s="384">
        <v>0</v>
      </c>
      <c r="H12" s="285">
        <v>0</v>
      </c>
      <c r="I12" s="285">
        <v>0</v>
      </c>
      <c r="J12" s="285">
        <v>0</v>
      </c>
      <c r="K12" s="285">
        <v>0</v>
      </c>
      <c r="L12" s="285">
        <v>0</v>
      </c>
      <c r="M12" s="285">
        <v>0</v>
      </c>
      <c r="N12" s="285">
        <v>0</v>
      </c>
      <c r="O12" s="285">
        <v>0</v>
      </c>
      <c r="P12" s="285">
        <v>0</v>
      </c>
      <c r="Q12" s="285">
        <v>0</v>
      </c>
      <c r="R12" s="285">
        <v>0</v>
      </c>
      <c r="S12" s="285">
        <v>0</v>
      </c>
      <c r="T12" s="285">
        <v>0</v>
      </c>
      <c r="U12" s="285">
        <v>0</v>
      </c>
      <c r="V12" s="285">
        <v>0</v>
      </c>
      <c r="W12" s="285">
        <v>0</v>
      </c>
      <c r="X12" s="285">
        <v>0</v>
      </c>
      <c r="Y12" s="285">
        <v>0</v>
      </c>
      <c r="Z12" s="285">
        <v>0</v>
      </c>
      <c r="AA12" s="285">
        <v>0</v>
      </c>
      <c r="AB12" s="285">
        <v>0</v>
      </c>
      <c r="AC12" s="285">
        <v>0</v>
      </c>
      <c r="AD12" s="285">
        <v>0</v>
      </c>
      <c r="AE12" s="285">
        <v>0</v>
      </c>
      <c r="AF12" s="660"/>
      <c r="AG12" s="715">
        <f t="shared" si="0"/>
        <v>0</v>
      </c>
    </row>
    <row r="13" spans="1:33" ht="15.75" x14ac:dyDescent="0.25">
      <c r="A13" s="284" t="s">
        <v>221</v>
      </c>
      <c r="B13" s="383">
        <v>0</v>
      </c>
      <c r="C13" s="383">
        <v>0</v>
      </c>
      <c r="D13" s="384">
        <v>0</v>
      </c>
      <c r="E13" s="384">
        <v>0</v>
      </c>
      <c r="F13" s="384">
        <v>0</v>
      </c>
      <c r="G13" s="384">
        <v>0</v>
      </c>
      <c r="H13" s="285">
        <v>0</v>
      </c>
      <c r="I13" s="285">
        <v>0</v>
      </c>
      <c r="J13" s="285">
        <v>0</v>
      </c>
      <c r="K13" s="285">
        <v>0</v>
      </c>
      <c r="L13" s="285">
        <v>0</v>
      </c>
      <c r="M13" s="285">
        <v>0</v>
      </c>
      <c r="N13" s="285">
        <v>0</v>
      </c>
      <c r="O13" s="285">
        <v>0</v>
      </c>
      <c r="P13" s="285">
        <v>0</v>
      </c>
      <c r="Q13" s="285">
        <v>0</v>
      </c>
      <c r="R13" s="285">
        <v>0</v>
      </c>
      <c r="S13" s="285">
        <v>0</v>
      </c>
      <c r="T13" s="285">
        <v>0</v>
      </c>
      <c r="U13" s="285">
        <v>0</v>
      </c>
      <c r="V13" s="285">
        <v>0</v>
      </c>
      <c r="W13" s="285">
        <v>0</v>
      </c>
      <c r="X13" s="285">
        <v>0</v>
      </c>
      <c r="Y13" s="285">
        <v>0</v>
      </c>
      <c r="Z13" s="285">
        <v>0</v>
      </c>
      <c r="AA13" s="285">
        <v>0</v>
      </c>
      <c r="AB13" s="285">
        <v>0</v>
      </c>
      <c r="AC13" s="285">
        <v>0</v>
      </c>
      <c r="AD13" s="285">
        <v>0</v>
      </c>
      <c r="AE13" s="285">
        <v>0</v>
      </c>
      <c r="AF13" s="661"/>
      <c r="AG13" s="715">
        <f t="shared" si="0"/>
        <v>0</v>
      </c>
    </row>
    <row r="14" spans="1:33" s="510" customFormat="1" ht="15.75" customHeight="1" x14ac:dyDescent="0.25">
      <c r="A14" s="835" t="s">
        <v>432</v>
      </c>
      <c r="B14" s="672"/>
      <c r="C14" s="672"/>
      <c r="D14" s="672"/>
      <c r="E14" s="672"/>
      <c r="F14" s="672"/>
      <c r="G14" s="672"/>
      <c r="H14" s="672"/>
      <c r="I14" s="672"/>
      <c r="J14" s="672"/>
      <c r="K14" s="672"/>
      <c r="L14" s="672"/>
      <c r="M14" s="672"/>
      <c r="N14" s="672"/>
      <c r="O14" s="672"/>
      <c r="P14" s="672"/>
      <c r="Q14" s="672"/>
      <c r="R14" s="672"/>
      <c r="S14" s="672"/>
      <c r="T14" s="672"/>
      <c r="U14" s="672"/>
      <c r="V14" s="672"/>
      <c r="W14" s="672"/>
      <c r="X14" s="672"/>
      <c r="Y14" s="672"/>
      <c r="Z14" s="672"/>
      <c r="AA14" s="672"/>
      <c r="AB14" s="672"/>
      <c r="AC14" s="672"/>
      <c r="AD14" s="672"/>
      <c r="AE14" s="673"/>
      <c r="AF14" s="660"/>
      <c r="AG14" s="715">
        <f t="shared" si="0"/>
        <v>0</v>
      </c>
    </row>
    <row r="15" spans="1:33" s="510" customFormat="1" ht="15.75" customHeight="1" x14ac:dyDescent="0.25">
      <c r="A15" s="284" t="s">
        <v>431</v>
      </c>
      <c r="B15" s="383">
        <v>70294.86</v>
      </c>
      <c r="C15" s="383">
        <v>31059.48</v>
      </c>
      <c r="D15" s="383">
        <v>18218.82</v>
      </c>
      <c r="E15" s="614">
        <v>18218.82</v>
      </c>
      <c r="F15" s="383">
        <v>25.917712902479639</v>
      </c>
      <c r="G15" s="383">
        <v>58.657839732023845</v>
      </c>
      <c r="H15" s="285">
        <v>5009.18</v>
      </c>
      <c r="I15" s="285">
        <v>1954.18</v>
      </c>
      <c r="J15" s="285">
        <v>7290.25</v>
      </c>
      <c r="K15" s="285">
        <v>4076.99</v>
      </c>
      <c r="L15" s="285">
        <v>6738.31</v>
      </c>
      <c r="M15" s="285">
        <v>3595.14</v>
      </c>
      <c r="N15" s="285">
        <v>5721.53</v>
      </c>
      <c r="O15" s="285">
        <v>4581.09</v>
      </c>
      <c r="P15" s="285">
        <v>6300.2099999999991</v>
      </c>
      <c r="Q15" s="285">
        <v>4011.42</v>
      </c>
      <c r="R15" s="285">
        <v>11553.08</v>
      </c>
      <c r="S15" s="285">
        <v>0</v>
      </c>
      <c r="T15" s="285">
        <v>5809.39</v>
      </c>
      <c r="U15" s="285">
        <v>0</v>
      </c>
      <c r="V15" s="285">
        <v>5779.61</v>
      </c>
      <c r="W15" s="285">
        <v>0</v>
      </c>
      <c r="X15" s="285">
        <v>3520.33</v>
      </c>
      <c r="Y15" s="285">
        <v>0</v>
      </c>
      <c r="Z15" s="285">
        <v>4565.5</v>
      </c>
      <c r="AA15" s="285">
        <v>0</v>
      </c>
      <c r="AB15" s="285">
        <v>4081.58</v>
      </c>
      <c r="AC15" s="285">
        <v>0</v>
      </c>
      <c r="AD15" s="285">
        <v>3925.89</v>
      </c>
      <c r="AE15" s="285">
        <v>0</v>
      </c>
      <c r="AF15" s="664" t="s">
        <v>574</v>
      </c>
      <c r="AG15" s="715">
        <f t="shared" si="0"/>
        <v>12840.66</v>
      </c>
    </row>
    <row r="16" spans="1:33" s="510" customFormat="1" ht="15.75" x14ac:dyDescent="0.25">
      <c r="A16" s="382" t="s">
        <v>169</v>
      </c>
      <c r="B16" s="383">
        <v>0</v>
      </c>
      <c r="C16" s="902">
        <v>0</v>
      </c>
      <c r="D16" s="384">
        <v>0</v>
      </c>
      <c r="E16" s="384">
        <v>0</v>
      </c>
      <c r="F16" s="383">
        <v>0</v>
      </c>
      <c r="G16" s="383">
        <v>0</v>
      </c>
      <c r="H16" s="288">
        <v>0</v>
      </c>
      <c r="I16" s="288">
        <v>0</v>
      </c>
      <c r="J16" s="288">
        <v>0</v>
      </c>
      <c r="K16" s="288">
        <v>0</v>
      </c>
      <c r="L16" s="288">
        <v>0</v>
      </c>
      <c r="M16" s="288">
        <v>0</v>
      </c>
      <c r="N16" s="288">
        <v>0</v>
      </c>
      <c r="O16" s="288">
        <v>0</v>
      </c>
      <c r="P16" s="288">
        <v>0</v>
      </c>
      <c r="Q16" s="288">
        <v>0</v>
      </c>
      <c r="R16" s="288">
        <v>0</v>
      </c>
      <c r="S16" s="288">
        <v>0</v>
      </c>
      <c r="T16" s="288">
        <v>0</v>
      </c>
      <c r="U16" s="288">
        <v>0</v>
      </c>
      <c r="V16" s="288">
        <v>0</v>
      </c>
      <c r="W16" s="288">
        <v>0</v>
      </c>
      <c r="X16" s="288">
        <v>0</v>
      </c>
      <c r="Y16" s="288">
        <v>0</v>
      </c>
      <c r="Z16" s="288">
        <v>0</v>
      </c>
      <c r="AA16" s="288">
        <v>0</v>
      </c>
      <c r="AB16" s="288">
        <v>0</v>
      </c>
      <c r="AC16" s="288">
        <v>0</v>
      </c>
      <c r="AD16" s="288">
        <v>0</v>
      </c>
      <c r="AE16" s="288">
        <v>0</v>
      </c>
      <c r="AF16" s="665"/>
      <c r="AG16" s="715">
        <f t="shared" si="0"/>
        <v>0</v>
      </c>
    </row>
    <row r="17" spans="1:33" s="510" customFormat="1" ht="15.75" x14ac:dyDescent="0.25">
      <c r="A17" s="284" t="s">
        <v>32</v>
      </c>
      <c r="B17" s="383">
        <v>0</v>
      </c>
      <c r="C17" s="902">
        <v>0</v>
      </c>
      <c r="D17" s="384">
        <v>0</v>
      </c>
      <c r="E17" s="384">
        <v>0</v>
      </c>
      <c r="F17" s="383">
        <v>0</v>
      </c>
      <c r="G17" s="383">
        <v>0</v>
      </c>
      <c r="H17" s="288">
        <v>0</v>
      </c>
      <c r="I17" s="288">
        <v>0</v>
      </c>
      <c r="J17" s="288">
        <v>0</v>
      </c>
      <c r="K17" s="288">
        <v>0</v>
      </c>
      <c r="L17" s="288">
        <v>0</v>
      </c>
      <c r="M17" s="288">
        <v>0</v>
      </c>
      <c r="N17" s="288">
        <v>0</v>
      </c>
      <c r="O17" s="288">
        <v>0</v>
      </c>
      <c r="P17" s="288">
        <v>0</v>
      </c>
      <c r="Q17" s="288">
        <v>0</v>
      </c>
      <c r="R17" s="288">
        <v>0</v>
      </c>
      <c r="S17" s="288">
        <v>0</v>
      </c>
      <c r="T17" s="288">
        <v>0</v>
      </c>
      <c r="U17" s="288">
        <v>0</v>
      </c>
      <c r="V17" s="288">
        <v>0</v>
      </c>
      <c r="W17" s="288">
        <v>0</v>
      </c>
      <c r="X17" s="288">
        <v>0</v>
      </c>
      <c r="Y17" s="288">
        <v>0</v>
      </c>
      <c r="Z17" s="288">
        <v>0</v>
      </c>
      <c r="AA17" s="288">
        <v>0</v>
      </c>
      <c r="AB17" s="288">
        <v>0</v>
      </c>
      <c r="AC17" s="288">
        <v>0</v>
      </c>
      <c r="AD17" s="288">
        <v>0</v>
      </c>
      <c r="AE17" s="288">
        <v>0</v>
      </c>
      <c r="AF17" s="665"/>
      <c r="AG17" s="715">
        <f t="shared" si="0"/>
        <v>0</v>
      </c>
    </row>
    <row r="18" spans="1:33" s="505" customFormat="1" ht="24.75" customHeight="1" x14ac:dyDescent="0.25">
      <c r="A18" s="508" t="s">
        <v>33</v>
      </c>
      <c r="B18" s="383">
        <v>70294.86</v>
      </c>
      <c r="C18" s="902">
        <v>31059.48</v>
      </c>
      <c r="D18" s="384">
        <v>18218.82</v>
      </c>
      <c r="E18" s="384">
        <v>18218.82</v>
      </c>
      <c r="F18" s="383">
        <v>25.917712902479639</v>
      </c>
      <c r="G18" s="383">
        <v>58.657839732023845</v>
      </c>
      <c r="H18" s="288">
        <v>5009.18</v>
      </c>
      <c r="I18" s="288">
        <v>1954.18</v>
      </c>
      <c r="J18" s="288">
        <v>7290.25</v>
      </c>
      <c r="K18" s="288">
        <v>4076.99</v>
      </c>
      <c r="L18" s="288">
        <v>6738.31</v>
      </c>
      <c r="M18" s="288">
        <v>3595.14</v>
      </c>
      <c r="N18" s="288">
        <v>5721.53</v>
      </c>
      <c r="O18" s="288">
        <v>4581.09</v>
      </c>
      <c r="P18" s="288">
        <v>6300.2099999999991</v>
      </c>
      <c r="Q18" s="288">
        <v>4011.42</v>
      </c>
      <c r="R18" s="288">
        <v>11553.08</v>
      </c>
      <c r="S18" s="288">
        <v>0</v>
      </c>
      <c r="T18" s="288">
        <v>5809.39</v>
      </c>
      <c r="U18" s="288">
        <v>0</v>
      </c>
      <c r="V18" s="288">
        <v>5779.61</v>
      </c>
      <c r="W18" s="288">
        <v>0</v>
      </c>
      <c r="X18" s="288">
        <v>3520.33</v>
      </c>
      <c r="Y18" s="288">
        <v>0</v>
      </c>
      <c r="Z18" s="288">
        <v>4565.5</v>
      </c>
      <c r="AA18" s="288">
        <v>0</v>
      </c>
      <c r="AB18" s="288">
        <v>4081.58</v>
      </c>
      <c r="AC18" s="288">
        <v>0</v>
      </c>
      <c r="AD18" s="288">
        <v>3925.89</v>
      </c>
      <c r="AE18" s="288">
        <v>0</v>
      </c>
      <c r="AF18" s="665"/>
      <c r="AG18" s="715">
        <f t="shared" si="0"/>
        <v>12840.66</v>
      </c>
    </row>
    <row r="19" spans="1:33" s="510" customFormat="1" ht="31.5" x14ac:dyDescent="0.25">
      <c r="A19" s="296" t="s">
        <v>174</v>
      </c>
      <c r="B19" s="383">
        <v>0</v>
      </c>
      <c r="C19" s="902">
        <v>0</v>
      </c>
      <c r="D19" s="384">
        <v>0</v>
      </c>
      <c r="E19" s="384">
        <v>0</v>
      </c>
      <c r="F19" s="383">
        <v>0</v>
      </c>
      <c r="G19" s="383">
        <v>0</v>
      </c>
      <c r="H19" s="288">
        <v>0</v>
      </c>
      <c r="I19" s="288">
        <v>0</v>
      </c>
      <c r="J19" s="288">
        <v>0</v>
      </c>
      <c r="K19" s="288">
        <v>0</v>
      </c>
      <c r="L19" s="288">
        <v>0</v>
      </c>
      <c r="M19" s="288">
        <v>0</v>
      </c>
      <c r="N19" s="288">
        <v>0</v>
      </c>
      <c r="O19" s="288">
        <v>0</v>
      </c>
      <c r="P19" s="288">
        <v>0</v>
      </c>
      <c r="Q19" s="288">
        <v>0</v>
      </c>
      <c r="R19" s="288">
        <v>0</v>
      </c>
      <c r="S19" s="288">
        <v>0</v>
      </c>
      <c r="T19" s="288">
        <v>0</v>
      </c>
      <c r="U19" s="288">
        <v>0</v>
      </c>
      <c r="V19" s="288">
        <v>0</v>
      </c>
      <c r="W19" s="288">
        <v>0</v>
      </c>
      <c r="X19" s="288">
        <v>0</v>
      </c>
      <c r="Y19" s="288">
        <v>0</v>
      </c>
      <c r="Z19" s="288">
        <v>0</v>
      </c>
      <c r="AA19" s="288">
        <v>0</v>
      </c>
      <c r="AB19" s="288">
        <v>0</v>
      </c>
      <c r="AC19" s="288">
        <v>0</v>
      </c>
      <c r="AD19" s="288">
        <v>0</v>
      </c>
      <c r="AE19" s="288">
        <v>0</v>
      </c>
      <c r="AF19" s="665"/>
      <c r="AG19" s="715">
        <f t="shared" si="0"/>
        <v>0</v>
      </c>
    </row>
    <row r="20" spans="1:33" s="510" customFormat="1" ht="15.75" x14ac:dyDescent="0.25">
      <c r="A20" s="284" t="s">
        <v>221</v>
      </c>
      <c r="B20" s="383">
        <v>0</v>
      </c>
      <c r="C20" s="902">
        <v>0</v>
      </c>
      <c r="D20" s="384">
        <v>0</v>
      </c>
      <c r="E20" s="384">
        <v>0</v>
      </c>
      <c r="F20" s="383">
        <v>0</v>
      </c>
      <c r="G20" s="383">
        <v>0</v>
      </c>
      <c r="H20" s="288">
        <v>0</v>
      </c>
      <c r="I20" s="288">
        <v>0</v>
      </c>
      <c r="J20" s="288">
        <v>0</v>
      </c>
      <c r="K20" s="288">
        <v>0</v>
      </c>
      <c r="L20" s="288">
        <v>0</v>
      </c>
      <c r="M20" s="288">
        <v>0</v>
      </c>
      <c r="N20" s="288">
        <v>0</v>
      </c>
      <c r="O20" s="288">
        <v>0</v>
      </c>
      <c r="P20" s="288">
        <v>0</v>
      </c>
      <c r="Q20" s="288">
        <v>0</v>
      </c>
      <c r="R20" s="288">
        <v>0</v>
      </c>
      <c r="S20" s="288">
        <v>0</v>
      </c>
      <c r="T20" s="288">
        <v>0</v>
      </c>
      <c r="U20" s="288">
        <v>0</v>
      </c>
      <c r="V20" s="288">
        <v>0</v>
      </c>
      <c r="W20" s="288">
        <v>0</v>
      </c>
      <c r="X20" s="288">
        <v>0</v>
      </c>
      <c r="Y20" s="288">
        <v>0</v>
      </c>
      <c r="Z20" s="288">
        <v>0</v>
      </c>
      <c r="AA20" s="288">
        <v>0</v>
      </c>
      <c r="AB20" s="288">
        <v>0</v>
      </c>
      <c r="AC20" s="288">
        <v>0</v>
      </c>
      <c r="AD20" s="288">
        <v>0</v>
      </c>
      <c r="AE20" s="288">
        <v>0</v>
      </c>
      <c r="AF20" s="831"/>
      <c r="AG20" s="715">
        <f t="shared" si="0"/>
        <v>0</v>
      </c>
    </row>
    <row r="21" spans="1:33" s="510" customFormat="1" ht="15.75" customHeight="1" x14ac:dyDescent="0.25">
      <c r="A21" s="835" t="s">
        <v>433</v>
      </c>
      <c r="B21" s="672"/>
      <c r="C21" s="672"/>
      <c r="D21" s="672"/>
      <c r="E21" s="672"/>
      <c r="F21" s="672"/>
      <c r="G21" s="672"/>
      <c r="H21" s="672"/>
      <c r="I21" s="672"/>
      <c r="J21" s="672"/>
      <c r="K21" s="672"/>
      <c r="L21" s="672"/>
      <c r="M21" s="672"/>
      <c r="N21" s="672"/>
      <c r="O21" s="672"/>
      <c r="P21" s="672"/>
      <c r="Q21" s="672"/>
      <c r="R21" s="672"/>
      <c r="S21" s="672"/>
      <c r="T21" s="672"/>
      <c r="U21" s="672"/>
      <c r="V21" s="672"/>
      <c r="W21" s="672"/>
      <c r="X21" s="672"/>
      <c r="Y21" s="672"/>
      <c r="Z21" s="672"/>
      <c r="AA21" s="672"/>
      <c r="AB21" s="672"/>
      <c r="AC21" s="672"/>
      <c r="AD21" s="672"/>
      <c r="AE21" s="673"/>
      <c r="AF21" s="665"/>
      <c r="AG21" s="715">
        <f t="shared" si="0"/>
        <v>0</v>
      </c>
    </row>
    <row r="22" spans="1:33" s="510" customFormat="1" ht="15.75" customHeight="1" x14ac:dyDescent="0.25">
      <c r="A22" s="284" t="s">
        <v>431</v>
      </c>
      <c r="B22" s="383">
        <v>40890.230000000003</v>
      </c>
      <c r="C22" s="383">
        <v>40290.33</v>
      </c>
      <c r="D22" s="383">
        <v>38639.329000000005</v>
      </c>
      <c r="E22" s="614">
        <v>38639.329000000005</v>
      </c>
      <c r="F22" s="383">
        <v>94.495259625587821</v>
      </c>
      <c r="G22" s="383">
        <v>95.902240066040662</v>
      </c>
      <c r="H22" s="285">
        <v>0</v>
      </c>
      <c r="I22" s="285">
        <v>0</v>
      </c>
      <c r="J22" s="285">
        <v>9686.92</v>
      </c>
      <c r="K22" s="285">
        <v>9686.9189999999999</v>
      </c>
      <c r="L22" s="285">
        <v>11495.67</v>
      </c>
      <c r="M22" s="285">
        <v>12098.04</v>
      </c>
      <c r="N22" s="285">
        <v>13902.47</v>
      </c>
      <c r="O22" s="285">
        <v>11450</v>
      </c>
      <c r="P22" s="285">
        <v>5205.2700000000004</v>
      </c>
      <c r="Q22" s="285">
        <v>5404.37</v>
      </c>
      <c r="R22" s="285">
        <v>0</v>
      </c>
      <c r="S22" s="285">
        <v>0</v>
      </c>
      <c r="T22" s="285">
        <v>0</v>
      </c>
      <c r="U22" s="285">
        <v>0</v>
      </c>
      <c r="V22" s="285">
        <v>0</v>
      </c>
      <c r="W22" s="285">
        <v>0</v>
      </c>
      <c r="X22" s="285">
        <v>0</v>
      </c>
      <c r="Y22" s="285">
        <v>0</v>
      </c>
      <c r="Z22" s="285">
        <v>0</v>
      </c>
      <c r="AA22" s="285">
        <v>0</v>
      </c>
      <c r="AB22" s="285">
        <v>0</v>
      </c>
      <c r="AC22" s="285">
        <v>0</v>
      </c>
      <c r="AD22" s="285">
        <v>599.9</v>
      </c>
      <c r="AE22" s="285">
        <v>0</v>
      </c>
      <c r="AF22" s="668" t="s">
        <v>575</v>
      </c>
      <c r="AG22" s="715">
        <f>C22-E22</f>
        <v>1651.0009999999966</v>
      </c>
    </row>
    <row r="23" spans="1:33" s="510" customFormat="1" ht="15.75" x14ac:dyDescent="0.25">
      <c r="A23" s="382" t="s">
        <v>169</v>
      </c>
      <c r="B23" s="383">
        <v>0</v>
      </c>
      <c r="C23" s="614">
        <v>0</v>
      </c>
      <c r="D23" s="384">
        <v>0</v>
      </c>
      <c r="E23" s="384">
        <v>0</v>
      </c>
      <c r="F23" s="383">
        <v>0</v>
      </c>
      <c r="G23" s="383">
        <v>0</v>
      </c>
      <c r="H23" s="288">
        <v>0</v>
      </c>
      <c r="I23" s="288">
        <v>0</v>
      </c>
      <c r="J23" s="288">
        <v>0</v>
      </c>
      <c r="K23" s="288">
        <v>0</v>
      </c>
      <c r="L23" s="288">
        <v>0</v>
      </c>
      <c r="M23" s="288">
        <v>0</v>
      </c>
      <c r="N23" s="288">
        <v>0</v>
      </c>
      <c r="O23" s="288">
        <v>0</v>
      </c>
      <c r="P23" s="288">
        <v>0</v>
      </c>
      <c r="Q23" s="288">
        <v>0</v>
      </c>
      <c r="R23" s="288">
        <v>0</v>
      </c>
      <c r="S23" s="288">
        <v>0</v>
      </c>
      <c r="T23" s="288">
        <v>0</v>
      </c>
      <c r="U23" s="288">
        <v>0</v>
      </c>
      <c r="V23" s="288">
        <v>0</v>
      </c>
      <c r="W23" s="288">
        <v>0</v>
      </c>
      <c r="X23" s="288">
        <v>0</v>
      </c>
      <c r="Y23" s="288">
        <v>0</v>
      </c>
      <c r="Z23" s="288">
        <v>0</v>
      </c>
      <c r="AA23" s="288">
        <v>0</v>
      </c>
      <c r="AB23" s="288">
        <v>0</v>
      </c>
      <c r="AC23" s="288">
        <v>0</v>
      </c>
      <c r="AD23" s="288">
        <v>0</v>
      </c>
      <c r="AE23" s="288">
        <v>0</v>
      </c>
      <c r="AF23" s="832"/>
      <c r="AG23" s="715">
        <f t="shared" si="0"/>
        <v>0</v>
      </c>
    </row>
    <row r="24" spans="1:33" s="510" customFormat="1" ht="15.75" x14ac:dyDescent="0.25">
      <c r="A24" s="284" t="s">
        <v>32</v>
      </c>
      <c r="B24" s="383">
        <v>0</v>
      </c>
      <c r="C24" s="614">
        <v>0</v>
      </c>
      <c r="D24" s="384">
        <v>0</v>
      </c>
      <c r="E24" s="384">
        <v>0</v>
      </c>
      <c r="F24" s="383">
        <v>0</v>
      </c>
      <c r="G24" s="383">
        <v>0</v>
      </c>
      <c r="H24" s="288">
        <v>0</v>
      </c>
      <c r="I24" s="288">
        <v>0</v>
      </c>
      <c r="J24" s="288">
        <v>0</v>
      </c>
      <c r="K24" s="288">
        <v>0</v>
      </c>
      <c r="L24" s="288">
        <v>0</v>
      </c>
      <c r="M24" s="288">
        <v>0</v>
      </c>
      <c r="N24" s="288">
        <v>0</v>
      </c>
      <c r="O24" s="288">
        <v>0</v>
      </c>
      <c r="P24" s="288">
        <v>0</v>
      </c>
      <c r="Q24" s="288">
        <v>0</v>
      </c>
      <c r="R24" s="288">
        <v>0</v>
      </c>
      <c r="S24" s="288">
        <v>0</v>
      </c>
      <c r="T24" s="288">
        <v>0</v>
      </c>
      <c r="U24" s="288">
        <v>0</v>
      </c>
      <c r="V24" s="288">
        <v>0</v>
      </c>
      <c r="W24" s="288">
        <v>0</v>
      </c>
      <c r="X24" s="288">
        <v>0</v>
      </c>
      <c r="Y24" s="288">
        <v>0</v>
      </c>
      <c r="Z24" s="288">
        <v>0</v>
      </c>
      <c r="AA24" s="288">
        <v>0</v>
      </c>
      <c r="AB24" s="288">
        <v>0</v>
      </c>
      <c r="AC24" s="288">
        <v>0</v>
      </c>
      <c r="AD24" s="288">
        <v>0</v>
      </c>
      <c r="AE24" s="288">
        <v>0</v>
      </c>
      <c r="AF24" s="832"/>
      <c r="AG24" s="715">
        <f t="shared" si="0"/>
        <v>0</v>
      </c>
    </row>
    <row r="25" spans="1:33" s="505" customFormat="1" ht="24.75" customHeight="1" x14ac:dyDescent="0.25">
      <c r="A25" s="508" t="s">
        <v>33</v>
      </c>
      <c r="B25" s="604">
        <v>40890.230000000003</v>
      </c>
      <c r="C25" s="614">
        <v>40290.33</v>
      </c>
      <c r="D25" s="605">
        <v>38639.329000000005</v>
      </c>
      <c r="E25" s="605">
        <v>38639.329000000005</v>
      </c>
      <c r="F25" s="604">
        <v>94.495259625587821</v>
      </c>
      <c r="G25" s="604">
        <v>95.902240066040662</v>
      </c>
      <c r="H25" s="288">
        <v>0</v>
      </c>
      <c r="I25" s="288">
        <v>0</v>
      </c>
      <c r="J25" s="604">
        <v>9686.92</v>
      </c>
      <c r="K25" s="676">
        <v>9686.9189999999999</v>
      </c>
      <c r="L25" s="604">
        <v>11495.67</v>
      </c>
      <c r="M25" s="604">
        <v>12098.04</v>
      </c>
      <c r="N25" s="604">
        <v>13902.47</v>
      </c>
      <c r="O25" s="604">
        <v>11450</v>
      </c>
      <c r="P25" s="604">
        <v>5205.2700000000004</v>
      </c>
      <c r="Q25" s="604">
        <v>5404.37</v>
      </c>
      <c r="R25" s="604">
        <v>0</v>
      </c>
      <c r="S25" s="604">
        <v>0</v>
      </c>
      <c r="T25" s="604">
        <v>0</v>
      </c>
      <c r="U25" s="604">
        <v>0</v>
      </c>
      <c r="V25" s="604">
        <v>0</v>
      </c>
      <c r="W25" s="604">
        <v>0</v>
      </c>
      <c r="X25" s="604">
        <v>0</v>
      </c>
      <c r="Y25" s="604">
        <v>0</v>
      </c>
      <c r="Z25" s="604">
        <v>0</v>
      </c>
      <c r="AA25" s="604">
        <v>0</v>
      </c>
      <c r="AB25" s="604">
        <v>0</v>
      </c>
      <c r="AC25" s="604">
        <v>0</v>
      </c>
      <c r="AD25" s="604">
        <v>599.9</v>
      </c>
      <c r="AE25" s="604">
        <v>0</v>
      </c>
      <c r="AF25" s="832"/>
      <c r="AG25" s="715">
        <f t="shared" si="0"/>
        <v>1651.0009999999966</v>
      </c>
    </row>
    <row r="26" spans="1:33" s="510" customFormat="1" ht="31.5" x14ac:dyDescent="0.25">
      <c r="A26" s="296" t="s">
        <v>174</v>
      </c>
      <c r="B26" s="383">
        <v>0</v>
      </c>
      <c r="C26" s="614">
        <v>0</v>
      </c>
      <c r="D26" s="384">
        <v>0</v>
      </c>
      <c r="E26" s="384">
        <v>0</v>
      </c>
      <c r="F26" s="383">
        <v>0</v>
      </c>
      <c r="G26" s="383">
        <v>0</v>
      </c>
      <c r="H26" s="288">
        <v>0</v>
      </c>
      <c r="I26" s="288">
        <v>0</v>
      </c>
      <c r="J26" s="288">
        <v>0</v>
      </c>
      <c r="K26" s="288">
        <v>0</v>
      </c>
      <c r="L26" s="288">
        <v>0</v>
      </c>
      <c r="M26" s="288">
        <v>0</v>
      </c>
      <c r="N26" s="288">
        <v>0</v>
      </c>
      <c r="O26" s="288">
        <v>0</v>
      </c>
      <c r="P26" s="288">
        <v>0</v>
      </c>
      <c r="Q26" s="288">
        <v>0</v>
      </c>
      <c r="R26" s="288">
        <v>0</v>
      </c>
      <c r="S26" s="288">
        <v>0</v>
      </c>
      <c r="T26" s="288">
        <v>0</v>
      </c>
      <c r="U26" s="288">
        <v>0</v>
      </c>
      <c r="V26" s="288">
        <v>0</v>
      </c>
      <c r="W26" s="288">
        <v>0</v>
      </c>
      <c r="X26" s="288">
        <v>0</v>
      </c>
      <c r="Y26" s="288">
        <v>0</v>
      </c>
      <c r="Z26" s="288">
        <v>0</v>
      </c>
      <c r="AA26" s="288">
        <v>0</v>
      </c>
      <c r="AB26" s="288">
        <v>0</v>
      </c>
      <c r="AC26" s="288">
        <v>0</v>
      </c>
      <c r="AD26" s="288">
        <v>0</v>
      </c>
      <c r="AE26" s="288">
        <v>0</v>
      </c>
      <c r="AF26" s="832"/>
      <c r="AG26" s="715">
        <f t="shared" si="0"/>
        <v>0</v>
      </c>
    </row>
    <row r="27" spans="1:33" s="510" customFormat="1" ht="15.75" x14ac:dyDescent="0.25">
      <c r="A27" s="284" t="s">
        <v>221</v>
      </c>
      <c r="B27" s="383">
        <v>0</v>
      </c>
      <c r="C27" s="614">
        <v>0</v>
      </c>
      <c r="D27" s="384">
        <v>0</v>
      </c>
      <c r="E27" s="384">
        <v>0</v>
      </c>
      <c r="F27" s="383">
        <v>0</v>
      </c>
      <c r="G27" s="383">
        <v>0</v>
      </c>
      <c r="H27" s="288">
        <v>0</v>
      </c>
      <c r="I27" s="288">
        <v>0</v>
      </c>
      <c r="J27" s="288">
        <v>0</v>
      </c>
      <c r="K27" s="288">
        <v>0</v>
      </c>
      <c r="L27" s="288">
        <v>0</v>
      </c>
      <c r="M27" s="288">
        <v>0</v>
      </c>
      <c r="N27" s="288">
        <v>0</v>
      </c>
      <c r="O27" s="288">
        <v>0</v>
      </c>
      <c r="P27" s="288">
        <v>0</v>
      </c>
      <c r="Q27" s="288">
        <v>0</v>
      </c>
      <c r="R27" s="288">
        <v>0</v>
      </c>
      <c r="S27" s="288">
        <v>0</v>
      </c>
      <c r="T27" s="288">
        <v>0</v>
      </c>
      <c r="U27" s="288">
        <v>0</v>
      </c>
      <c r="V27" s="288">
        <v>0</v>
      </c>
      <c r="W27" s="288">
        <v>0</v>
      </c>
      <c r="X27" s="288">
        <v>0</v>
      </c>
      <c r="Y27" s="288">
        <v>0</v>
      </c>
      <c r="Z27" s="288">
        <v>0</v>
      </c>
      <c r="AA27" s="288">
        <v>0</v>
      </c>
      <c r="AB27" s="288">
        <v>0</v>
      </c>
      <c r="AC27" s="288">
        <v>0</v>
      </c>
      <c r="AD27" s="288">
        <v>0</v>
      </c>
      <c r="AE27" s="288">
        <v>0</v>
      </c>
      <c r="AF27" s="833"/>
      <c r="AG27" s="715">
        <f t="shared" si="0"/>
        <v>0</v>
      </c>
    </row>
    <row r="28" spans="1:33" s="510" customFormat="1" ht="15.75" customHeight="1" x14ac:dyDescent="0.25">
      <c r="A28" s="835" t="s">
        <v>434</v>
      </c>
      <c r="B28" s="672"/>
      <c r="C28" s="672"/>
      <c r="D28" s="672"/>
      <c r="E28" s="672"/>
      <c r="F28" s="672"/>
      <c r="G28" s="672"/>
      <c r="H28" s="672"/>
      <c r="I28" s="672"/>
      <c r="J28" s="672"/>
      <c r="K28" s="672"/>
      <c r="L28" s="672"/>
      <c r="M28" s="672"/>
      <c r="N28" s="672"/>
      <c r="O28" s="672"/>
      <c r="P28" s="672"/>
      <c r="Q28" s="672"/>
      <c r="R28" s="672"/>
      <c r="S28" s="672"/>
      <c r="T28" s="672"/>
      <c r="U28" s="672"/>
      <c r="V28" s="672"/>
      <c r="W28" s="672"/>
      <c r="X28" s="672"/>
      <c r="Y28" s="672"/>
      <c r="Z28" s="672"/>
      <c r="AA28" s="672"/>
      <c r="AB28" s="672"/>
      <c r="AC28" s="672"/>
      <c r="AD28" s="672"/>
      <c r="AE28" s="673"/>
      <c r="AF28" s="504"/>
      <c r="AG28" s="715">
        <f t="shared" si="0"/>
        <v>0</v>
      </c>
    </row>
    <row r="29" spans="1:33" s="510" customFormat="1" ht="15.75" customHeight="1" x14ac:dyDescent="0.25">
      <c r="A29" s="284" t="s">
        <v>431</v>
      </c>
      <c r="B29" s="383">
        <v>23511.5</v>
      </c>
      <c r="C29" s="383">
        <v>3342.1499999999996</v>
      </c>
      <c r="D29" s="383">
        <v>3270.8</v>
      </c>
      <c r="E29" s="614">
        <v>3270.8</v>
      </c>
      <c r="F29" s="383">
        <v>13.911490121855262</v>
      </c>
      <c r="G29" s="383">
        <v>97.865146687012867</v>
      </c>
      <c r="H29" s="285">
        <v>139.28</v>
      </c>
      <c r="I29" s="285">
        <v>58.84</v>
      </c>
      <c r="J29" s="285">
        <v>130.86000000000001</v>
      </c>
      <c r="K29" s="285">
        <v>95.47</v>
      </c>
      <c r="L29" s="285">
        <v>2107.2199999999998</v>
      </c>
      <c r="M29" s="285">
        <v>2164.06</v>
      </c>
      <c r="N29" s="285">
        <v>630.32000000000005</v>
      </c>
      <c r="O29" s="285">
        <v>620.46</v>
      </c>
      <c r="P29" s="285">
        <v>334.47</v>
      </c>
      <c r="Q29" s="285">
        <v>331.97</v>
      </c>
      <c r="R29" s="285">
        <v>342.8</v>
      </c>
      <c r="S29" s="285">
        <v>0</v>
      </c>
      <c r="T29" s="285">
        <v>941.01</v>
      </c>
      <c r="U29" s="285">
        <v>0</v>
      </c>
      <c r="V29" s="285">
        <v>564.72</v>
      </c>
      <c r="W29" s="285">
        <v>0</v>
      </c>
      <c r="X29" s="285">
        <v>1004.76</v>
      </c>
      <c r="Y29" s="285">
        <v>0</v>
      </c>
      <c r="Z29" s="285">
        <v>14523.88</v>
      </c>
      <c r="AA29" s="285">
        <v>0</v>
      </c>
      <c r="AB29" s="285">
        <v>122.97</v>
      </c>
      <c r="AC29" s="285">
        <v>0</v>
      </c>
      <c r="AD29" s="285">
        <v>2669.21</v>
      </c>
      <c r="AE29" s="285">
        <v>0</v>
      </c>
      <c r="AF29" s="671" t="s">
        <v>576</v>
      </c>
      <c r="AG29" s="715">
        <f t="shared" si="0"/>
        <v>71.349999999999454</v>
      </c>
    </row>
    <row r="30" spans="1:33" s="510" customFormat="1" ht="15.75" x14ac:dyDescent="0.25">
      <c r="A30" s="382" t="s">
        <v>435</v>
      </c>
      <c r="B30" s="383">
        <v>0</v>
      </c>
      <c r="C30" s="614">
        <v>0</v>
      </c>
      <c r="D30" s="384">
        <v>0</v>
      </c>
      <c r="E30" s="384">
        <v>0</v>
      </c>
      <c r="F30" s="383">
        <v>0</v>
      </c>
      <c r="G30" s="384">
        <v>0</v>
      </c>
      <c r="H30" s="288">
        <v>0</v>
      </c>
      <c r="I30" s="288">
        <v>0</v>
      </c>
      <c r="J30" s="288">
        <v>0</v>
      </c>
      <c r="K30" s="288">
        <v>0</v>
      </c>
      <c r="L30" s="288">
        <v>0</v>
      </c>
      <c r="M30" s="288">
        <v>0</v>
      </c>
      <c r="N30" s="288">
        <v>0</v>
      </c>
      <c r="O30" s="288">
        <v>0</v>
      </c>
      <c r="P30" s="288">
        <v>0</v>
      </c>
      <c r="Q30" s="288">
        <v>0</v>
      </c>
      <c r="R30" s="288">
        <v>0</v>
      </c>
      <c r="S30" s="288">
        <v>0</v>
      </c>
      <c r="T30" s="288">
        <v>0</v>
      </c>
      <c r="U30" s="288">
        <v>0</v>
      </c>
      <c r="V30" s="288">
        <v>0</v>
      </c>
      <c r="W30" s="288">
        <v>0</v>
      </c>
      <c r="X30" s="288">
        <v>0</v>
      </c>
      <c r="Y30" s="288">
        <v>0</v>
      </c>
      <c r="Z30" s="288">
        <v>0</v>
      </c>
      <c r="AA30" s="288">
        <v>0</v>
      </c>
      <c r="AB30" s="288">
        <v>0</v>
      </c>
      <c r="AC30" s="288">
        <v>0</v>
      </c>
      <c r="AD30" s="288">
        <v>0</v>
      </c>
      <c r="AE30" s="288">
        <v>0</v>
      </c>
      <c r="AF30" s="894"/>
      <c r="AG30" s="715">
        <f t="shared" si="0"/>
        <v>0</v>
      </c>
    </row>
    <row r="31" spans="1:33" s="510" customFormat="1" ht="15.75" x14ac:dyDescent="0.25">
      <c r="A31" s="284" t="s">
        <v>32</v>
      </c>
      <c r="B31" s="383">
        <v>0</v>
      </c>
      <c r="C31" s="614">
        <v>0</v>
      </c>
      <c r="D31" s="384">
        <v>0</v>
      </c>
      <c r="E31" s="384">
        <v>0</v>
      </c>
      <c r="F31" s="383">
        <v>0</v>
      </c>
      <c r="G31" s="384">
        <v>0</v>
      </c>
      <c r="H31" s="288">
        <v>0</v>
      </c>
      <c r="I31" s="288">
        <v>0</v>
      </c>
      <c r="J31" s="288">
        <v>0</v>
      </c>
      <c r="K31" s="288">
        <v>0</v>
      </c>
      <c r="L31" s="288">
        <v>0</v>
      </c>
      <c r="M31" s="288">
        <v>0</v>
      </c>
      <c r="N31" s="288">
        <v>0</v>
      </c>
      <c r="O31" s="288">
        <v>0</v>
      </c>
      <c r="P31" s="288">
        <v>0</v>
      </c>
      <c r="Q31" s="288">
        <v>0</v>
      </c>
      <c r="R31" s="288">
        <v>0</v>
      </c>
      <c r="S31" s="288">
        <v>0</v>
      </c>
      <c r="T31" s="288">
        <v>0</v>
      </c>
      <c r="U31" s="288">
        <v>0</v>
      </c>
      <c r="V31" s="288">
        <v>0</v>
      </c>
      <c r="W31" s="288">
        <v>0</v>
      </c>
      <c r="X31" s="288">
        <v>0</v>
      </c>
      <c r="Y31" s="288">
        <v>0</v>
      </c>
      <c r="Z31" s="288">
        <v>0</v>
      </c>
      <c r="AA31" s="288">
        <v>0</v>
      </c>
      <c r="AB31" s="288">
        <v>0</v>
      </c>
      <c r="AC31" s="288">
        <v>0</v>
      </c>
      <c r="AD31" s="288">
        <v>0</v>
      </c>
      <c r="AE31" s="288">
        <v>0</v>
      </c>
      <c r="AF31" s="894"/>
      <c r="AG31" s="715">
        <f t="shared" si="0"/>
        <v>0</v>
      </c>
    </row>
    <row r="32" spans="1:33" s="506" customFormat="1" ht="24.75" customHeight="1" x14ac:dyDescent="0.25">
      <c r="A32" s="508" t="s">
        <v>33</v>
      </c>
      <c r="B32" s="606">
        <v>23511.5</v>
      </c>
      <c r="C32" s="614">
        <v>3342.1499999999996</v>
      </c>
      <c r="D32" s="607">
        <v>3270.8</v>
      </c>
      <c r="E32" s="606">
        <v>3270.8</v>
      </c>
      <c r="F32" s="607">
        <v>13.911490121855262</v>
      </c>
      <c r="G32" s="607">
        <v>97.865146687012867</v>
      </c>
      <c r="H32" s="607">
        <v>139.28</v>
      </c>
      <c r="I32" s="607">
        <v>58.84</v>
      </c>
      <c r="J32" s="607">
        <v>130.86000000000001</v>
      </c>
      <c r="K32" s="607">
        <v>95.47</v>
      </c>
      <c r="L32" s="607">
        <v>2107.2199999999998</v>
      </c>
      <c r="M32" s="607">
        <v>2164.06</v>
      </c>
      <c r="N32" s="607">
        <v>630.32000000000005</v>
      </c>
      <c r="O32" s="607">
        <v>620.46</v>
      </c>
      <c r="P32" s="607">
        <v>334.47</v>
      </c>
      <c r="Q32" s="607">
        <v>331.97</v>
      </c>
      <c r="R32" s="607">
        <v>342.8</v>
      </c>
      <c r="S32" s="607">
        <v>0</v>
      </c>
      <c r="T32" s="607">
        <v>941.01</v>
      </c>
      <c r="U32" s="607">
        <v>0</v>
      </c>
      <c r="V32" s="607">
        <v>564.72</v>
      </c>
      <c r="W32" s="607">
        <v>0</v>
      </c>
      <c r="X32" s="607">
        <v>1004.76</v>
      </c>
      <c r="Y32" s="607">
        <v>0</v>
      </c>
      <c r="Z32" s="607">
        <v>14523.88</v>
      </c>
      <c r="AA32" s="607">
        <v>0</v>
      </c>
      <c r="AB32" s="607">
        <v>122.97</v>
      </c>
      <c r="AC32" s="607">
        <v>0</v>
      </c>
      <c r="AD32" s="607">
        <v>2669.21</v>
      </c>
      <c r="AE32" s="607">
        <v>0</v>
      </c>
      <c r="AF32" s="894"/>
      <c r="AG32" s="715">
        <f t="shared" si="0"/>
        <v>71.349999999999454</v>
      </c>
    </row>
    <row r="33" spans="1:33" s="510" customFormat="1" ht="31.5" x14ac:dyDescent="0.25">
      <c r="A33" s="296" t="s">
        <v>174</v>
      </c>
      <c r="B33" s="383">
        <v>0</v>
      </c>
      <c r="C33" s="614">
        <v>0</v>
      </c>
      <c r="D33" s="384">
        <v>0</v>
      </c>
      <c r="E33" s="384">
        <v>0</v>
      </c>
      <c r="F33" s="383">
        <v>0</v>
      </c>
      <c r="G33" s="384">
        <v>0</v>
      </c>
      <c r="H33" s="288">
        <v>0</v>
      </c>
      <c r="I33" s="288">
        <v>0</v>
      </c>
      <c r="J33" s="288">
        <v>0</v>
      </c>
      <c r="K33" s="288">
        <v>0</v>
      </c>
      <c r="L33" s="288">
        <v>0</v>
      </c>
      <c r="M33" s="288">
        <v>0</v>
      </c>
      <c r="N33" s="288">
        <v>0</v>
      </c>
      <c r="O33" s="288">
        <v>0</v>
      </c>
      <c r="P33" s="288">
        <v>0</v>
      </c>
      <c r="Q33" s="288">
        <v>0</v>
      </c>
      <c r="R33" s="288">
        <v>0</v>
      </c>
      <c r="S33" s="288">
        <v>0</v>
      </c>
      <c r="T33" s="288">
        <v>0</v>
      </c>
      <c r="U33" s="288">
        <v>0</v>
      </c>
      <c r="V33" s="288">
        <v>0</v>
      </c>
      <c r="W33" s="288">
        <v>0</v>
      </c>
      <c r="X33" s="288">
        <v>0</v>
      </c>
      <c r="Y33" s="288">
        <v>0</v>
      </c>
      <c r="Z33" s="288">
        <v>0</v>
      </c>
      <c r="AA33" s="288">
        <v>0</v>
      </c>
      <c r="AB33" s="288">
        <v>0</v>
      </c>
      <c r="AC33" s="288">
        <v>0</v>
      </c>
      <c r="AD33" s="288">
        <v>0</v>
      </c>
      <c r="AE33" s="288">
        <v>0</v>
      </c>
      <c r="AF33" s="894"/>
      <c r="AG33" s="715">
        <f t="shared" si="0"/>
        <v>0</v>
      </c>
    </row>
    <row r="34" spans="1:33" s="510" customFormat="1" ht="15.75" x14ac:dyDescent="0.25">
      <c r="A34" s="284" t="s">
        <v>221</v>
      </c>
      <c r="B34" s="383">
        <v>0</v>
      </c>
      <c r="C34" s="614">
        <v>0</v>
      </c>
      <c r="D34" s="384">
        <v>0</v>
      </c>
      <c r="E34" s="384">
        <v>0</v>
      </c>
      <c r="F34" s="383">
        <v>0</v>
      </c>
      <c r="G34" s="384">
        <v>0</v>
      </c>
      <c r="H34" s="288">
        <v>0</v>
      </c>
      <c r="I34" s="288">
        <v>0</v>
      </c>
      <c r="J34" s="288">
        <v>0</v>
      </c>
      <c r="K34" s="288">
        <v>0</v>
      </c>
      <c r="L34" s="288">
        <v>0</v>
      </c>
      <c r="M34" s="288">
        <v>0</v>
      </c>
      <c r="N34" s="288">
        <v>0</v>
      </c>
      <c r="O34" s="288">
        <v>0</v>
      </c>
      <c r="P34" s="288">
        <v>0</v>
      </c>
      <c r="Q34" s="288">
        <v>0</v>
      </c>
      <c r="R34" s="288">
        <v>0</v>
      </c>
      <c r="S34" s="288">
        <v>0</v>
      </c>
      <c r="T34" s="288">
        <v>0</v>
      </c>
      <c r="U34" s="288">
        <v>0</v>
      </c>
      <c r="V34" s="288">
        <v>0</v>
      </c>
      <c r="W34" s="288">
        <v>0</v>
      </c>
      <c r="X34" s="288">
        <v>0</v>
      </c>
      <c r="Y34" s="288">
        <v>0</v>
      </c>
      <c r="Z34" s="288">
        <v>0</v>
      </c>
      <c r="AA34" s="288">
        <v>0</v>
      </c>
      <c r="AB34" s="288">
        <v>0</v>
      </c>
      <c r="AC34" s="288">
        <v>0</v>
      </c>
      <c r="AD34" s="288">
        <v>0</v>
      </c>
      <c r="AE34" s="288">
        <v>0</v>
      </c>
      <c r="AF34" s="895"/>
      <c r="AG34" s="715">
        <f t="shared" si="0"/>
        <v>0</v>
      </c>
    </row>
    <row r="35" spans="1:33" s="510" customFormat="1" ht="15.75" customHeight="1" x14ac:dyDescent="0.25">
      <c r="A35" s="835" t="s">
        <v>436</v>
      </c>
      <c r="B35" s="672"/>
      <c r="C35" s="672"/>
      <c r="D35" s="672"/>
      <c r="E35" s="672"/>
      <c r="F35" s="672"/>
      <c r="G35" s="672"/>
      <c r="H35" s="672"/>
      <c r="I35" s="672"/>
      <c r="J35" s="672"/>
      <c r="K35" s="672"/>
      <c r="L35" s="672"/>
      <c r="M35" s="672"/>
      <c r="N35" s="672"/>
      <c r="O35" s="672"/>
      <c r="P35" s="672"/>
      <c r="Q35" s="672"/>
      <c r="R35" s="672"/>
      <c r="S35" s="672"/>
      <c r="T35" s="672"/>
      <c r="U35" s="672"/>
      <c r="V35" s="672"/>
      <c r="W35" s="672"/>
      <c r="X35" s="672"/>
      <c r="Y35" s="672"/>
      <c r="Z35" s="672"/>
      <c r="AA35" s="672"/>
      <c r="AB35" s="672"/>
      <c r="AC35" s="672"/>
      <c r="AD35" s="672"/>
      <c r="AE35" s="673"/>
      <c r="AF35" s="894"/>
      <c r="AG35" s="715">
        <f t="shared" si="0"/>
        <v>0</v>
      </c>
    </row>
    <row r="36" spans="1:33" s="510" customFormat="1" ht="362.25" x14ac:dyDescent="0.25">
      <c r="A36" s="284" t="s">
        <v>431</v>
      </c>
      <c r="B36" s="383">
        <v>11305.11</v>
      </c>
      <c r="C36" s="383">
        <v>576.30999999999995</v>
      </c>
      <c r="D36" s="383">
        <v>0</v>
      </c>
      <c r="E36" s="614">
        <v>0</v>
      </c>
      <c r="F36" s="383">
        <v>0</v>
      </c>
      <c r="G36" s="383">
        <v>0</v>
      </c>
      <c r="H36" s="285">
        <v>0</v>
      </c>
      <c r="I36" s="285">
        <v>0</v>
      </c>
      <c r="J36" s="285">
        <v>0</v>
      </c>
      <c r="K36" s="285">
        <v>0</v>
      </c>
      <c r="L36" s="285">
        <v>576.30999999999995</v>
      </c>
      <c r="M36" s="285">
        <v>0</v>
      </c>
      <c r="N36" s="285">
        <v>0</v>
      </c>
      <c r="O36" s="285">
        <v>0</v>
      </c>
      <c r="P36" s="285">
        <v>0</v>
      </c>
      <c r="Q36" s="285">
        <v>0</v>
      </c>
      <c r="R36" s="285">
        <v>0</v>
      </c>
      <c r="S36" s="285">
        <v>0</v>
      </c>
      <c r="T36" s="285">
        <v>0</v>
      </c>
      <c r="U36" s="285">
        <v>0</v>
      </c>
      <c r="V36" s="285">
        <v>0</v>
      </c>
      <c r="W36" s="285">
        <v>0</v>
      </c>
      <c r="X36" s="285">
        <v>0</v>
      </c>
      <c r="Y36" s="285">
        <v>0</v>
      </c>
      <c r="Z36" s="285">
        <v>0</v>
      </c>
      <c r="AA36" s="285">
        <v>0</v>
      </c>
      <c r="AB36" s="285">
        <v>10728.800000000001</v>
      </c>
      <c r="AC36" s="285">
        <v>0</v>
      </c>
      <c r="AD36" s="285">
        <v>0</v>
      </c>
      <c r="AE36" s="285">
        <v>0</v>
      </c>
      <c r="AF36" s="677" t="s">
        <v>577</v>
      </c>
      <c r="AG36" s="715">
        <f t="shared" si="0"/>
        <v>576.30999999999995</v>
      </c>
    </row>
    <row r="37" spans="1:33" s="510" customFormat="1" ht="15.75" x14ac:dyDescent="0.25">
      <c r="A37" s="382" t="s">
        <v>435</v>
      </c>
      <c r="B37" s="383">
        <v>0</v>
      </c>
      <c r="C37" s="614">
        <v>0</v>
      </c>
      <c r="D37" s="384">
        <v>0</v>
      </c>
      <c r="E37" s="384">
        <v>0</v>
      </c>
      <c r="F37" s="383">
        <v>0</v>
      </c>
      <c r="G37" s="384">
        <v>0</v>
      </c>
      <c r="H37" s="288">
        <v>0</v>
      </c>
      <c r="I37" s="288">
        <v>0</v>
      </c>
      <c r="J37" s="288">
        <v>0</v>
      </c>
      <c r="K37" s="288">
        <v>0</v>
      </c>
      <c r="L37" s="288">
        <v>0</v>
      </c>
      <c r="M37" s="288">
        <v>0</v>
      </c>
      <c r="N37" s="288">
        <v>0</v>
      </c>
      <c r="O37" s="288">
        <v>0</v>
      </c>
      <c r="P37" s="288">
        <v>0</v>
      </c>
      <c r="Q37" s="288">
        <v>0</v>
      </c>
      <c r="R37" s="288">
        <v>0</v>
      </c>
      <c r="S37" s="288">
        <v>0</v>
      </c>
      <c r="T37" s="288">
        <v>0</v>
      </c>
      <c r="U37" s="288">
        <v>0</v>
      </c>
      <c r="V37" s="288">
        <v>0</v>
      </c>
      <c r="W37" s="288">
        <v>0</v>
      </c>
      <c r="X37" s="288">
        <v>0</v>
      </c>
      <c r="Y37" s="288">
        <v>0</v>
      </c>
      <c r="Z37" s="288">
        <v>0</v>
      </c>
      <c r="AA37" s="288">
        <v>0</v>
      </c>
      <c r="AB37" s="288">
        <v>0</v>
      </c>
      <c r="AC37" s="288">
        <v>0</v>
      </c>
      <c r="AD37" s="288">
        <v>0</v>
      </c>
      <c r="AE37" s="288">
        <v>0</v>
      </c>
      <c r="AF37" s="677"/>
      <c r="AG37" s="715">
        <f t="shared" si="0"/>
        <v>0</v>
      </c>
    </row>
    <row r="38" spans="1:33" s="510" customFormat="1" ht="15.75" x14ac:dyDescent="0.25">
      <c r="A38" s="284" t="s">
        <v>32</v>
      </c>
      <c r="B38" s="383">
        <v>0</v>
      </c>
      <c r="C38" s="614">
        <v>0</v>
      </c>
      <c r="D38" s="384">
        <v>0</v>
      </c>
      <c r="E38" s="384">
        <v>0</v>
      </c>
      <c r="F38" s="383">
        <v>0</v>
      </c>
      <c r="G38" s="384">
        <v>0</v>
      </c>
      <c r="H38" s="288">
        <v>0</v>
      </c>
      <c r="I38" s="288">
        <v>0</v>
      </c>
      <c r="J38" s="288">
        <v>0</v>
      </c>
      <c r="K38" s="288">
        <v>0</v>
      </c>
      <c r="L38" s="288">
        <v>0</v>
      </c>
      <c r="M38" s="288">
        <v>0</v>
      </c>
      <c r="N38" s="288">
        <v>0</v>
      </c>
      <c r="O38" s="288">
        <v>0</v>
      </c>
      <c r="P38" s="288">
        <v>0</v>
      </c>
      <c r="Q38" s="288">
        <v>0</v>
      </c>
      <c r="R38" s="288">
        <v>0</v>
      </c>
      <c r="S38" s="288">
        <v>0</v>
      </c>
      <c r="T38" s="288">
        <v>0</v>
      </c>
      <c r="U38" s="288">
        <v>0</v>
      </c>
      <c r="V38" s="288">
        <v>0</v>
      </c>
      <c r="W38" s="288">
        <v>0</v>
      </c>
      <c r="X38" s="288">
        <v>0</v>
      </c>
      <c r="Y38" s="288">
        <v>0</v>
      </c>
      <c r="Z38" s="288">
        <v>0</v>
      </c>
      <c r="AA38" s="288">
        <v>0</v>
      </c>
      <c r="AB38" s="288">
        <v>0</v>
      </c>
      <c r="AC38" s="288">
        <v>0</v>
      </c>
      <c r="AD38" s="288">
        <v>0</v>
      </c>
      <c r="AE38" s="288">
        <v>0</v>
      </c>
      <c r="AF38" s="677"/>
      <c r="AG38" s="715">
        <f t="shared" si="0"/>
        <v>0</v>
      </c>
    </row>
    <row r="39" spans="1:33" s="505" customFormat="1" ht="24.75" customHeight="1" x14ac:dyDescent="0.25">
      <c r="A39" s="508" t="s">
        <v>33</v>
      </c>
      <c r="B39" s="606">
        <v>11305.11</v>
      </c>
      <c r="C39" s="614">
        <v>576.30999999999995</v>
      </c>
      <c r="D39" s="384">
        <v>0</v>
      </c>
      <c r="E39" s="384">
        <v>0</v>
      </c>
      <c r="F39" s="383">
        <v>0</v>
      </c>
      <c r="G39" s="384">
        <v>0</v>
      </c>
      <c r="H39" s="288">
        <v>0</v>
      </c>
      <c r="I39" s="288">
        <v>0</v>
      </c>
      <c r="J39" s="288">
        <v>0</v>
      </c>
      <c r="K39" s="288">
        <v>0</v>
      </c>
      <c r="L39" s="607">
        <v>576.30999999999995</v>
      </c>
      <c r="M39" s="607">
        <v>0</v>
      </c>
      <c r="N39" s="607">
        <v>0</v>
      </c>
      <c r="O39" s="607">
        <v>0</v>
      </c>
      <c r="P39" s="607">
        <v>0</v>
      </c>
      <c r="Q39" s="607">
        <v>0</v>
      </c>
      <c r="R39" s="607">
        <v>0</v>
      </c>
      <c r="S39" s="607">
        <v>0</v>
      </c>
      <c r="T39" s="607">
        <v>0</v>
      </c>
      <c r="U39" s="607">
        <v>0</v>
      </c>
      <c r="V39" s="607">
        <v>0</v>
      </c>
      <c r="W39" s="607">
        <v>0</v>
      </c>
      <c r="X39" s="607">
        <v>0</v>
      </c>
      <c r="Y39" s="607">
        <v>0</v>
      </c>
      <c r="Z39" s="607">
        <v>0</v>
      </c>
      <c r="AA39" s="607">
        <v>0</v>
      </c>
      <c r="AB39" s="607">
        <v>10728.800000000001</v>
      </c>
      <c r="AC39" s="607">
        <v>0</v>
      </c>
      <c r="AD39" s="607">
        <v>0</v>
      </c>
      <c r="AE39" s="607">
        <v>0</v>
      </c>
      <c r="AF39" s="677"/>
      <c r="AG39" s="715">
        <f t="shared" si="0"/>
        <v>576.30999999999995</v>
      </c>
    </row>
    <row r="40" spans="1:33" s="510" customFormat="1" ht="31.5" x14ac:dyDescent="0.25">
      <c r="A40" s="296" t="s">
        <v>174</v>
      </c>
      <c r="B40" s="383">
        <v>0</v>
      </c>
      <c r="C40" s="614">
        <v>0</v>
      </c>
      <c r="D40" s="384">
        <v>0</v>
      </c>
      <c r="E40" s="384">
        <v>0</v>
      </c>
      <c r="F40" s="383">
        <v>0</v>
      </c>
      <c r="G40" s="384">
        <v>0</v>
      </c>
      <c r="H40" s="288">
        <v>0</v>
      </c>
      <c r="I40" s="288">
        <v>0</v>
      </c>
      <c r="J40" s="288">
        <v>0</v>
      </c>
      <c r="K40" s="288">
        <v>0</v>
      </c>
      <c r="L40" s="288">
        <v>0</v>
      </c>
      <c r="M40" s="288">
        <v>0</v>
      </c>
      <c r="N40" s="288">
        <v>0</v>
      </c>
      <c r="O40" s="288">
        <v>0</v>
      </c>
      <c r="P40" s="288">
        <v>0</v>
      </c>
      <c r="Q40" s="288">
        <v>0</v>
      </c>
      <c r="R40" s="288">
        <v>0</v>
      </c>
      <c r="S40" s="288">
        <v>0</v>
      </c>
      <c r="T40" s="288">
        <v>0</v>
      </c>
      <c r="U40" s="288">
        <v>0</v>
      </c>
      <c r="V40" s="288">
        <v>0</v>
      </c>
      <c r="W40" s="288">
        <v>0</v>
      </c>
      <c r="X40" s="288">
        <v>0</v>
      </c>
      <c r="Y40" s="288">
        <v>0</v>
      </c>
      <c r="Z40" s="288">
        <v>0</v>
      </c>
      <c r="AA40" s="288">
        <v>0</v>
      </c>
      <c r="AB40" s="288">
        <v>0</v>
      </c>
      <c r="AC40" s="288">
        <v>0</v>
      </c>
      <c r="AD40" s="288">
        <v>0</v>
      </c>
      <c r="AE40" s="288">
        <v>0</v>
      </c>
      <c r="AF40" s="677"/>
      <c r="AG40" s="715">
        <f t="shared" si="0"/>
        <v>0</v>
      </c>
    </row>
    <row r="41" spans="1:33" s="510" customFormat="1" ht="15.75" x14ac:dyDescent="0.25">
      <c r="A41" s="284" t="s">
        <v>221</v>
      </c>
      <c r="B41" s="383">
        <v>0</v>
      </c>
      <c r="C41" s="614">
        <v>0</v>
      </c>
      <c r="D41" s="384">
        <v>0</v>
      </c>
      <c r="E41" s="384">
        <v>0</v>
      </c>
      <c r="F41" s="383">
        <v>0</v>
      </c>
      <c r="G41" s="384">
        <v>0</v>
      </c>
      <c r="H41" s="288">
        <v>0</v>
      </c>
      <c r="I41" s="288">
        <v>0</v>
      </c>
      <c r="J41" s="288">
        <v>0</v>
      </c>
      <c r="K41" s="288">
        <v>0</v>
      </c>
      <c r="L41" s="288">
        <v>0</v>
      </c>
      <c r="M41" s="288">
        <v>0</v>
      </c>
      <c r="N41" s="288">
        <v>0</v>
      </c>
      <c r="O41" s="288">
        <v>0</v>
      </c>
      <c r="P41" s="288">
        <v>0</v>
      </c>
      <c r="Q41" s="288">
        <v>0</v>
      </c>
      <c r="R41" s="288">
        <v>0</v>
      </c>
      <c r="S41" s="288">
        <v>0</v>
      </c>
      <c r="T41" s="288">
        <v>0</v>
      </c>
      <c r="U41" s="288">
        <v>0</v>
      </c>
      <c r="V41" s="288">
        <v>0</v>
      </c>
      <c r="W41" s="288">
        <v>0</v>
      </c>
      <c r="X41" s="288">
        <v>0</v>
      </c>
      <c r="Y41" s="288">
        <v>0</v>
      </c>
      <c r="Z41" s="288">
        <v>0</v>
      </c>
      <c r="AA41" s="288">
        <v>0</v>
      </c>
      <c r="AB41" s="288">
        <v>0</v>
      </c>
      <c r="AC41" s="288">
        <v>0</v>
      </c>
      <c r="AD41" s="288">
        <v>0</v>
      </c>
      <c r="AE41" s="288">
        <v>0</v>
      </c>
      <c r="AF41" s="677"/>
      <c r="AG41" s="715">
        <f t="shared" si="0"/>
        <v>0</v>
      </c>
    </row>
    <row r="42" spans="1:33" s="510" customFormat="1" ht="15.75" customHeight="1" x14ac:dyDescent="0.25">
      <c r="A42" s="835" t="s">
        <v>437</v>
      </c>
      <c r="B42" s="672"/>
      <c r="C42" s="672"/>
      <c r="D42" s="672"/>
      <c r="E42" s="672"/>
      <c r="F42" s="672"/>
      <c r="G42" s="672"/>
      <c r="H42" s="672"/>
      <c r="I42" s="672"/>
      <c r="J42" s="672"/>
      <c r="K42" s="672"/>
      <c r="L42" s="672"/>
      <c r="M42" s="672"/>
      <c r="N42" s="672"/>
      <c r="O42" s="672"/>
      <c r="P42" s="672"/>
      <c r="Q42" s="672"/>
      <c r="R42" s="672"/>
      <c r="S42" s="672"/>
      <c r="T42" s="672"/>
      <c r="U42" s="672"/>
      <c r="V42" s="672"/>
      <c r="W42" s="672"/>
      <c r="X42" s="672"/>
      <c r="Y42" s="672"/>
      <c r="Z42" s="672"/>
      <c r="AA42" s="672"/>
      <c r="AB42" s="672"/>
      <c r="AC42" s="672"/>
      <c r="AD42" s="672"/>
      <c r="AE42" s="673"/>
      <c r="AF42" s="894"/>
      <c r="AG42" s="715">
        <f t="shared" si="0"/>
        <v>0</v>
      </c>
    </row>
    <row r="43" spans="1:33" s="510" customFormat="1" ht="15.75" x14ac:dyDescent="0.25">
      <c r="A43" s="281" t="s">
        <v>31</v>
      </c>
      <c r="B43" s="282">
        <v>53509.31</v>
      </c>
      <c r="C43" s="282">
        <v>22386.76</v>
      </c>
      <c r="D43" s="282">
        <v>20470.3</v>
      </c>
      <c r="E43" s="282">
        <v>20470.3</v>
      </c>
      <c r="F43" s="282">
        <v>38.25558580366669</v>
      </c>
      <c r="G43" s="282">
        <v>91.439315023701511</v>
      </c>
      <c r="H43" s="282">
        <v>5142.3099999999995</v>
      </c>
      <c r="I43" s="282">
        <v>3726.31</v>
      </c>
      <c r="J43" s="282">
        <v>5553.46</v>
      </c>
      <c r="K43" s="282">
        <v>6282.34</v>
      </c>
      <c r="L43" s="282">
        <v>4731.79</v>
      </c>
      <c r="M43" s="282">
        <v>4240.28</v>
      </c>
      <c r="N43" s="282">
        <v>3977.92</v>
      </c>
      <c r="O43" s="282">
        <v>3894.59</v>
      </c>
      <c r="P43" s="282">
        <v>2981.2799999999997</v>
      </c>
      <c r="Q43" s="282">
        <v>2326.7800000000002</v>
      </c>
      <c r="R43" s="282">
        <v>2527.65</v>
      </c>
      <c r="S43" s="282">
        <v>0</v>
      </c>
      <c r="T43" s="282">
        <v>3132.16</v>
      </c>
      <c r="U43" s="282">
        <v>0</v>
      </c>
      <c r="V43" s="282">
        <v>4103.8100000000004</v>
      </c>
      <c r="W43" s="282">
        <v>0</v>
      </c>
      <c r="X43" s="282">
        <v>4851.67</v>
      </c>
      <c r="Y43" s="282">
        <v>0</v>
      </c>
      <c r="Z43" s="282">
        <v>6810.2</v>
      </c>
      <c r="AA43" s="282">
        <v>0</v>
      </c>
      <c r="AB43" s="282">
        <v>4842.46</v>
      </c>
      <c r="AC43" s="282">
        <v>0</v>
      </c>
      <c r="AD43" s="282">
        <v>4854.6000000000004</v>
      </c>
      <c r="AE43" s="282">
        <v>0</v>
      </c>
      <c r="AF43" s="896"/>
      <c r="AG43" s="715">
        <f t="shared" si="0"/>
        <v>1916.4599999999991</v>
      </c>
    </row>
    <row r="44" spans="1:33" s="510" customFormat="1" ht="15.75" x14ac:dyDescent="0.25">
      <c r="A44" s="382" t="s">
        <v>169</v>
      </c>
      <c r="B44" s="384">
        <v>0</v>
      </c>
      <c r="C44" s="384">
        <v>0</v>
      </c>
      <c r="D44" s="384">
        <v>0</v>
      </c>
      <c r="E44" s="384">
        <v>0</v>
      </c>
      <c r="F44" s="383">
        <v>0</v>
      </c>
      <c r="G44" s="383">
        <v>0</v>
      </c>
      <c r="H44" s="288">
        <v>0</v>
      </c>
      <c r="I44" s="288">
        <v>0</v>
      </c>
      <c r="J44" s="288">
        <v>0</v>
      </c>
      <c r="K44" s="288">
        <v>0</v>
      </c>
      <c r="L44" s="288">
        <v>0</v>
      </c>
      <c r="M44" s="288">
        <v>0</v>
      </c>
      <c r="N44" s="288">
        <v>0</v>
      </c>
      <c r="O44" s="288">
        <v>0</v>
      </c>
      <c r="P44" s="288">
        <v>0</v>
      </c>
      <c r="Q44" s="288">
        <v>0</v>
      </c>
      <c r="R44" s="288">
        <v>0</v>
      </c>
      <c r="S44" s="288">
        <v>0</v>
      </c>
      <c r="T44" s="288">
        <v>0</v>
      </c>
      <c r="U44" s="288">
        <v>0</v>
      </c>
      <c r="V44" s="288">
        <v>0</v>
      </c>
      <c r="W44" s="288">
        <v>0</v>
      </c>
      <c r="X44" s="288">
        <v>0</v>
      </c>
      <c r="Y44" s="288">
        <v>0</v>
      </c>
      <c r="Z44" s="288">
        <v>0</v>
      </c>
      <c r="AA44" s="288">
        <v>0</v>
      </c>
      <c r="AB44" s="288">
        <v>0</v>
      </c>
      <c r="AC44" s="288">
        <v>0</v>
      </c>
      <c r="AD44" s="288">
        <v>0</v>
      </c>
      <c r="AE44" s="288">
        <v>0</v>
      </c>
      <c r="AF44" s="674"/>
      <c r="AG44" s="715">
        <f t="shared" si="0"/>
        <v>0</v>
      </c>
    </row>
    <row r="45" spans="1:33" s="510" customFormat="1" ht="15.75" x14ac:dyDescent="0.25">
      <c r="A45" s="284" t="s">
        <v>32</v>
      </c>
      <c r="B45" s="384">
        <v>0</v>
      </c>
      <c r="C45" s="384">
        <v>0</v>
      </c>
      <c r="D45" s="384">
        <v>0</v>
      </c>
      <c r="E45" s="384">
        <v>0</v>
      </c>
      <c r="F45" s="383">
        <v>0</v>
      </c>
      <c r="G45" s="383">
        <v>0</v>
      </c>
      <c r="H45" s="288">
        <v>0</v>
      </c>
      <c r="I45" s="288">
        <v>0</v>
      </c>
      <c r="J45" s="288">
        <v>0</v>
      </c>
      <c r="K45" s="288">
        <v>0</v>
      </c>
      <c r="L45" s="288">
        <v>0</v>
      </c>
      <c r="M45" s="288">
        <v>0</v>
      </c>
      <c r="N45" s="288">
        <v>0</v>
      </c>
      <c r="O45" s="288">
        <v>0</v>
      </c>
      <c r="P45" s="288">
        <v>0</v>
      </c>
      <c r="Q45" s="288">
        <v>0</v>
      </c>
      <c r="R45" s="288">
        <v>0</v>
      </c>
      <c r="S45" s="288">
        <v>0</v>
      </c>
      <c r="T45" s="288">
        <v>0</v>
      </c>
      <c r="U45" s="288">
        <v>0</v>
      </c>
      <c r="V45" s="288">
        <v>0</v>
      </c>
      <c r="W45" s="288">
        <v>0</v>
      </c>
      <c r="X45" s="288">
        <v>0</v>
      </c>
      <c r="Y45" s="288">
        <v>0</v>
      </c>
      <c r="Z45" s="288">
        <v>0</v>
      </c>
      <c r="AA45" s="288">
        <v>0</v>
      </c>
      <c r="AB45" s="288">
        <v>0</v>
      </c>
      <c r="AC45" s="288">
        <v>0</v>
      </c>
      <c r="AD45" s="288">
        <v>0</v>
      </c>
      <c r="AE45" s="288">
        <v>0</v>
      </c>
      <c r="AF45" s="674"/>
      <c r="AG45" s="715">
        <f t="shared" si="0"/>
        <v>0</v>
      </c>
    </row>
    <row r="46" spans="1:33" s="510" customFormat="1" ht="15.75" x14ac:dyDescent="0.25">
      <c r="A46" s="284" t="s">
        <v>33</v>
      </c>
      <c r="B46" s="384">
        <v>53509.31</v>
      </c>
      <c r="C46" s="384">
        <v>22386.76</v>
      </c>
      <c r="D46" s="384">
        <v>20470.3</v>
      </c>
      <c r="E46" s="384">
        <v>20470.3</v>
      </c>
      <c r="F46" s="383">
        <v>38.25558580366669</v>
      </c>
      <c r="G46" s="383">
        <v>91.439315023701511</v>
      </c>
      <c r="H46" s="288">
        <v>5142.3099999999995</v>
      </c>
      <c r="I46" s="288">
        <v>3726.31</v>
      </c>
      <c r="J46" s="288">
        <v>5553.46</v>
      </c>
      <c r="K46" s="288">
        <v>6282.34</v>
      </c>
      <c r="L46" s="288">
        <v>4731.79</v>
      </c>
      <c r="M46" s="288">
        <v>4240.28</v>
      </c>
      <c r="N46" s="288">
        <v>3977.92</v>
      </c>
      <c r="O46" s="288">
        <v>3894.59</v>
      </c>
      <c r="P46" s="288">
        <v>2981.2799999999997</v>
      </c>
      <c r="Q46" s="288">
        <v>2326.7800000000002</v>
      </c>
      <c r="R46" s="288">
        <v>2527.65</v>
      </c>
      <c r="S46" s="288">
        <v>0</v>
      </c>
      <c r="T46" s="288">
        <v>3132.16</v>
      </c>
      <c r="U46" s="288">
        <v>0</v>
      </c>
      <c r="V46" s="288">
        <v>4103.8100000000004</v>
      </c>
      <c r="W46" s="288">
        <v>0</v>
      </c>
      <c r="X46" s="288">
        <v>4851.67</v>
      </c>
      <c r="Y46" s="288">
        <v>0</v>
      </c>
      <c r="Z46" s="288">
        <v>6810.2</v>
      </c>
      <c r="AA46" s="288">
        <v>0</v>
      </c>
      <c r="AB46" s="288">
        <v>4842.46</v>
      </c>
      <c r="AC46" s="288">
        <v>0</v>
      </c>
      <c r="AD46" s="288">
        <v>4854.6000000000004</v>
      </c>
      <c r="AE46" s="288">
        <v>0</v>
      </c>
      <c r="AF46" s="674"/>
      <c r="AG46" s="715">
        <f t="shared" si="0"/>
        <v>1916.4599999999991</v>
      </c>
    </row>
    <row r="47" spans="1:33" s="510" customFormat="1" ht="31.5" x14ac:dyDescent="0.25">
      <c r="A47" s="296" t="s">
        <v>174</v>
      </c>
      <c r="B47" s="384">
        <v>0</v>
      </c>
      <c r="C47" s="384">
        <v>0</v>
      </c>
      <c r="D47" s="384">
        <v>0</v>
      </c>
      <c r="E47" s="384">
        <v>0</v>
      </c>
      <c r="F47" s="383">
        <v>0</v>
      </c>
      <c r="G47" s="383">
        <v>0</v>
      </c>
      <c r="H47" s="288">
        <v>0</v>
      </c>
      <c r="I47" s="288">
        <v>0</v>
      </c>
      <c r="J47" s="288">
        <v>0</v>
      </c>
      <c r="K47" s="288">
        <v>0</v>
      </c>
      <c r="L47" s="288">
        <v>0</v>
      </c>
      <c r="M47" s="288">
        <v>0</v>
      </c>
      <c r="N47" s="288">
        <v>0</v>
      </c>
      <c r="O47" s="288">
        <v>0</v>
      </c>
      <c r="P47" s="288">
        <v>0</v>
      </c>
      <c r="Q47" s="288">
        <v>0</v>
      </c>
      <c r="R47" s="288">
        <v>0</v>
      </c>
      <c r="S47" s="288">
        <v>0</v>
      </c>
      <c r="T47" s="288">
        <v>0</v>
      </c>
      <c r="U47" s="288">
        <v>0</v>
      </c>
      <c r="V47" s="288">
        <v>0</v>
      </c>
      <c r="W47" s="288">
        <v>0</v>
      </c>
      <c r="X47" s="288">
        <v>0</v>
      </c>
      <c r="Y47" s="288">
        <v>0</v>
      </c>
      <c r="Z47" s="288">
        <v>0</v>
      </c>
      <c r="AA47" s="288">
        <v>0</v>
      </c>
      <c r="AB47" s="288">
        <v>0</v>
      </c>
      <c r="AC47" s="288">
        <v>0</v>
      </c>
      <c r="AD47" s="288">
        <v>0</v>
      </c>
      <c r="AE47" s="288">
        <v>0</v>
      </c>
      <c r="AF47" s="674"/>
      <c r="AG47" s="715">
        <f t="shared" si="0"/>
        <v>0</v>
      </c>
    </row>
    <row r="48" spans="1:33" s="510" customFormat="1" ht="15.75" x14ac:dyDescent="0.25">
      <c r="A48" s="284" t="s">
        <v>221</v>
      </c>
      <c r="B48" s="384">
        <v>0</v>
      </c>
      <c r="C48" s="384">
        <v>0</v>
      </c>
      <c r="D48" s="384">
        <v>0</v>
      </c>
      <c r="E48" s="384">
        <v>0</v>
      </c>
      <c r="F48" s="383">
        <v>0</v>
      </c>
      <c r="G48" s="383">
        <v>0</v>
      </c>
      <c r="H48" s="288">
        <v>0</v>
      </c>
      <c r="I48" s="288">
        <v>0</v>
      </c>
      <c r="J48" s="288">
        <v>0</v>
      </c>
      <c r="K48" s="288">
        <v>0</v>
      </c>
      <c r="L48" s="288">
        <v>0</v>
      </c>
      <c r="M48" s="288">
        <v>0</v>
      </c>
      <c r="N48" s="288">
        <v>0</v>
      </c>
      <c r="O48" s="288">
        <v>0</v>
      </c>
      <c r="P48" s="288">
        <v>0</v>
      </c>
      <c r="Q48" s="288">
        <v>0</v>
      </c>
      <c r="R48" s="288">
        <v>0</v>
      </c>
      <c r="S48" s="288">
        <v>0</v>
      </c>
      <c r="T48" s="288">
        <v>0</v>
      </c>
      <c r="U48" s="288">
        <v>0</v>
      </c>
      <c r="V48" s="288">
        <v>0</v>
      </c>
      <c r="W48" s="288">
        <v>0</v>
      </c>
      <c r="X48" s="288">
        <v>0</v>
      </c>
      <c r="Y48" s="288">
        <v>0</v>
      </c>
      <c r="Z48" s="288">
        <v>0</v>
      </c>
      <c r="AA48" s="288">
        <v>0</v>
      </c>
      <c r="AB48" s="288">
        <v>0</v>
      </c>
      <c r="AC48" s="288">
        <v>0</v>
      </c>
      <c r="AD48" s="288">
        <v>0</v>
      </c>
      <c r="AE48" s="288">
        <v>0</v>
      </c>
      <c r="AF48" s="674"/>
      <c r="AG48" s="715">
        <f t="shared" si="0"/>
        <v>0</v>
      </c>
    </row>
    <row r="49" spans="1:33" s="510" customFormat="1" ht="15.75" customHeight="1" x14ac:dyDescent="0.25">
      <c r="A49" s="835" t="s">
        <v>438</v>
      </c>
      <c r="B49" s="672"/>
      <c r="C49" s="672"/>
      <c r="D49" s="672"/>
      <c r="E49" s="672"/>
      <c r="F49" s="672"/>
      <c r="G49" s="672"/>
      <c r="H49" s="672"/>
      <c r="I49" s="672"/>
      <c r="J49" s="672"/>
      <c r="K49" s="672"/>
      <c r="L49" s="672"/>
      <c r="M49" s="672"/>
      <c r="N49" s="672"/>
      <c r="O49" s="672"/>
      <c r="P49" s="672"/>
      <c r="Q49" s="672"/>
      <c r="R49" s="672"/>
      <c r="S49" s="672"/>
      <c r="T49" s="672"/>
      <c r="U49" s="672"/>
      <c r="V49" s="672"/>
      <c r="W49" s="672"/>
      <c r="X49" s="672"/>
      <c r="Y49" s="672"/>
      <c r="Z49" s="672"/>
      <c r="AA49" s="672"/>
      <c r="AB49" s="672"/>
      <c r="AC49" s="672"/>
      <c r="AD49" s="672"/>
      <c r="AE49" s="673"/>
      <c r="AF49" s="674"/>
      <c r="AG49" s="715">
        <f t="shared" si="0"/>
        <v>0</v>
      </c>
    </row>
    <row r="50" spans="1:33" s="510" customFormat="1" ht="15.75" customHeight="1" x14ac:dyDescent="0.25">
      <c r="A50" s="284" t="s">
        <v>31</v>
      </c>
      <c r="B50" s="285">
        <v>8644.3100000000013</v>
      </c>
      <c r="C50" s="285">
        <v>3869.2100000000005</v>
      </c>
      <c r="D50" s="285">
        <v>3854.6700000000005</v>
      </c>
      <c r="E50" s="615">
        <v>3854.6700000000005</v>
      </c>
      <c r="F50" s="383">
        <v>44.59199172634947</v>
      </c>
      <c r="G50" s="383">
        <v>99.624212694581061</v>
      </c>
      <c r="H50" s="285">
        <v>1391.87</v>
      </c>
      <c r="I50" s="285">
        <v>0</v>
      </c>
      <c r="J50" s="285">
        <v>1136.68</v>
      </c>
      <c r="K50" s="285">
        <v>2528.5500000000002</v>
      </c>
      <c r="L50" s="285">
        <v>817.05</v>
      </c>
      <c r="M50" s="285">
        <v>817.05</v>
      </c>
      <c r="N50" s="285">
        <v>509.07</v>
      </c>
      <c r="O50" s="285">
        <v>509.07</v>
      </c>
      <c r="P50" s="285">
        <v>14.54</v>
      </c>
      <c r="Q50" s="285">
        <v>0</v>
      </c>
      <c r="R50" s="285">
        <v>109.61</v>
      </c>
      <c r="S50" s="285">
        <v>0</v>
      </c>
      <c r="T50" s="285">
        <v>706.92</v>
      </c>
      <c r="U50" s="285">
        <v>0</v>
      </c>
      <c r="V50" s="285">
        <v>1073.97</v>
      </c>
      <c r="W50" s="285">
        <v>0</v>
      </c>
      <c r="X50" s="285">
        <v>1386.93</v>
      </c>
      <c r="Y50" s="285">
        <v>0</v>
      </c>
      <c r="Z50" s="285">
        <v>1379.96</v>
      </c>
      <c r="AA50" s="285">
        <v>0</v>
      </c>
      <c r="AB50" s="285">
        <v>117.71</v>
      </c>
      <c r="AC50" s="285">
        <v>0</v>
      </c>
      <c r="AD50" s="285">
        <v>0</v>
      </c>
      <c r="AE50" s="285">
        <v>0</v>
      </c>
      <c r="AF50" s="295" t="s">
        <v>495</v>
      </c>
      <c r="AG50" s="715">
        <f t="shared" si="0"/>
        <v>14.539999999999964</v>
      </c>
    </row>
    <row r="51" spans="1:33" s="510" customFormat="1" ht="15.75" x14ac:dyDescent="0.25">
      <c r="A51" s="382" t="s">
        <v>169</v>
      </c>
      <c r="B51" s="383">
        <v>0</v>
      </c>
      <c r="C51" s="614">
        <v>0</v>
      </c>
      <c r="D51" s="383">
        <v>0</v>
      </c>
      <c r="E51" s="383">
        <v>0</v>
      </c>
      <c r="F51" s="383">
        <v>0</v>
      </c>
      <c r="G51" s="383">
        <v>0</v>
      </c>
      <c r="H51" s="288">
        <v>0</v>
      </c>
      <c r="I51" s="288">
        <v>0</v>
      </c>
      <c r="J51" s="288">
        <v>0</v>
      </c>
      <c r="K51" s="288">
        <v>0</v>
      </c>
      <c r="L51" s="288">
        <v>0</v>
      </c>
      <c r="M51" s="288">
        <v>0</v>
      </c>
      <c r="N51" s="288">
        <v>0</v>
      </c>
      <c r="O51" s="288">
        <v>0</v>
      </c>
      <c r="P51" s="288">
        <v>0</v>
      </c>
      <c r="Q51" s="288">
        <v>0</v>
      </c>
      <c r="R51" s="288">
        <v>0</v>
      </c>
      <c r="S51" s="288">
        <v>0</v>
      </c>
      <c r="T51" s="288">
        <v>0</v>
      </c>
      <c r="U51" s="288">
        <v>0</v>
      </c>
      <c r="V51" s="288">
        <v>0</v>
      </c>
      <c r="W51" s="288">
        <v>0</v>
      </c>
      <c r="X51" s="288">
        <v>0</v>
      </c>
      <c r="Y51" s="288">
        <v>0</v>
      </c>
      <c r="Z51" s="288">
        <v>0</v>
      </c>
      <c r="AA51" s="288">
        <v>0</v>
      </c>
      <c r="AB51" s="288">
        <v>0</v>
      </c>
      <c r="AC51" s="288">
        <v>0</v>
      </c>
      <c r="AD51" s="288">
        <v>0</v>
      </c>
      <c r="AE51" s="288">
        <v>0</v>
      </c>
      <c r="AF51" s="295"/>
      <c r="AG51" s="715">
        <f t="shared" si="0"/>
        <v>0</v>
      </c>
    </row>
    <row r="52" spans="1:33" s="510" customFormat="1" ht="15.75" x14ac:dyDescent="0.25">
      <c r="A52" s="284" t="s">
        <v>32</v>
      </c>
      <c r="B52" s="383">
        <v>0</v>
      </c>
      <c r="C52" s="614">
        <v>0</v>
      </c>
      <c r="D52" s="383">
        <v>0</v>
      </c>
      <c r="E52" s="383">
        <v>0</v>
      </c>
      <c r="F52" s="383">
        <v>0</v>
      </c>
      <c r="G52" s="383">
        <v>0</v>
      </c>
      <c r="H52" s="288">
        <v>0</v>
      </c>
      <c r="I52" s="288">
        <v>0</v>
      </c>
      <c r="J52" s="288">
        <v>0</v>
      </c>
      <c r="K52" s="288">
        <v>0</v>
      </c>
      <c r="L52" s="288">
        <v>0</v>
      </c>
      <c r="M52" s="288">
        <v>0</v>
      </c>
      <c r="N52" s="288">
        <v>0</v>
      </c>
      <c r="O52" s="288">
        <v>0</v>
      </c>
      <c r="P52" s="288">
        <v>0</v>
      </c>
      <c r="Q52" s="288">
        <v>0</v>
      </c>
      <c r="R52" s="288">
        <v>0</v>
      </c>
      <c r="S52" s="288">
        <v>0</v>
      </c>
      <c r="T52" s="288">
        <v>0</v>
      </c>
      <c r="U52" s="288">
        <v>0</v>
      </c>
      <c r="V52" s="288">
        <v>0</v>
      </c>
      <c r="W52" s="288">
        <v>0</v>
      </c>
      <c r="X52" s="288">
        <v>0</v>
      </c>
      <c r="Y52" s="288">
        <v>0</v>
      </c>
      <c r="Z52" s="288">
        <v>0</v>
      </c>
      <c r="AA52" s="288">
        <v>0</v>
      </c>
      <c r="AB52" s="288">
        <v>0</v>
      </c>
      <c r="AC52" s="288">
        <v>0</v>
      </c>
      <c r="AD52" s="288">
        <v>0</v>
      </c>
      <c r="AE52" s="288">
        <v>0</v>
      </c>
      <c r="AF52" s="295"/>
      <c r="AG52" s="715">
        <f t="shared" si="0"/>
        <v>0</v>
      </c>
    </row>
    <row r="53" spans="1:33" s="507" customFormat="1" ht="15.75" x14ac:dyDescent="0.25">
      <c r="A53" s="508" t="s">
        <v>33</v>
      </c>
      <c r="B53" s="606">
        <v>8644.3100000000013</v>
      </c>
      <c r="C53" s="614">
        <v>3869.2100000000005</v>
      </c>
      <c r="D53" s="607">
        <v>3854.6700000000005</v>
      </c>
      <c r="E53" s="606">
        <v>3854.6700000000005</v>
      </c>
      <c r="F53" s="607">
        <v>44.59199172634947</v>
      </c>
      <c r="G53" s="607">
        <v>99.624212694581061</v>
      </c>
      <c r="H53" s="607">
        <v>1391.87</v>
      </c>
      <c r="I53" s="604"/>
      <c r="J53" s="607">
        <v>1136.68</v>
      </c>
      <c r="K53" s="604">
        <v>2528.5500000000002</v>
      </c>
      <c r="L53" s="607">
        <v>817.05</v>
      </c>
      <c r="M53" s="607">
        <v>817.05</v>
      </c>
      <c r="N53" s="607">
        <v>509.07</v>
      </c>
      <c r="O53" s="607">
        <v>509.07</v>
      </c>
      <c r="P53" s="607">
        <v>14.54</v>
      </c>
      <c r="Q53" s="607">
        <v>0</v>
      </c>
      <c r="R53" s="607">
        <v>109.61</v>
      </c>
      <c r="S53" s="607">
        <v>0</v>
      </c>
      <c r="T53" s="607">
        <v>706.92</v>
      </c>
      <c r="U53" s="607">
        <v>0</v>
      </c>
      <c r="V53" s="607">
        <v>1073.97</v>
      </c>
      <c r="W53" s="607">
        <v>0</v>
      </c>
      <c r="X53" s="607">
        <v>1386.93</v>
      </c>
      <c r="Y53" s="607">
        <v>0</v>
      </c>
      <c r="Z53" s="607">
        <v>1379.96</v>
      </c>
      <c r="AA53" s="607">
        <v>0</v>
      </c>
      <c r="AB53" s="607">
        <v>117.71</v>
      </c>
      <c r="AC53" s="607">
        <v>0</v>
      </c>
      <c r="AD53" s="607">
        <v>0</v>
      </c>
      <c r="AE53" s="607">
        <v>0</v>
      </c>
      <c r="AF53" s="295"/>
      <c r="AG53" s="715">
        <f t="shared" si="0"/>
        <v>14.539999999999964</v>
      </c>
    </row>
    <row r="54" spans="1:33" s="510" customFormat="1" ht="31.5" x14ac:dyDescent="0.25">
      <c r="A54" s="296" t="s">
        <v>174</v>
      </c>
      <c r="B54" s="383">
        <v>0</v>
      </c>
      <c r="C54" s="614">
        <v>0</v>
      </c>
      <c r="D54" s="383">
        <v>0</v>
      </c>
      <c r="E54" s="383">
        <v>0</v>
      </c>
      <c r="F54" s="383">
        <v>0</v>
      </c>
      <c r="G54" s="383">
        <v>0</v>
      </c>
      <c r="H54" s="288">
        <v>0</v>
      </c>
      <c r="I54" s="288">
        <v>0</v>
      </c>
      <c r="J54" s="288">
        <v>0</v>
      </c>
      <c r="K54" s="288">
        <v>0</v>
      </c>
      <c r="L54" s="288">
        <v>0</v>
      </c>
      <c r="M54" s="288">
        <v>0</v>
      </c>
      <c r="N54" s="288">
        <v>0</v>
      </c>
      <c r="O54" s="288">
        <v>0</v>
      </c>
      <c r="P54" s="288">
        <v>0</v>
      </c>
      <c r="Q54" s="288">
        <v>0</v>
      </c>
      <c r="R54" s="288">
        <v>0</v>
      </c>
      <c r="S54" s="288">
        <v>0</v>
      </c>
      <c r="T54" s="288">
        <v>0</v>
      </c>
      <c r="U54" s="288">
        <v>0</v>
      </c>
      <c r="V54" s="288">
        <v>0</v>
      </c>
      <c r="W54" s="288">
        <v>0</v>
      </c>
      <c r="X54" s="288">
        <v>0</v>
      </c>
      <c r="Y54" s="288">
        <v>0</v>
      </c>
      <c r="Z54" s="288">
        <v>0</v>
      </c>
      <c r="AA54" s="288">
        <v>0</v>
      </c>
      <c r="AB54" s="288">
        <v>0</v>
      </c>
      <c r="AC54" s="288">
        <v>0</v>
      </c>
      <c r="AD54" s="288">
        <v>0</v>
      </c>
      <c r="AE54" s="288">
        <v>0</v>
      </c>
      <c r="AF54" s="295"/>
      <c r="AG54" s="715">
        <f t="shared" si="0"/>
        <v>0</v>
      </c>
    </row>
    <row r="55" spans="1:33" s="510" customFormat="1" ht="15.75" x14ac:dyDescent="0.25">
      <c r="A55" s="284" t="s">
        <v>221</v>
      </c>
      <c r="B55" s="383">
        <v>0</v>
      </c>
      <c r="C55" s="614">
        <v>0</v>
      </c>
      <c r="D55" s="383">
        <v>0</v>
      </c>
      <c r="E55" s="383">
        <v>0</v>
      </c>
      <c r="F55" s="383">
        <v>0</v>
      </c>
      <c r="G55" s="383">
        <v>0</v>
      </c>
      <c r="H55" s="288">
        <v>0</v>
      </c>
      <c r="I55" s="288">
        <v>0</v>
      </c>
      <c r="J55" s="288">
        <v>0</v>
      </c>
      <c r="K55" s="288">
        <v>0</v>
      </c>
      <c r="L55" s="288">
        <v>0</v>
      </c>
      <c r="M55" s="288">
        <v>0</v>
      </c>
      <c r="N55" s="288">
        <v>0</v>
      </c>
      <c r="O55" s="288">
        <v>0</v>
      </c>
      <c r="P55" s="288">
        <v>0</v>
      </c>
      <c r="Q55" s="288">
        <v>0</v>
      </c>
      <c r="R55" s="288">
        <v>0</v>
      </c>
      <c r="S55" s="288">
        <v>0</v>
      </c>
      <c r="T55" s="288">
        <v>0</v>
      </c>
      <c r="U55" s="288">
        <v>0</v>
      </c>
      <c r="V55" s="288">
        <v>0</v>
      </c>
      <c r="W55" s="288">
        <v>0</v>
      </c>
      <c r="X55" s="288">
        <v>0</v>
      </c>
      <c r="Y55" s="288">
        <v>0</v>
      </c>
      <c r="Z55" s="288">
        <v>0</v>
      </c>
      <c r="AA55" s="288">
        <v>0</v>
      </c>
      <c r="AB55" s="288">
        <v>0</v>
      </c>
      <c r="AC55" s="288">
        <v>0</v>
      </c>
      <c r="AD55" s="288">
        <v>0</v>
      </c>
      <c r="AE55" s="288">
        <v>0</v>
      </c>
      <c r="AF55" s="295"/>
      <c r="AG55" s="715">
        <f t="shared" si="0"/>
        <v>0</v>
      </c>
    </row>
    <row r="56" spans="1:33" s="510" customFormat="1" ht="15.75" customHeight="1" x14ac:dyDescent="0.25">
      <c r="A56" s="835" t="s">
        <v>439</v>
      </c>
      <c r="B56" s="672"/>
      <c r="C56" s="672"/>
      <c r="D56" s="672"/>
      <c r="E56" s="672"/>
      <c r="F56" s="672"/>
      <c r="G56" s="672"/>
      <c r="H56" s="672"/>
      <c r="I56" s="672"/>
      <c r="J56" s="672"/>
      <c r="K56" s="672"/>
      <c r="L56" s="672"/>
      <c r="M56" s="672"/>
      <c r="N56" s="672"/>
      <c r="O56" s="672"/>
      <c r="P56" s="672"/>
      <c r="Q56" s="672"/>
      <c r="R56" s="672"/>
      <c r="S56" s="672"/>
      <c r="T56" s="672"/>
      <c r="U56" s="672"/>
      <c r="V56" s="672"/>
      <c r="W56" s="672"/>
      <c r="X56" s="672"/>
      <c r="Y56" s="672"/>
      <c r="Z56" s="672"/>
      <c r="AA56" s="672"/>
      <c r="AB56" s="672"/>
      <c r="AC56" s="672"/>
      <c r="AD56" s="672"/>
      <c r="AE56" s="673"/>
      <c r="AF56" s="893"/>
      <c r="AG56" s="715">
        <f t="shared" si="0"/>
        <v>0</v>
      </c>
    </row>
    <row r="57" spans="1:33" s="510" customFormat="1" ht="15.75" customHeight="1" x14ac:dyDescent="0.25">
      <c r="A57" s="284" t="s">
        <v>31</v>
      </c>
      <c r="B57" s="285">
        <v>44865</v>
      </c>
      <c r="C57" s="285">
        <v>18517.55</v>
      </c>
      <c r="D57" s="285">
        <v>16615.63</v>
      </c>
      <c r="E57" s="615">
        <v>16615.63</v>
      </c>
      <c r="F57" s="383">
        <v>37.034726401426504</v>
      </c>
      <c r="G57" s="383">
        <v>89.729094831659708</v>
      </c>
      <c r="H57" s="285">
        <v>3750.44</v>
      </c>
      <c r="I57" s="285">
        <v>3726.31</v>
      </c>
      <c r="J57" s="285">
        <v>4416.78</v>
      </c>
      <c r="K57" s="285">
        <v>3753.79</v>
      </c>
      <c r="L57" s="285">
        <v>3914.74</v>
      </c>
      <c r="M57" s="285">
        <v>3423.23</v>
      </c>
      <c r="N57" s="285">
        <v>3468.85</v>
      </c>
      <c r="O57" s="285">
        <v>3385.52</v>
      </c>
      <c r="P57" s="285">
        <v>2966.74</v>
      </c>
      <c r="Q57" s="285">
        <v>2326.7800000000002</v>
      </c>
      <c r="R57" s="285">
        <v>2418.04</v>
      </c>
      <c r="S57" s="285">
        <v>0</v>
      </c>
      <c r="T57" s="285">
        <v>2425.2399999999998</v>
      </c>
      <c r="U57" s="285">
        <v>0</v>
      </c>
      <c r="V57" s="285">
        <v>3029.84</v>
      </c>
      <c r="W57" s="285">
        <v>0</v>
      </c>
      <c r="X57" s="285">
        <v>3464.74</v>
      </c>
      <c r="Y57" s="285">
        <v>0</v>
      </c>
      <c r="Z57" s="285">
        <v>5430.24</v>
      </c>
      <c r="AA57" s="285">
        <v>0</v>
      </c>
      <c r="AB57" s="285">
        <v>4724.75</v>
      </c>
      <c r="AC57" s="285">
        <v>0</v>
      </c>
      <c r="AD57" s="285">
        <v>4854.6000000000004</v>
      </c>
      <c r="AE57" s="285">
        <v>0</v>
      </c>
      <c r="AF57" s="893" t="s">
        <v>545</v>
      </c>
      <c r="AG57" s="715">
        <f t="shared" si="0"/>
        <v>1901.9199999999983</v>
      </c>
    </row>
    <row r="58" spans="1:33" s="510" customFormat="1" ht="15.75" x14ac:dyDescent="0.25">
      <c r="A58" s="385" t="s">
        <v>169</v>
      </c>
      <c r="B58" s="384">
        <v>0</v>
      </c>
      <c r="C58" s="614">
        <v>0</v>
      </c>
      <c r="D58" s="384">
        <v>0</v>
      </c>
      <c r="E58" s="384">
        <v>0</v>
      </c>
      <c r="F58" s="384">
        <v>0</v>
      </c>
      <c r="G58" s="384">
        <v>0</v>
      </c>
      <c r="H58" s="288">
        <v>0</v>
      </c>
      <c r="I58" s="288">
        <v>0</v>
      </c>
      <c r="J58" s="288">
        <v>0</v>
      </c>
      <c r="K58" s="288">
        <v>0</v>
      </c>
      <c r="L58" s="288">
        <v>0</v>
      </c>
      <c r="M58" s="288">
        <v>0</v>
      </c>
      <c r="N58" s="288">
        <v>0</v>
      </c>
      <c r="O58" s="288">
        <v>0</v>
      </c>
      <c r="P58" s="288">
        <v>0</v>
      </c>
      <c r="Q58" s="288">
        <v>0</v>
      </c>
      <c r="R58" s="288">
        <v>0</v>
      </c>
      <c r="S58" s="288">
        <v>0</v>
      </c>
      <c r="T58" s="288">
        <v>0</v>
      </c>
      <c r="U58" s="288">
        <v>0</v>
      </c>
      <c r="V58" s="288">
        <v>0</v>
      </c>
      <c r="W58" s="288">
        <v>0</v>
      </c>
      <c r="X58" s="288">
        <v>0</v>
      </c>
      <c r="Y58" s="288">
        <v>0</v>
      </c>
      <c r="Z58" s="288">
        <v>0</v>
      </c>
      <c r="AA58" s="288">
        <v>0</v>
      </c>
      <c r="AB58" s="288">
        <v>0</v>
      </c>
      <c r="AC58" s="288">
        <v>0</v>
      </c>
      <c r="AD58" s="288">
        <v>0</v>
      </c>
      <c r="AE58" s="288">
        <v>0</v>
      </c>
      <c r="AF58" s="666"/>
      <c r="AG58" s="715">
        <f t="shared" si="0"/>
        <v>0</v>
      </c>
    </row>
    <row r="59" spans="1:33" s="510" customFormat="1" ht="15.75" x14ac:dyDescent="0.25">
      <c r="A59" s="291" t="s">
        <v>32</v>
      </c>
      <c r="B59" s="384">
        <v>0</v>
      </c>
      <c r="C59" s="614">
        <v>0</v>
      </c>
      <c r="D59" s="384">
        <v>0</v>
      </c>
      <c r="E59" s="384">
        <v>0</v>
      </c>
      <c r="F59" s="384">
        <v>0</v>
      </c>
      <c r="G59" s="384">
        <v>0</v>
      </c>
      <c r="H59" s="288">
        <v>0</v>
      </c>
      <c r="I59" s="288">
        <v>0</v>
      </c>
      <c r="J59" s="288">
        <v>0</v>
      </c>
      <c r="K59" s="288">
        <v>0</v>
      </c>
      <c r="L59" s="288">
        <v>0</v>
      </c>
      <c r="M59" s="288">
        <v>0</v>
      </c>
      <c r="N59" s="288">
        <v>0</v>
      </c>
      <c r="O59" s="288">
        <v>0</v>
      </c>
      <c r="P59" s="288">
        <v>0</v>
      </c>
      <c r="Q59" s="288">
        <v>0</v>
      </c>
      <c r="R59" s="288">
        <v>0</v>
      </c>
      <c r="S59" s="288">
        <v>0</v>
      </c>
      <c r="T59" s="288">
        <v>0</v>
      </c>
      <c r="U59" s="288">
        <v>0</v>
      </c>
      <c r="V59" s="288">
        <v>0</v>
      </c>
      <c r="W59" s="288">
        <v>0</v>
      </c>
      <c r="X59" s="288">
        <v>0</v>
      </c>
      <c r="Y59" s="288">
        <v>0</v>
      </c>
      <c r="Z59" s="288">
        <v>0</v>
      </c>
      <c r="AA59" s="288">
        <v>0</v>
      </c>
      <c r="AB59" s="288">
        <v>0</v>
      </c>
      <c r="AC59" s="288">
        <v>0</v>
      </c>
      <c r="AD59" s="288">
        <v>0</v>
      </c>
      <c r="AE59" s="288">
        <v>0</v>
      </c>
      <c r="AF59" s="666"/>
      <c r="AG59" s="715">
        <f t="shared" si="0"/>
        <v>0</v>
      </c>
    </row>
    <row r="60" spans="1:33" s="507" customFormat="1" ht="15.75" x14ac:dyDescent="0.25">
      <c r="A60" s="508" t="s">
        <v>33</v>
      </c>
      <c r="B60" s="606">
        <v>44865</v>
      </c>
      <c r="C60" s="614">
        <v>18517.55</v>
      </c>
      <c r="D60" s="607">
        <v>16615.63</v>
      </c>
      <c r="E60" s="606">
        <v>16615.63</v>
      </c>
      <c r="F60" s="607">
        <v>37.034726401426504</v>
      </c>
      <c r="G60" s="607">
        <v>89.729094831659708</v>
      </c>
      <c r="H60" s="607">
        <v>3750.44</v>
      </c>
      <c r="I60" s="607">
        <v>3726.31</v>
      </c>
      <c r="J60" s="607">
        <v>4416.78</v>
      </c>
      <c r="K60" s="607">
        <v>3753.79</v>
      </c>
      <c r="L60" s="607">
        <v>3914.74</v>
      </c>
      <c r="M60" s="607">
        <v>3423.23</v>
      </c>
      <c r="N60" s="607">
        <v>3468.85</v>
      </c>
      <c r="O60" s="607">
        <v>3385.52</v>
      </c>
      <c r="P60" s="607">
        <v>2966.74</v>
      </c>
      <c r="Q60" s="607">
        <v>2326.7800000000002</v>
      </c>
      <c r="R60" s="607">
        <v>2418.04</v>
      </c>
      <c r="S60" s="607">
        <v>0</v>
      </c>
      <c r="T60" s="607">
        <v>2425.2399999999998</v>
      </c>
      <c r="U60" s="607">
        <v>0</v>
      </c>
      <c r="V60" s="607">
        <v>3029.84</v>
      </c>
      <c r="W60" s="607">
        <v>0</v>
      </c>
      <c r="X60" s="607">
        <v>3464.74</v>
      </c>
      <c r="Y60" s="607">
        <v>0</v>
      </c>
      <c r="Z60" s="607">
        <v>5430.24</v>
      </c>
      <c r="AA60" s="607">
        <v>0</v>
      </c>
      <c r="AB60" s="607">
        <v>4724.75</v>
      </c>
      <c r="AC60" s="607">
        <v>0</v>
      </c>
      <c r="AD60" s="607">
        <v>4854.6000000000004</v>
      </c>
      <c r="AE60" s="607">
        <v>0</v>
      </c>
      <c r="AF60" s="666"/>
      <c r="AG60" s="715">
        <f t="shared" si="0"/>
        <v>1901.9199999999983</v>
      </c>
    </row>
    <row r="61" spans="1:33" s="510" customFormat="1" ht="31.5" x14ac:dyDescent="0.25">
      <c r="A61" s="296" t="s">
        <v>174</v>
      </c>
      <c r="B61" s="384">
        <v>0</v>
      </c>
      <c r="C61" s="614">
        <v>0</v>
      </c>
      <c r="D61" s="384">
        <v>0</v>
      </c>
      <c r="E61" s="384">
        <v>0</v>
      </c>
      <c r="F61" s="384">
        <v>0</v>
      </c>
      <c r="G61" s="384">
        <v>0</v>
      </c>
      <c r="H61" s="288">
        <v>0</v>
      </c>
      <c r="I61" s="288">
        <v>0</v>
      </c>
      <c r="J61" s="288">
        <v>0</v>
      </c>
      <c r="K61" s="288">
        <v>0</v>
      </c>
      <c r="L61" s="288">
        <v>0</v>
      </c>
      <c r="M61" s="288">
        <v>0</v>
      </c>
      <c r="N61" s="288">
        <v>0</v>
      </c>
      <c r="O61" s="288">
        <v>0</v>
      </c>
      <c r="P61" s="288">
        <v>0</v>
      </c>
      <c r="Q61" s="288">
        <v>0</v>
      </c>
      <c r="R61" s="288">
        <v>0</v>
      </c>
      <c r="S61" s="288">
        <v>0</v>
      </c>
      <c r="T61" s="288">
        <v>0</v>
      </c>
      <c r="U61" s="288">
        <v>0</v>
      </c>
      <c r="V61" s="288">
        <v>0</v>
      </c>
      <c r="W61" s="288">
        <v>0</v>
      </c>
      <c r="X61" s="288">
        <v>0</v>
      </c>
      <c r="Y61" s="288">
        <v>0</v>
      </c>
      <c r="Z61" s="288">
        <v>0</v>
      </c>
      <c r="AA61" s="288">
        <v>0</v>
      </c>
      <c r="AB61" s="288">
        <v>0</v>
      </c>
      <c r="AC61" s="288">
        <v>0</v>
      </c>
      <c r="AD61" s="288">
        <v>0</v>
      </c>
      <c r="AE61" s="288">
        <v>0</v>
      </c>
      <c r="AF61" s="666"/>
      <c r="AG61" s="715">
        <f t="shared" si="0"/>
        <v>0</v>
      </c>
    </row>
    <row r="62" spans="1:33" s="510" customFormat="1" ht="15.75" x14ac:dyDescent="0.25">
      <c r="A62" s="291" t="s">
        <v>221</v>
      </c>
      <c r="B62" s="384">
        <v>0</v>
      </c>
      <c r="C62" s="614">
        <v>0</v>
      </c>
      <c r="D62" s="384">
        <v>0</v>
      </c>
      <c r="E62" s="384">
        <v>0</v>
      </c>
      <c r="F62" s="384">
        <v>0</v>
      </c>
      <c r="G62" s="384">
        <v>0</v>
      </c>
      <c r="H62" s="288">
        <v>0</v>
      </c>
      <c r="I62" s="288">
        <v>0</v>
      </c>
      <c r="J62" s="288">
        <v>0</v>
      </c>
      <c r="K62" s="288">
        <v>0</v>
      </c>
      <c r="L62" s="288">
        <v>0</v>
      </c>
      <c r="M62" s="288">
        <v>0</v>
      </c>
      <c r="N62" s="288">
        <v>0</v>
      </c>
      <c r="O62" s="288">
        <v>0</v>
      </c>
      <c r="P62" s="288">
        <v>0</v>
      </c>
      <c r="Q62" s="288">
        <v>0</v>
      </c>
      <c r="R62" s="288">
        <v>0</v>
      </c>
      <c r="S62" s="288">
        <v>0</v>
      </c>
      <c r="T62" s="288">
        <v>0</v>
      </c>
      <c r="U62" s="288">
        <v>0</v>
      </c>
      <c r="V62" s="288">
        <v>0</v>
      </c>
      <c r="W62" s="288">
        <v>0</v>
      </c>
      <c r="X62" s="288">
        <v>0</v>
      </c>
      <c r="Y62" s="288">
        <v>0</v>
      </c>
      <c r="Z62" s="288">
        <v>0</v>
      </c>
      <c r="AA62" s="288">
        <v>0</v>
      </c>
      <c r="AB62" s="288">
        <v>0</v>
      </c>
      <c r="AC62" s="288">
        <v>0</v>
      </c>
      <c r="AD62" s="288">
        <v>0</v>
      </c>
      <c r="AE62" s="288">
        <v>0</v>
      </c>
      <c r="AF62" s="667"/>
      <c r="AG62" s="715">
        <f t="shared" si="0"/>
        <v>0</v>
      </c>
    </row>
    <row r="63" spans="1:33" s="510" customFormat="1" ht="15.75" customHeight="1" x14ac:dyDescent="0.25">
      <c r="A63" s="835" t="s">
        <v>440</v>
      </c>
      <c r="B63" s="672"/>
      <c r="C63" s="672"/>
      <c r="D63" s="672"/>
      <c r="E63" s="672"/>
      <c r="F63" s="672"/>
      <c r="G63" s="672"/>
      <c r="H63" s="672"/>
      <c r="I63" s="672"/>
      <c r="J63" s="672"/>
      <c r="K63" s="672"/>
      <c r="L63" s="672"/>
      <c r="M63" s="672"/>
      <c r="N63" s="672"/>
      <c r="O63" s="672"/>
      <c r="P63" s="672"/>
      <c r="Q63" s="672"/>
      <c r="R63" s="672"/>
      <c r="S63" s="672"/>
      <c r="T63" s="672"/>
      <c r="U63" s="672"/>
      <c r="V63" s="672"/>
      <c r="W63" s="672"/>
      <c r="X63" s="672"/>
      <c r="Y63" s="672"/>
      <c r="Z63" s="672"/>
      <c r="AA63" s="672"/>
      <c r="AB63" s="672"/>
      <c r="AC63" s="672"/>
      <c r="AD63" s="672"/>
      <c r="AE63" s="673"/>
      <c r="AF63" s="666"/>
      <c r="AG63" s="715">
        <f t="shared" si="0"/>
        <v>0</v>
      </c>
    </row>
    <row r="64" spans="1:33" s="510" customFormat="1" ht="15.75" customHeight="1" x14ac:dyDescent="0.25">
      <c r="A64" s="284" t="s">
        <v>31</v>
      </c>
      <c r="B64" s="285">
        <v>6870.5999999999995</v>
      </c>
      <c r="C64" s="285">
        <v>2452.79</v>
      </c>
      <c r="D64" s="285">
        <v>2355.4299999999998</v>
      </c>
      <c r="E64" s="615">
        <v>2355.4299999999998</v>
      </c>
      <c r="F64" s="383">
        <v>34.282740954210695</v>
      </c>
      <c r="G64" s="383">
        <v>96.030642655914278</v>
      </c>
      <c r="H64" s="285">
        <v>372.66</v>
      </c>
      <c r="I64" s="285">
        <v>257.2</v>
      </c>
      <c r="J64" s="285">
        <v>650.46</v>
      </c>
      <c r="K64" s="285">
        <v>673.76</v>
      </c>
      <c r="L64" s="285">
        <v>453.21</v>
      </c>
      <c r="M64" s="285">
        <v>470</v>
      </c>
      <c r="N64" s="285">
        <v>501.52000000000004</v>
      </c>
      <c r="O64" s="285">
        <v>540.30999999999995</v>
      </c>
      <c r="P64" s="285">
        <v>474.94</v>
      </c>
      <c r="Q64" s="285">
        <v>414.16</v>
      </c>
      <c r="R64" s="285">
        <v>383.71</v>
      </c>
      <c r="S64" s="285">
        <v>0</v>
      </c>
      <c r="T64" s="285">
        <v>375.14</v>
      </c>
      <c r="U64" s="285">
        <v>0</v>
      </c>
      <c r="V64" s="285">
        <v>518.82000000000005</v>
      </c>
      <c r="W64" s="285">
        <v>0</v>
      </c>
      <c r="X64" s="285">
        <v>510.25</v>
      </c>
      <c r="Y64" s="285">
        <v>0</v>
      </c>
      <c r="Z64" s="285">
        <v>518.83000000000004</v>
      </c>
      <c r="AA64" s="285">
        <v>0</v>
      </c>
      <c r="AB64" s="285">
        <v>1685.82</v>
      </c>
      <c r="AC64" s="285">
        <v>0</v>
      </c>
      <c r="AD64" s="285">
        <v>425.23999999999995</v>
      </c>
      <c r="AE64" s="285">
        <v>0</v>
      </c>
      <c r="AF64" s="903" t="s">
        <v>578</v>
      </c>
      <c r="AG64" s="715">
        <f t="shared" si="0"/>
        <v>97.360000000000127</v>
      </c>
    </row>
    <row r="65" spans="1:33" s="510" customFormat="1" ht="15.75" x14ac:dyDescent="0.25">
      <c r="A65" s="382" t="s">
        <v>169</v>
      </c>
      <c r="B65" s="383">
        <v>0</v>
      </c>
      <c r="C65" s="614">
        <v>0</v>
      </c>
      <c r="D65" s="384">
        <v>0</v>
      </c>
      <c r="E65" s="614">
        <v>0</v>
      </c>
      <c r="F65" s="383">
        <v>0</v>
      </c>
      <c r="G65" s="383">
        <v>0</v>
      </c>
      <c r="H65" s="288">
        <v>0</v>
      </c>
      <c r="I65" s="288">
        <v>0</v>
      </c>
      <c r="J65" s="288">
        <v>0</v>
      </c>
      <c r="K65" s="288">
        <v>0</v>
      </c>
      <c r="L65" s="288">
        <v>0</v>
      </c>
      <c r="M65" s="288">
        <v>0</v>
      </c>
      <c r="N65" s="288">
        <v>0</v>
      </c>
      <c r="O65" s="288">
        <v>0</v>
      </c>
      <c r="P65" s="288">
        <v>0</v>
      </c>
      <c r="Q65" s="288">
        <v>0</v>
      </c>
      <c r="R65" s="288">
        <v>0</v>
      </c>
      <c r="S65" s="288">
        <v>0</v>
      </c>
      <c r="T65" s="288">
        <v>0</v>
      </c>
      <c r="U65" s="288">
        <v>0</v>
      </c>
      <c r="V65" s="288">
        <v>0</v>
      </c>
      <c r="W65" s="288">
        <v>0</v>
      </c>
      <c r="X65" s="288">
        <v>0</v>
      </c>
      <c r="Y65" s="288">
        <v>0</v>
      </c>
      <c r="Z65" s="288">
        <v>0</v>
      </c>
      <c r="AA65" s="288">
        <v>0</v>
      </c>
      <c r="AB65" s="288">
        <v>0</v>
      </c>
      <c r="AC65" s="288">
        <v>0</v>
      </c>
      <c r="AD65" s="288">
        <v>0</v>
      </c>
      <c r="AE65" s="288">
        <v>0</v>
      </c>
      <c r="AF65" s="675"/>
      <c r="AG65" s="715">
        <f t="shared" si="0"/>
        <v>0</v>
      </c>
    </row>
    <row r="66" spans="1:33" s="510" customFormat="1" ht="15.75" x14ac:dyDescent="0.25">
      <c r="A66" s="284" t="s">
        <v>32</v>
      </c>
      <c r="B66" s="383">
        <v>0</v>
      </c>
      <c r="C66" s="614">
        <v>0</v>
      </c>
      <c r="D66" s="384">
        <v>0</v>
      </c>
      <c r="E66" s="614">
        <v>0</v>
      </c>
      <c r="F66" s="383">
        <v>0</v>
      </c>
      <c r="G66" s="383">
        <v>0</v>
      </c>
      <c r="H66" s="288">
        <v>0</v>
      </c>
      <c r="I66" s="288">
        <v>0</v>
      </c>
      <c r="J66" s="288">
        <v>0</v>
      </c>
      <c r="K66" s="288">
        <v>0</v>
      </c>
      <c r="L66" s="288">
        <v>0</v>
      </c>
      <c r="M66" s="288">
        <v>0</v>
      </c>
      <c r="N66" s="288">
        <v>0</v>
      </c>
      <c r="O66" s="288">
        <v>0</v>
      </c>
      <c r="P66" s="288">
        <v>0</v>
      </c>
      <c r="Q66" s="288">
        <v>0</v>
      </c>
      <c r="R66" s="288">
        <v>0</v>
      </c>
      <c r="S66" s="288">
        <v>0</v>
      </c>
      <c r="T66" s="288">
        <v>0</v>
      </c>
      <c r="U66" s="288">
        <v>0</v>
      </c>
      <c r="V66" s="288">
        <v>0</v>
      </c>
      <c r="W66" s="288">
        <v>0</v>
      </c>
      <c r="X66" s="288">
        <v>0</v>
      </c>
      <c r="Y66" s="288">
        <v>0</v>
      </c>
      <c r="Z66" s="288">
        <v>0</v>
      </c>
      <c r="AA66" s="288">
        <v>0</v>
      </c>
      <c r="AB66" s="288">
        <v>0</v>
      </c>
      <c r="AC66" s="288">
        <v>0</v>
      </c>
      <c r="AD66" s="288">
        <v>0</v>
      </c>
      <c r="AE66" s="288">
        <v>0</v>
      </c>
      <c r="AF66" s="675"/>
      <c r="AG66" s="715">
        <f t="shared" si="0"/>
        <v>0</v>
      </c>
    </row>
    <row r="67" spans="1:33" s="507" customFormat="1" ht="15.75" x14ac:dyDescent="0.25">
      <c r="A67" s="508" t="s">
        <v>33</v>
      </c>
      <c r="B67" s="606">
        <v>6870.5999999999995</v>
      </c>
      <c r="C67" s="614">
        <v>2452.79</v>
      </c>
      <c r="D67" s="607">
        <v>2355.4299999999998</v>
      </c>
      <c r="E67" s="606">
        <v>2355.4299999999998</v>
      </c>
      <c r="F67" s="607">
        <v>34.282740954210695</v>
      </c>
      <c r="G67" s="607">
        <v>96.030642655914278</v>
      </c>
      <c r="H67" s="607">
        <v>372.66</v>
      </c>
      <c r="I67" s="607">
        <v>257.2</v>
      </c>
      <c r="J67" s="607">
        <v>650.46</v>
      </c>
      <c r="K67" s="607">
        <v>673.76</v>
      </c>
      <c r="L67" s="607">
        <v>453.21</v>
      </c>
      <c r="M67" s="607">
        <v>470</v>
      </c>
      <c r="N67" s="607">
        <v>501.52000000000004</v>
      </c>
      <c r="O67" s="607">
        <v>540.30999999999995</v>
      </c>
      <c r="P67" s="607">
        <v>474.94</v>
      </c>
      <c r="Q67" s="607">
        <v>414.16</v>
      </c>
      <c r="R67" s="607">
        <v>383.71</v>
      </c>
      <c r="S67" s="607">
        <v>0</v>
      </c>
      <c r="T67" s="607">
        <v>375.14</v>
      </c>
      <c r="U67" s="607">
        <v>0</v>
      </c>
      <c r="V67" s="607">
        <v>518.82000000000005</v>
      </c>
      <c r="W67" s="607">
        <v>0</v>
      </c>
      <c r="X67" s="607">
        <v>510.25</v>
      </c>
      <c r="Y67" s="607">
        <v>0</v>
      </c>
      <c r="Z67" s="607">
        <v>518.83000000000004</v>
      </c>
      <c r="AA67" s="607">
        <v>0</v>
      </c>
      <c r="AB67" s="607">
        <v>1685.82</v>
      </c>
      <c r="AC67" s="607">
        <v>0</v>
      </c>
      <c r="AD67" s="607">
        <v>425.23999999999995</v>
      </c>
      <c r="AE67" s="607">
        <v>0</v>
      </c>
      <c r="AF67" s="675"/>
      <c r="AG67" s="715">
        <f t="shared" si="0"/>
        <v>97.360000000000127</v>
      </c>
    </row>
    <row r="68" spans="1:33" s="510" customFormat="1" ht="31.5" x14ac:dyDescent="0.25">
      <c r="A68" s="296" t="s">
        <v>174</v>
      </c>
      <c r="B68" s="383">
        <v>0</v>
      </c>
      <c r="C68" s="614">
        <v>0</v>
      </c>
      <c r="D68" s="384">
        <v>0</v>
      </c>
      <c r="E68" s="614">
        <v>0</v>
      </c>
      <c r="F68" s="383">
        <v>0</v>
      </c>
      <c r="G68" s="383">
        <v>0</v>
      </c>
      <c r="H68" s="288">
        <v>0</v>
      </c>
      <c r="I68" s="288">
        <v>0</v>
      </c>
      <c r="J68" s="288">
        <v>0</v>
      </c>
      <c r="K68" s="288">
        <v>0</v>
      </c>
      <c r="L68" s="288">
        <v>0</v>
      </c>
      <c r="M68" s="288">
        <v>0</v>
      </c>
      <c r="N68" s="288">
        <v>0</v>
      </c>
      <c r="O68" s="288">
        <v>0</v>
      </c>
      <c r="P68" s="288">
        <v>0</v>
      </c>
      <c r="Q68" s="288">
        <v>0</v>
      </c>
      <c r="R68" s="288">
        <v>0</v>
      </c>
      <c r="S68" s="288">
        <v>0</v>
      </c>
      <c r="T68" s="288">
        <v>0</v>
      </c>
      <c r="U68" s="288">
        <v>0</v>
      </c>
      <c r="V68" s="288">
        <v>0</v>
      </c>
      <c r="W68" s="288">
        <v>0</v>
      </c>
      <c r="X68" s="288">
        <v>0</v>
      </c>
      <c r="Y68" s="288">
        <v>0</v>
      </c>
      <c r="Z68" s="288">
        <v>0</v>
      </c>
      <c r="AA68" s="288">
        <v>0</v>
      </c>
      <c r="AB68" s="288">
        <v>0</v>
      </c>
      <c r="AC68" s="288">
        <v>0</v>
      </c>
      <c r="AD68" s="288">
        <v>0</v>
      </c>
      <c r="AE68" s="288">
        <v>0</v>
      </c>
      <c r="AF68" s="675"/>
      <c r="AG68" s="715">
        <f t="shared" si="0"/>
        <v>0</v>
      </c>
    </row>
    <row r="69" spans="1:33" s="510" customFormat="1" ht="15.75" x14ac:dyDescent="0.25">
      <c r="A69" s="284" t="s">
        <v>221</v>
      </c>
      <c r="B69" s="383">
        <v>0</v>
      </c>
      <c r="C69" s="614">
        <v>0</v>
      </c>
      <c r="D69" s="384">
        <v>0</v>
      </c>
      <c r="E69" s="614">
        <v>0</v>
      </c>
      <c r="F69" s="383">
        <v>0</v>
      </c>
      <c r="G69" s="383">
        <v>0</v>
      </c>
      <c r="H69" s="288">
        <v>0</v>
      </c>
      <c r="I69" s="288">
        <v>0</v>
      </c>
      <c r="J69" s="288">
        <v>0</v>
      </c>
      <c r="K69" s="288">
        <v>0</v>
      </c>
      <c r="L69" s="288">
        <v>0</v>
      </c>
      <c r="M69" s="288">
        <v>0</v>
      </c>
      <c r="N69" s="288">
        <v>0</v>
      </c>
      <c r="O69" s="288">
        <v>0</v>
      </c>
      <c r="P69" s="288">
        <v>0</v>
      </c>
      <c r="Q69" s="288">
        <v>0</v>
      </c>
      <c r="R69" s="288">
        <v>0</v>
      </c>
      <c r="S69" s="288">
        <v>0</v>
      </c>
      <c r="T69" s="288">
        <v>0</v>
      </c>
      <c r="U69" s="288">
        <v>0</v>
      </c>
      <c r="V69" s="288">
        <v>0</v>
      </c>
      <c r="W69" s="288">
        <v>0</v>
      </c>
      <c r="X69" s="288">
        <v>0</v>
      </c>
      <c r="Y69" s="288">
        <v>0</v>
      </c>
      <c r="Z69" s="288">
        <v>0</v>
      </c>
      <c r="AA69" s="288">
        <v>0</v>
      </c>
      <c r="AB69" s="288">
        <v>0</v>
      </c>
      <c r="AC69" s="288">
        <v>0</v>
      </c>
      <c r="AD69" s="288">
        <v>0</v>
      </c>
      <c r="AE69" s="288">
        <v>0</v>
      </c>
      <c r="AF69" s="834"/>
      <c r="AG69" s="715">
        <f t="shared" si="0"/>
        <v>0</v>
      </c>
    </row>
    <row r="70" spans="1:33" s="510" customFormat="1" ht="15.75" customHeight="1" x14ac:dyDescent="0.25">
      <c r="A70" s="835" t="s">
        <v>441</v>
      </c>
      <c r="B70" s="662"/>
      <c r="C70" s="662"/>
      <c r="D70" s="662"/>
      <c r="E70" s="662"/>
      <c r="F70" s="662"/>
      <c r="G70" s="662"/>
      <c r="H70" s="662"/>
      <c r="I70" s="662"/>
      <c r="J70" s="662"/>
      <c r="K70" s="662"/>
      <c r="L70" s="662"/>
      <c r="M70" s="662"/>
      <c r="N70" s="662"/>
      <c r="O70" s="662"/>
      <c r="P70" s="662"/>
      <c r="Q70" s="662"/>
      <c r="R70" s="662"/>
      <c r="S70" s="662"/>
      <c r="T70" s="662"/>
      <c r="U70" s="662"/>
      <c r="V70" s="662"/>
      <c r="W70" s="662"/>
      <c r="X70" s="662"/>
      <c r="Y70" s="662"/>
      <c r="Z70" s="662"/>
      <c r="AA70" s="662"/>
      <c r="AB70" s="662"/>
      <c r="AC70" s="662"/>
      <c r="AD70" s="662"/>
      <c r="AE70" s="663"/>
      <c r="AF70" s="675"/>
      <c r="AG70" s="715">
        <f t="shared" si="0"/>
        <v>0</v>
      </c>
    </row>
    <row r="71" spans="1:33" s="510" customFormat="1" ht="141.75" x14ac:dyDescent="0.25">
      <c r="A71" s="284" t="s">
        <v>31</v>
      </c>
      <c r="B71" s="285">
        <v>992.2</v>
      </c>
      <c r="C71" s="285">
        <v>0</v>
      </c>
      <c r="D71" s="285">
        <v>0</v>
      </c>
      <c r="E71" s="615">
        <v>0</v>
      </c>
      <c r="F71" s="285">
        <v>0</v>
      </c>
      <c r="G71" s="285">
        <v>0</v>
      </c>
      <c r="H71" s="285">
        <v>0</v>
      </c>
      <c r="I71" s="285">
        <v>0</v>
      </c>
      <c r="J71" s="285">
        <v>0</v>
      </c>
      <c r="K71" s="285">
        <v>0</v>
      </c>
      <c r="L71" s="285">
        <v>0</v>
      </c>
      <c r="M71" s="285">
        <v>0</v>
      </c>
      <c r="N71" s="285">
        <v>0</v>
      </c>
      <c r="O71" s="285">
        <v>0</v>
      </c>
      <c r="P71" s="285">
        <v>0</v>
      </c>
      <c r="Q71" s="285">
        <v>0</v>
      </c>
      <c r="R71" s="285">
        <v>0</v>
      </c>
      <c r="S71" s="285">
        <v>0</v>
      </c>
      <c r="T71" s="285">
        <v>0</v>
      </c>
      <c r="U71" s="285">
        <v>0</v>
      </c>
      <c r="V71" s="285">
        <v>0</v>
      </c>
      <c r="W71" s="285">
        <v>0</v>
      </c>
      <c r="X71" s="285">
        <v>0</v>
      </c>
      <c r="Y71" s="285">
        <v>0</v>
      </c>
      <c r="Z71" s="285">
        <v>992.2</v>
      </c>
      <c r="AA71" s="285">
        <v>0</v>
      </c>
      <c r="AB71" s="285">
        <v>0</v>
      </c>
      <c r="AC71" s="285">
        <v>0</v>
      </c>
      <c r="AD71" s="285">
        <v>0</v>
      </c>
      <c r="AE71" s="285">
        <v>0</v>
      </c>
      <c r="AF71" s="664" t="s">
        <v>496</v>
      </c>
      <c r="AG71" s="715">
        <f t="shared" si="0"/>
        <v>0</v>
      </c>
    </row>
    <row r="72" spans="1:33" s="510" customFormat="1" ht="15.75" x14ac:dyDescent="0.25">
      <c r="A72" s="382" t="s">
        <v>169</v>
      </c>
      <c r="B72" s="383">
        <v>0</v>
      </c>
      <c r="C72" s="614">
        <v>0</v>
      </c>
      <c r="D72" s="383">
        <v>0</v>
      </c>
      <c r="E72" s="383">
        <v>0</v>
      </c>
      <c r="F72" s="904">
        <v>0</v>
      </c>
      <c r="G72" s="904">
        <v>0</v>
      </c>
      <c r="H72" s="288">
        <v>0</v>
      </c>
      <c r="I72" s="288">
        <v>0</v>
      </c>
      <c r="J72" s="288">
        <v>0</v>
      </c>
      <c r="K72" s="288">
        <v>0</v>
      </c>
      <c r="L72" s="288">
        <v>0</v>
      </c>
      <c r="M72" s="288">
        <v>0</v>
      </c>
      <c r="N72" s="288">
        <v>0</v>
      </c>
      <c r="O72" s="288">
        <v>0</v>
      </c>
      <c r="P72" s="288">
        <v>0</v>
      </c>
      <c r="Q72" s="288">
        <v>0</v>
      </c>
      <c r="R72" s="288">
        <v>0</v>
      </c>
      <c r="S72" s="288">
        <v>0</v>
      </c>
      <c r="T72" s="288">
        <v>0</v>
      </c>
      <c r="U72" s="288">
        <v>0</v>
      </c>
      <c r="V72" s="288">
        <v>0</v>
      </c>
      <c r="W72" s="288">
        <v>0</v>
      </c>
      <c r="X72" s="288">
        <v>0</v>
      </c>
      <c r="Y72" s="288">
        <v>0</v>
      </c>
      <c r="Z72" s="288">
        <v>0</v>
      </c>
      <c r="AA72" s="288">
        <v>0</v>
      </c>
      <c r="AB72" s="288">
        <v>0</v>
      </c>
      <c r="AC72" s="288">
        <v>0</v>
      </c>
      <c r="AD72" s="288">
        <v>0</v>
      </c>
      <c r="AE72" s="288">
        <v>0</v>
      </c>
      <c r="AF72" s="669"/>
      <c r="AG72" s="715">
        <f t="shared" si="0"/>
        <v>0</v>
      </c>
    </row>
    <row r="73" spans="1:33" s="507" customFormat="1" ht="15.75" x14ac:dyDescent="0.25">
      <c r="A73" s="508" t="s">
        <v>32</v>
      </c>
      <c r="B73" s="606">
        <v>992.2</v>
      </c>
      <c r="C73" s="614">
        <v>0</v>
      </c>
      <c r="D73" s="383">
        <v>0</v>
      </c>
      <c r="E73" s="383">
        <v>0</v>
      </c>
      <c r="F73" s="904">
        <v>0</v>
      </c>
      <c r="G73" s="904">
        <v>0</v>
      </c>
      <c r="H73" s="288">
        <v>0</v>
      </c>
      <c r="I73" s="288">
        <v>0</v>
      </c>
      <c r="J73" s="288">
        <v>0</v>
      </c>
      <c r="K73" s="288">
        <v>0</v>
      </c>
      <c r="L73" s="288">
        <v>0</v>
      </c>
      <c r="M73" s="288">
        <v>0</v>
      </c>
      <c r="N73" s="288">
        <v>0</v>
      </c>
      <c r="O73" s="288">
        <v>0</v>
      </c>
      <c r="P73" s="288">
        <v>0</v>
      </c>
      <c r="Q73" s="288">
        <v>0</v>
      </c>
      <c r="R73" s="288">
        <v>0</v>
      </c>
      <c r="S73" s="288">
        <v>0</v>
      </c>
      <c r="T73" s="288">
        <v>0</v>
      </c>
      <c r="U73" s="288">
        <v>0</v>
      </c>
      <c r="V73" s="288">
        <v>0</v>
      </c>
      <c r="W73" s="288">
        <v>0</v>
      </c>
      <c r="X73" s="288">
        <v>0</v>
      </c>
      <c r="Y73" s="288">
        <v>0</v>
      </c>
      <c r="Z73" s="607">
        <v>992.2</v>
      </c>
      <c r="AA73" s="509">
        <v>0</v>
      </c>
      <c r="AB73" s="509">
        <v>0</v>
      </c>
      <c r="AC73" s="509">
        <v>0</v>
      </c>
      <c r="AD73" s="509">
        <v>0</v>
      </c>
      <c r="AE73" s="509">
        <v>0</v>
      </c>
      <c r="AF73" s="669"/>
      <c r="AG73" s="715">
        <f t="shared" ref="AG73:AG109" si="1">C73-E73</f>
        <v>0</v>
      </c>
    </row>
    <row r="74" spans="1:33" s="510" customFormat="1" ht="15.75" x14ac:dyDescent="0.25">
      <c r="A74" s="284" t="s">
        <v>33</v>
      </c>
      <c r="B74" s="383">
        <v>0</v>
      </c>
      <c r="C74" s="614">
        <v>0</v>
      </c>
      <c r="D74" s="383">
        <v>0</v>
      </c>
      <c r="E74" s="383">
        <v>0</v>
      </c>
      <c r="F74" s="904">
        <v>0</v>
      </c>
      <c r="G74" s="904">
        <v>0</v>
      </c>
      <c r="H74" s="288">
        <v>0</v>
      </c>
      <c r="I74" s="288">
        <v>0</v>
      </c>
      <c r="J74" s="288">
        <v>0</v>
      </c>
      <c r="K74" s="288">
        <v>0</v>
      </c>
      <c r="L74" s="288">
        <v>0</v>
      </c>
      <c r="M74" s="288">
        <v>0</v>
      </c>
      <c r="N74" s="288">
        <v>0</v>
      </c>
      <c r="O74" s="288">
        <v>0</v>
      </c>
      <c r="P74" s="288">
        <v>0</v>
      </c>
      <c r="Q74" s="288">
        <v>0</v>
      </c>
      <c r="R74" s="288">
        <v>0</v>
      </c>
      <c r="S74" s="288">
        <v>0</v>
      </c>
      <c r="T74" s="288">
        <v>0</v>
      </c>
      <c r="U74" s="288">
        <v>0</v>
      </c>
      <c r="V74" s="288">
        <v>0</v>
      </c>
      <c r="W74" s="288">
        <v>0</v>
      </c>
      <c r="X74" s="288">
        <v>0</v>
      </c>
      <c r="Y74" s="288">
        <v>0</v>
      </c>
      <c r="Z74" s="288">
        <v>0</v>
      </c>
      <c r="AA74" s="288">
        <v>0</v>
      </c>
      <c r="AB74" s="288">
        <v>0</v>
      </c>
      <c r="AC74" s="288">
        <v>0</v>
      </c>
      <c r="AD74" s="288">
        <v>0</v>
      </c>
      <c r="AE74" s="288">
        <v>0</v>
      </c>
      <c r="AF74" s="669"/>
      <c r="AG74" s="715">
        <f t="shared" si="1"/>
        <v>0</v>
      </c>
    </row>
    <row r="75" spans="1:33" s="510" customFormat="1" ht="31.5" x14ac:dyDescent="0.25">
      <c r="A75" s="296" t="s">
        <v>174</v>
      </c>
      <c r="B75" s="383">
        <v>0</v>
      </c>
      <c r="C75" s="614">
        <v>0</v>
      </c>
      <c r="D75" s="383">
        <v>0</v>
      </c>
      <c r="E75" s="383">
        <v>0</v>
      </c>
      <c r="F75" s="904">
        <v>0</v>
      </c>
      <c r="G75" s="904">
        <v>0</v>
      </c>
      <c r="H75" s="288">
        <v>0</v>
      </c>
      <c r="I75" s="288">
        <v>0</v>
      </c>
      <c r="J75" s="288">
        <v>0</v>
      </c>
      <c r="K75" s="288">
        <v>0</v>
      </c>
      <c r="L75" s="288">
        <v>0</v>
      </c>
      <c r="M75" s="288">
        <v>0</v>
      </c>
      <c r="N75" s="288">
        <v>0</v>
      </c>
      <c r="O75" s="288">
        <v>0</v>
      </c>
      <c r="P75" s="288">
        <v>0</v>
      </c>
      <c r="Q75" s="288">
        <v>0</v>
      </c>
      <c r="R75" s="288">
        <v>0</v>
      </c>
      <c r="S75" s="288">
        <v>0</v>
      </c>
      <c r="T75" s="288">
        <v>0</v>
      </c>
      <c r="U75" s="288">
        <v>0</v>
      </c>
      <c r="V75" s="288">
        <v>0</v>
      </c>
      <c r="W75" s="288">
        <v>0</v>
      </c>
      <c r="X75" s="288">
        <v>0</v>
      </c>
      <c r="Y75" s="288">
        <v>0</v>
      </c>
      <c r="Z75" s="288">
        <v>0</v>
      </c>
      <c r="AA75" s="288">
        <v>0</v>
      </c>
      <c r="AB75" s="288">
        <v>0</v>
      </c>
      <c r="AC75" s="288">
        <v>0</v>
      </c>
      <c r="AD75" s="288">
        <v>0</v>
      </c>
      <c r="AE75" s="288">
        <v>0</v>
      </c>
      <c r="AF75" s="669"/>
      <c r="AG75" s="715">
        <f t="shared" si="1"/>
        <v>0</v>
      </c>
    </row>
    <row r="76" spans="1:33" s="510" customFormat="1" ht="15.75" x14ac:dyDescent="0.25">
      <c r="A76" s="284" t="s">
        <v>221</v>
      </c>
      <c r="B76" s="383">
        <v>0</v>
      </c>
      <c r="C76" s="614">
        <v>0</v>
      </c>
      <c r="D76" s="383">
        <v>0</v>
      </c>
      <c r="E76" s="383">
        <v>0</v>
      </c>
      <c r="F76" s="904">
        <v>0</v>
      </c>
      <c r="G76" s="904">
        <v>0</v>
      </c>
      <c r="H76" s="288">
        <v>0</v>
      </c>
      <c r="I76" s="288">
        <v>0</v>
      </c>
      <c r="J76" s="288">
        <v>0</v>
      </c>
      <c r="K76" s="288">
        <v>0</v>
      </c>
      <c r="L76" s="288">
        <v>0</v>
      </c>
      <c r="M76" s="288">
        <v>0</v>
      </c>
      <c r="N76" s="288">
        <v>0</v>
      </c>
      <c r="O76" s="288">
        <v>0</v>
      </c>
      <c r="P76" s="288">
        <v>0</v>
      </c>
      <c r="Q76" s="288">
        <v>0</v>
      </c>
      <c r="R76" s="288">
        <v>0</v>
      </c>
      <c r="S76" s="288">
        <v>0</v>
      </c>
      <c r="T76" s="288">
        <v>0</v>
      </c>
      <c r="U76" s="288">
        <v>0</v>
      </c>
      <c r="V76" s="288">
        <v>0</v>
      </c>
      <c r="W76" s="288">
        <v>0</v>
      </c>
      <c r="X76" s="288">
        <v>0</v>
      </c>
      <c r="Y76" s="288">
        <v>0</v>
      </c>
      <c r="Z76" s="288">
        <v>0</v>
      </c>
      <c r="AA76" s="288">
        <v>0</v>
      </c>
      <c r="AB76" s="288">
        <v>0</v>
      </c>
      <c r="AC76" s="288">
        <v>0</v>
      </c>
      <c r="AD76" s="288">
        <v>0</v>
      </c>
      <c r="AE76" s="288">
        <v>0</v>
      </c>
      <c r="AF76" s="670"/>
      <c r="AG76" s="715">
        <f t="shared" si="1"/>
        <v>0</v>
      </c>
    </row>
    <row r="77" spans="1:33" s="510" customFormat="1" ht="15.75" customHeight="1" x14ac:dyDescent="0.25">
      <c r="A77" s="835" t="s">
        <v>442</v>
      </c>
      <c r="B77" s="662"/>
      <c r="C77" s="662"/>
      <c r="D77" s="662"/>
      <c r="E77" s="662"/>
      <c r="F77" s="662"/>
      <c r="G77" s="662"/>
      <c r="H77" s="662"/>
      <c r="I77" s="662"/>
      <c r="J77" s="662"/>
      <c r="K77" s="662"/>
      <c r="L77" s="662"/>
      <c r="M77" s="662"/>
      <c r="N77" s="662"/>
      <c r="O77" s="662"/>
      <c r="P77" s="662"/>
      <c r="Q77" s="662"/>
      <c r="R77" s="662"/>
      <c r="S77" s="662"/>
      <c r="T77" s="662"/>
      <c r="U77" s="662"/>
      <c r="V77" s="662"/>
      <c r="W77" s="662"/>
      <c r="X77" s="662"/>
      <c r="Y77" s="662"/>
      <c r="Z77" s="662"/>
      <c r="AA77" s="662"/>
      <c r="AB77" s="662"/>
      <c r="AC77" s="662"/>
      <c r="AD77" s="662"/>
      <c r="AE77" s="663"/>
      <c r="AF77" s="669"/>
      <c r="AG77" s="715">
        <f t="shared" si="1"/>
        <v>0</v>
      </c>
    </row>
    <row r="78" spans="1:33" s="510" customFormat="1" ht="15.75" customHeight="1" x14ac:dyDescent="0.25">
      <c r="A78" s="284" t="s">
        <v>31</v>
      </c>
      <c r="B78" s="285">
        <v>8022.7</v>
      </c>
      <c r="C78" s="285">
        <v>4003.0199999999995</v>
      </c>
      <c r="D78" s="285">
        <v>1789.62</v>
      </c>
      <c r="E78" s="615">
        <v>1789.62</v>
      </c>
      <c r="F78" s="285">
        <v>22.306954017973997</v>
      </c>
      <c r="G78" s="285">
        <v>44.706746406463125</v>
      </c>
      <c r="H78" s="285">
        <v>526.79999999999995</v>
      </c>
      <c r="I78" s="285">
        <v>248.69</v>
      </c>
      <c r="J78" s="285">
        <v>956.85</v>
      </c>
      <c r="K78" s="285">
        <v>457.34000000000003</v>
      </c>
      <c r="L78" s="285">
        <v>1234.31</v>
      </c>
      <c r="M78" s="285">
        <v>327.39999999999998</v>
      </c>
      <c r="N78" s="285">
        <v>774.46999999999991</v>
      </c>
      <c r="O78" s="285">
        <v>699.64</v>
      </c>
      <c r="P78" s="285">
        <v>510.59</v>
      </c>
      <c r="Q78" s="285">
        <v>56.55</v>
      </c>
      <c r="R78" s="285">
        <v>576.46</v>
      </c>
      <c r="S78" s="285">
        <v>0</v>
      </c>
      <c r="T78" s="285">
        <v>576.45000000000005</v>
      </c>
      <c r="U78" s="285">
        <v>0</v>
      </c>
      <c r="V78" s="285">
        <v>576.46</v>
      </c>
      <c r="W78" s="285">
        <v>0</v>
      </c>
      <c r="X78" s="285">
        <v>576.45000000000005</v>
      </c>
      <c r="Y78" s="285">
        <v>0</v>
      </c>
      <c r="Z78" s="285">
        <v>576.46</v>
      </c>
      <c r="AA78" s="285">
        <v>0</v>
      </c>
      <c r="AB78" s="285">
        <v>576.45000000000005</v>
      </c>
      <c r="AC78" s="285">
        <v>0</v>
      </c>
      <c r="AD78" s="285">
        <v>560.95000000000005</v>
      </c>
      <c r="AE78" s="285">
        <v>0</v>
      </c>
      <c r="AF78" s="664" t="s">
        <v>579</v>
      </c>
      <c r="AG78" s="715">
        <f t="shared" si="1"/>
        <v>2213.3999999999996</v>
      </c>
    </row>
    <row r="79" spans="1:33" s="510" customFormat="1" ht="15.75" x14ac:dyDescent="0.25">
      <c r="A79" s="382" t="s">
        <v>169</v>
      </c>
      <c r="B79" s="383">
        <v>0</v>
      </c>
      <c r="C79" s="614">
        <v>0</v>
      </c>
      <c r="D79" s="384">
        <v>0</v>
      </c>
      <c r="E79" s="384">
        <v>0</v>
      </c>
      <c r="F79" s="904">
        <v>0</v>
      </c>
      <c r="G79" s="904">
        <v>0</v>
      </c>
      <c r="H79" s="288">
        <v>0</v>
      </c>
      <c r="I79" s="288">
        <v>0</v>
      </c>
      <c r="J79" s="288">
        <v>0</v>
      </c>
      <c r="K79" s="288">
        <v>0</v>
      </c>
      <c r="L79" s="288">
        <v>0</v>
      </c>
      <c r="M79" s="288">
        <v>0</v>
      </c>
      <c r="N79" s="288">
        <v>0</v>
      </c>
      <c r="O79" s="288">
        <v>0</v>
      </c>
      <c r="P79" s="288">
        <v>0</v>
      </c>
      <c r="Q79" s="288">
        <v>0</v>
      </c>
      <c r="R79" s="288">
        <v>0</v>
      </c>
      <c r="S79" s="288">
        <v>0</v>
      </c>
      <c r="T79" s="288">
        <v>0</v>
      </c>
      <c r="U79" s="288">
        <v>0</v>
      </c>
      <c r="V79" s="288">
        <v>0</v>
      </c>
      <c r="W79" s="288">
        <v>0</v>
      </c>
      <c r="X79" s="288">
        <v>0</v>
      </c>
      <c r="Y79" s="288">
        <v>0</v>
      </c>
      <c r="Z79" s="288">
        <v>0</v>
      </c>
      <c r="AA79" s="288">
        <v>0</v>
      </c>
      <c r="AB79" s="288">
        <v>0</v>
      </c>
      <c r="AC79" s="288">
        <v>0</v>
      </c>
      <c r="AD79" s="288">
        <v>0</v>
      </c>
      <c r="AE79" s="288">
        <v>0</v>
      </c>
      <c r="AF79" s="665"/>
      <c r="AG79" s="715">
        <f t="shared" si="1"/>
        <v>0</v>
      </c>
    </row>
    <row r="80" spans="1:33" s="507" customFormat="1" ht="15.75" x14ac:dyDescent="0.25">
      <c r="A80" s="508" t="s">
        <v>32</v>
      </c>
      <c r="B80" s="606">
        <v>595.29999999999995</v>
      </c>
      <c r="C80" s="614">
        <v>595.29999999999995</v>
      </c>
      <c r="D80" s="607">
        <v>378.12</v>
      </c>
      <c r="E80" s="606">
        <v>378.12</v>
      </c>
      <c r="F80" s="607">
        <v>63.517554174365877</v>
      </c>
      <c r="G80" s="607">
        <v>63.517554174365877</v>
      </c>
      <c r="H80" s="607">
        <v>526.79999999999995</v>
      </c>
      <c r="I80" s="607">
        <v>248.69</v>
      </c>
      <c r="J80" s="607">
        <v>68.5</v>
      </c>
      <c r="K80" s="604">
        <v>129.43</v>
      </c>
      <c r="L80" s="609"/>
      <c r="M80" s="610"/>
      <c r="N80" s="609"/>
      <c r="O80" s="610"/>
      <c r="P80" s="609"/>
      <c r="Q80" s="610"/>
      <c r="R80" s="609"/>
      <c r="S80" s="610"/>
      <c r="T80" s="610"/>
      <c r="U80" s="610"/>
      <c r="V80" s="610"/>
      <c r="W80" s="610"/>
      <c r="X80" s="610"/>
      <c r="Y80" s="610"/>
      <c r="Z80" s="611"/>
      <c r="AA80" s="611"/>
      <c r="AB80" s="611"/>
      <c r="AC80" s="611"/>
      <c r="AD80" s="611"/>
      <c r="AE80" s="608"/>
      <c r="AF80" s="665"/>
      <c r="AG80" s="715">
        <f t="shared" si="1"/>
        <v>217.17999999999995</v>
      </c>
    </row>
    <row r="81" spans="1:33" s="507" customFormat="1" ht="15.75" x14ac:dyDescent="0.25">
      <c r="A81" s="508" t="s">
        <v>33</v>
      </c>
      <c r="B81" s="606">
        <v>7427.4</v>
      </c>
      <c r="C81" s="614">
        <v>3407.72</v>
      </c>
      <c r="D81" s="607">
        <v>1411.4999999999998</v>
      </c>
      <c r="E81" s="606">
        <v>1411.4999999999998</v>
      </c>
      <c r="F81" s="607">
        <v>19.003958316503756</v>
      </c>
      <c r="G81" s="607"/>
      <c r="H81" s="604"/>
      <c r="I81" s="604"/>
      <c r="J81" s="607">
        <v>888.35</v>
      </c>
      <c r="K81" s="604">
        <v>327.91</v>
      </c>
      <c r="L81" s="607">
        <v>1234.31</v>
      </c>
      <c r="M81" s="607">
        <v>327.39999999999998</v>
      </c>
      <c r="N81" s="607">
        <v>774.46999999999991</v>
      </c>
      <c r="O81" s="607">
        <v>699.64</v>
      </c>
      <c r="P81" s="607">
        <v>510.59</v>
      </c>
      <c r="Q81" s="607">
        <v>56.55</v>
      </c>
      <c r="R81" s="607">
        <v>576.46</v>
      </c>
      <c r="S81" s="607">
        <v>0</v>
      </c>
      <c r="T81" s="607">
        <v>576.45000000000005</v>
      </c>
      <c r="U81" s="607">
        <v>0</v>
      </c>
      <c r="V81" s="607">
        <v>576.46</v>
      </c>
      <c r="W81" s="607">
        <v>0</v>
      </c>
      <c r="X81" s="607">
        <v>576.45000000000005</v>
      </c>
      <c r="Y81" s="607">
        <v>0</v>
      </c>
      <c r="Z81" s="607">
        <v>576.46</v>
      </c>
      <c r="AA81" s="607">
        <v>0</v>
      </c>
      <c r="AB81" s="607">
        <v>576.45000000000005</v>
      </c>
      <c r="AC81" s="607">
        <v>0</v>
      </c>
      <c r="AD81" s="607">
        <v>560.95000000000005</v>
      </c>
      <c r="AE81" s="607">
        <v>0</v>
      </c>
      <c r="AF81" s="665"/>
      <c r="AG81" s="715">
        <f t="shared" si="1"/>
        <v>1996.22</v>
      </c>
    </row>
    <row r="82" spans="1:33" s="510" customFormat="1" ht="31.5" x14ac:dyDescent="0.25">
      <c r="A82" s="296" t="s">
        <v>174</v>
      </c>
      <c r="B82" s="383">
        <v>0</v>
      </c>
      <c r="C82" s="614">
        <v>0</v>
      </c>
      <c r="D82" s="384">
        <v>0</v>
      </c>
      <c r="E82" s="384">
        <v>0</v>
      </c>
      <c r="F82" s="904">
        <v>0</v>
      </c>
      <c r="G82" s="904">
        <v>0</v>
      </c>
      <c r="H82" s="288">
        <v>0</v>
      </c>
      <c r="I82" s="288">
        <v>0</v>
      </c>
      <c r="J82" s="288">
        <v>0</v>
      </c>
      <c r="K82" s="288">
        <v>0</v>
      </c>
      <c r="L82" s="288">
        <v>0</v>
      </c>
      <c r="M82" s="288">
        <v>0</v>
      </c>
      <c r="N82" s="288">
        <v>0</v>
      </c>
      <c r="O82" s="288">
        <v>0</v>
      </c>
      <c r="P82" s="288">
        <v>0</v>
      </c>
      <c r="Q82" s="288">
        <v>0</v>
      </c>
      <c r="R82" s="288">
        <v>0</v>
      </c>
      <c r="S82" s="288">
        <v>0</v>
      </c>
      <c r="T82" s="288">
        <v>0</v>
      </c>
      <c r="U82" s="288">
        <v>0</v>
      </c>
      <c r="V82" s="288">
        <v>0</v>
      </c>
      <c r="W82" s="288">
        <v>0</v>
      </c>
      <c r="X82" s="288">
        <v>0</v>
      </c>
      <c r="Y82" s="288">
        <v>0</v>
      </c>
      <c r="Z82" s="288">
        <v>0</v>
      </c>
      <c r="AA82" s="288">
        <v>0</v>
      </c>
      <c r="AB82" s="288">
        <v>0</v>
      </c>
      <c r="AC82" s="288">
        <v>0</v>
      </c>
      <c r="AD82" s="288">
        <v>0</v>
      </c>
      <c r="AE82" s="288">
        <v>0</v>
      </c>
      <c r="AF82" s="665"/>
      <c r="AG82" s="715">
        <f t="shared" si="1"/>
        <v>0</v>
      </c>
    </row>
    <row r="83" spans="1:33" s="510" customFormat="1" ht="15.75" x14ac:dyDescent="0.25">
      <c r="A83" s="284" t="s">
        <v>221</v>
      </c>
      <c r="B83" s="383">
        <v>0</v>
      </c>
      <c r="C83" s="614">
        <v>0</v>
      </c>
      <c r="D83" s="384">
        <v>0</v>
      </c>
      <c r="E83" s="384">
        <v>0</v>
      </c>
      <c r="F83" s="904">
        <v>0</v>
      </c>
      <c r="G83" s="904">
        <v>0</v>
      </c>
      <c r="H83" s="288">
        <v>0</v>
      </c>
      <c r="I83" s="288">
        <v>0</v>
      </c>
      <c r="J83" s="288">
        <v>0</v>
      </c>
      <c r="K83" s="288">
        <v>0</v>
      </c>
      <c r="L83" s="288">
        <v>0</v>
      </c>
      <c r="M83" s="288">
        <v>0</v>
      </c>
      <c r="N83" s="288">
        <v>0</v>
      </c>
      <c r="O83" s="288">
        <v>0</v>
      </c>
      <c r="P83" s="288">
        <v>0</v>
      </c>
      <c r="Q83" s="288">
        <v>0</v>
      </c>
      <c r="R83" s="288">
        <v>0</v>
      </c>
      <c r="S83" s="288">
        <v>0</v>
      </c>
      <c r="T83" s="288">
        <v>0</v>
      </c>
      <c r="U83" s="288">
        <v>0</v>
      </c>
      <c r="V83" s="288">
        <v>0</v>
      </c>
      <c r="W83" s="288">
        <v>0</v>
      </c>
      <c r="X83" s="288">
        <v>0</v>
      </c>
      <c r="Y83" s="288">
        <v>0</v>
      </c>
      <c r="Z83" s="288">
        <v>0</v>
      </c>
      <c r="AA83" s="288">
        <v>0</v>
      </c>
      <c r="AB83" s="288">
        <v>0</v>
      </c>
      <c r="AC83" s="288">
        <v>0</v>
      </c>
      <c r="AD83" s="288">
        <v>0</v>
      </c>
      <c r="AE83" s="288">
        <v>0</v>
      </c>
      <c r="AF83" s="831"/>
      <c r="AG83" s="715">
        <f t="shared" si="1"/>
        <v>0</v>
      </c>
    </row>
    <row r="84" spans="1:33" s="510" customFormat="1" ht="15.75" customHeight="1" x14ac:dyDescent="0.25">
      <c r="A84" s="835" t="s">
        <v>443</v>
      </c>
      <c r="B84" s="662"/>
      <c r="C84" s="662"/>
      <c r="D84" s="662"/>
      <c r="E84" s="662"/>
      <c r="F84" s="662"/>
      <c r="G84" s="662"/>
      <c r="H84" s="662"/>
      <c r="I84" s="662"/>
      <c r="J84" s="662"/>
      <c r="K84" s="662"/>
      <c r="L84" s="662"/>
      <c r="M84" s="662"/>
      <c r="N84" s="662"/>
      <c r="O84" s="662"/>
      <c r="P84" s="662"/>
      <c r="Q84" s="662"/>
      <c r="R84" s="662"/>
      <c r="S84" s="662"/>
      <c r="T84" s="662"/>
      <c r="U84" s="662"/>
      <c r="V84" s="662"/>
      <c r="W84" s="662"/>
      <c r="X84" s="662"/>
      <c r="Y84" s="662"/>
      <c r="Z84" s="662"/>
      <c r="AA84" s="662"/>
      <c r="AB84" s="662"/>
      <c r="AC84" s="662"/>
      <c r="AD84" s="662"/>
      <c r="AE84" s="663"/>
      <c r="AF84" s="665"/>
      <c r="AG84" s="715">
        <f t="shared" si="1"/>
        <v>0</v>
      </c>
    </row>
    <row r="85" spans="1:33" s="510" customFormat="1" ht="346.5" x14ac:dyDescent="0.25">
      <c r="A85" s="284" t="s">
        <v>31</v>
      </c>
      <c r="B85" s="285">
        <v>3922.77</v>
      </c>
      <c r="C85" s="285">
        <v>3922.77</v>
      </c>
      <c r="D85" s="285">
        <v>3922.73</v>
      </c>
      <c r="E85" s="615">
        <v>3922.73</v>
      </c>
      <c r="F85" s="285">
        <v>99.998980312381306</v>
      </c>
      <c r="G85" s="285">
        <v>99.998980312381306</v>
      </c>
      <c r="H85" s="285">
        <v>0</v>
      </c>
      <c r="I85" s="285">
        <v>0</v>
      </c>
      <c r="J85" s="285">
        <v>3592.47</v>
      </c>
      <c r="K85" s="285">
        <v>3460.92</v>
      </c>
      <c r="L85" s="285">
        <v>0</v>
      </c>
      <c r="M85" s="285">
        <v>0</v>
      </c>
      <c r="N85" s="285">
        <v>330.3</v>
      </c>
      <c r="O85" s="285">
        <v>461.81</v>
      </c>
      <c r="P85" s="285">
        <v>0</v>
      </c>
      <c r="Q85" s="285">
        <v>0</v>
      </c>
      <c r="R85" s="285">
        <v>0</v>
      </c>
      <c r="S85" s="285">
        <v>0</v>
      </c>
      <c r="T85" s="285">
        <v>0</v>
      </c>
      <c r="U85" s="285">
        <v>0</v>
      </c>
      <c r="V85" s="285">
        <v>0</v>
      </c>
      <c r="W85" s="285">
        <v>0</v>
      </c>
      <c r="X85" s="285">
        <v>0</v>
      </c>
      <c r="Y85" s="285">
        <v>0</v>
      </c>
      <c r="Z85" s="285">
        <v>0</v>
      </c>
      <c r="AA85" s="285">
        <v>0</v>
      </c>
      <c r="AB85" s="285">
        <v>0</v>
      </c>
      <c r="AC85" s="285">
        <v>0</v>
      </c>
      <c r="AD85" s="285">
        <v>0</v>
      </c>
      <c r="AE85" s="285">
        <v>0</v>
      </c>
      <c r="AF85" s="664" t="s">
        <v>580</v>
      </c>
      <c r="AG85" s="715">
        <f t="shared" si="1"/>
        <v>3.999999999996362E-2</v>
      </c>
    </row>
    <row r="86" spans="1:33" s="510" customFormat="1" ht="15.75" x14ac:dyDescent="0.25">
      <c r="A86" s="382" t="s">
        <v>169</v>
      </c>
      <c r="B86" s="383">
        <v>0</v>
      </c>
      <c r="C86" s="614">
        <v>0</v>
      </c>
      <c r="D86" s="383">
        <v>0</v>
      </c>
      <c r="E86" s="383">
        <v>0</v>
      </c>
      <c r="F86" s="904">
        <v>0</v>
      </c>
      <c r="G86" s="904">
        <v>0</v>
      </c>
      <c r="H86" s="288">
        <v>0</v>
      </c>
      <c r="I86" s="288">
        <v>0</v>
      </c>
      <c r="J86" s="288">
        <v>0</v>
      </c>
      <c r="K86" s="288">
        <v>0</v>
      </c>
      <c r="L86" s="288">
        <v>0</v>
      </c>
      <c r="M86" s="288">
        <v>0</v>
      </c>
      <c r="N86" s="288">
        <v>0</v>
      </c>
      <c r="O86" s="288">
        <v>0</v>
      </c>
      <c r="P86" s="288">
        <v>0</v>
      </c>
      <c r="Q86" s="288">
        <v>0</v>
      </c>
      <c r="R86" s="288">
        <v>0</v>
      </c>
      <c r="S86" s="288">
        <v>0</v>
      </c>
      <c r="T86" s="288">
        <v>0</v>
      </c>
      <c r="U86" s="288">
        <v>0</v>
      </c>
      <c r="V86" s="288">
        <v>0</v>
      </c>
      <c r="W86" s="288">
        <v>0</v>
      </c>
      <c r="X86" s="288">
        <v>0</v>
      </c>
      <c r="Y86" s="288">
        <v>0</v>
      </c>
      <c r="Z86" s="288">
        <v>0</v>
      </c>
      <c r="AA86" s="288">
        <v>0</v>
      </c>
      <c r="AB86" s="288">
        <v>0</v>
      </c>
      <c r="AC86" s="288">
        <v>0</v>
      </c>
      <c r="AD86" s="288">
        <v>0</v>
      </c>
      <c r="AE86" s="288">
        <v>0</v>
      </c>
      <c r="AF86" s="665"/>
      <c r="AG86" s="715">
        <f t="shared" si="1"/>
        <v>0</v>
      </c>
    </row>
    <row r="87" spans="1:33" s="510" customFormat="1" ht="15.75" x14ac:dyDescent="0.25">
      <c r="A87" s="284" t="s">
        <v>32</v>
      </c>
      <c r="B87" s="383">
        <v>0</v>
      </c>
      <c r="C87" s="614">
        <v>0</v>
      </c>
      <c r="D87" s="383">
        <v>0</v>
      </c>
      <c r="E87" s="383">
        <v>0</v>
      </c>
      <c r="F87" s="904">
        <v>0</v>
      </c>
      <c r="G87" s="904">
        <v>0</v>
      </c>
      <c r="H87" s="288">
        <v>0</v>
      </c>
      <c r="I87" s="288">
        <v>0</v>
      </c>
      <c r="J87" s="288">
        <v>0</v>
      </c>
      <c r="K87" s="288">
        <v>0</v>
      </c>
      <c r="L87" s="288">
        <v>0</v>
      </c>
      <c r="M87" s="288">
        <v>0</v>
      </c>
      <c r="N87" s="288">
        <v>0</v>
      </c>
      <c r="O87" s="288">
        <v>0</v>
      </c>
      <c r="P87" s="288">
        <v>0</v>
      </c>
      <c r="Q87" s="288">
        <v>0</v>
      </c>
      <c r="R87" s="288">
        <v>0</v>
      </c>
      <c r="S87" s="288">
        <v>0</v>
      </c>
      <c r="T87" s="288">
        <v>0</v>
      </c>
      <c r="U87" s="288">
        <v>0</v>
      </c>
      <c r="V87" s="288">
        <v>0</v>
      </c>
      <c r="W87" s="288">
        <v>0</v>
      </c>
      <c r="X87" s="288">
        <v>0</v>
      </c>
      <c r="Y87" s="288">
        <v>0</v>
      </c>
      <c r="Z87" s="288">
        <v>0</v>
      </c>
      <c r="AA87" s="288">
        <v>0</v>
      </c>
      <c r="AB87" s="288">
        <v>0</v>
      </c>
      <c r="AC87" s="288">
        <v>0</v>
      </c>
      <c r="AD87" s="288">
        <v>0</v>
      </c>
      <c r="AE87" s="288">
        <v>0</v>
      </c>
      <c r="AF87" s="665"/>
      <c r="AG87" s="715">
        <f t="shared" si="1"/>
        <v>0</v>
      </c>
    </row>
    <row r="88" spans="1:33" s="507" customFormat="1" ht="15.75" x14ac:dyDescent="0.25">
      <c r="A88" s="508" t="s">
        <v>33</v>
      </c>
      <c r="B88" s="606">
        <v>3922.77</v>
      </c>
      <c r="C88" s="614">
        <v>3922.77</v>
      </c>
      <c r="D88" s="604">
        <v>3922.73</v>
      </c>
      <c r="E88" s="604">
        <v>3922.73</v>
      </c>
      <c r="F88" s="905">
        <v>99.998980312381306</v>
      </c>
      <c r="G88" s="905">
        <v>99.998980312381306</v>
      </c>
      <c r="H88" s="288">
        <v>0</v>
      </c>
      <c r="I88" s="288">
        <v>0</v>
      </c>
      <c r="J88" s="607">
        <v>3592.47</v>
      </c>
      <c r="K88" s="604">
        <v>3460.92</v>
      </c>
      <c r="L88" s="604">
        <v>0</v>
      </c>
      <c r="M88" s="604">
        <v>0</v>
      </c>
      <c r="N88" s="604">
        <v>330.3</v>
      </c>
      <c r="O88" s="604">
        <v>461.81</v>
      </c>
      <c r="P88" s="604">
        <v>0</v>
      </c>
      <c r="Q88" s="604">
        <v>0</v>
      </c>
      <c r="R88" s="604">
        <v>0</v>
      </c>
      <c r="S88" s="604">
        <v>0</v>
      </c>
      <c r="T88" s="604">
        <v>0</v>
      </c>
      <c r="U88" s="604">
        <v>0</v>
      </c>
      <c r="V88" s="604">
        <v>0</v>
      </c>
      <c r="W88" s="604">
        <v>0</v>
      </c>
      <c r="X88" s="604">
        <v>0</v>
      </c>
      <c r="Y88" s="604">
        <v>0</v>
      </c>
      <c r="Z88" s="604">
        <v>0</v>
      </c>
      <c r="AA88" s="604">
        <v>0</v>
      </c>
      <c r="AB88" s="604">
        <v>0</v>
      </c>
      <c r="AC88" s="604">
        <v>0</v>
      </c>
      <c r="AD88" s="604">
        <v>0</v>
      </c>
      <c r="AE88" s="604">
        <v>0</v>
      </c>
      <c r="AF88" s="665"/>
      <c r="AG88" s="715">
        <f t="shared" si="1"/>
        <v>3.999999999996362E-2</v>
      </c>
    </row>
    <row r="89" spans="1:33" s="510" customFormat="1" ht="31.5" x14ac:dyDescent="0.25">
      <c r="A89" s="296" t="s">
        <v>174</v>
      </c>
      <c r="B89" s="383">
        <v>0</v>
      </c>
      <c r="C89" s="614">
        <v>0</v>
      </c>
      <c r="D89" s="383">
        <v>0</v>
      </c>
      <c r="E89" s="383">
        <v>0</v>
      </c>
      <c r="F89" s="904">
        <v>0</v>
      </c>
      <c r="G89" s="904">
        <v>0</v>
      </c>
      <c r="H89" s="288">
        <v>0</v>
      </c>
      <c r="I89" s="288">
        <v>0</v>
      </c>
      <c r="J89" s="288">
        <v>0</v>
      </c>
      <c r="K89" s="288">
        <v>0</v>
      </c>
      <c r="L89" s="288">
        <v>0</v>
      </c>
      <c r="M89" s="288">
        <v>0</v>
      </c>
      <c r="N89" s="288">
        <v>0</v>
      </c>
      <c r="O89" s="288">
        <v>0</v>
      </c>
      <c r="P89" s="288">
        <v>0</v>
      </c>
      <c r="Q89" s="288">
        <v>0</v>
      </c>
      <c r="R89" s="288">
        <v>0</v>
      </c>
      <c r="S89" s="288">
        <v>0</v>
      </c>
      <c r="T89" s="288">
        <v>0</v>
      </c>
      <c r="U89" s="288">
        <v>0</v>
      </c>
      <c r="V89" s="288">
        <v>0</v>
      </c>
      <c r="W89" s="288">
        <v>0</v>
      </c>
      <c r="X89" s="288">
        <v>0</v>
      </c>
      <c r="Y89" s="288">
        <v>0</v>
      </c>
      <c r="Z89" s="288">
        <v>0</v>
      </c>
      <c r="AA89" s="288">
        <v>0</v>
      </c>
      <c r="AB89" s="288">
        <v>0</v>
      </c>
      <c r="AC89" s="288">
        <v>0</v>
      </c>
      <c r="AD89" s="288">
        <v>0</v>
      </c>
      <c r="AE89" s="288">
        <v>0</v>
      </c>
      <c r="AF89" s="665"/>
      <c r="AG89" s="715">
        <f t="shared" si="1"/>
        <v>0</v>
      </c>
    </row>
    <row r="90" spans="1:33" s="510" customFormat="1" ht="15.75" x14ac:dyDescent="0.25">
      <c r="A90" s="284" t="s">
        <v>221</v>
      </c>
      <c r="B90" s="383">
        <v>0</v>
      </c>
      <c r="C90" s="614">
        <v>0</v>
      </c>
      <c r="D90" s="383">
        <v>0</v>
      </c>
      <c r="E90" s="383">
        <v>0</v>
      </c>
      <c r="F90" s="904">
        <v>0</v>
      </c>
      <c r="G90" s="904">
        <v>0</v>
      </c>
      <c r="H90" s="288">
        <v>0</v>
      </c>
      <c r="I90" s="288">
        <v>0</v>
      </c>
      <c r="J90" s="288">
        <v>0</v>
      </c>
      <c r="K90" s="288">
        <v>0</v>
      </c>
      <c r="L90" s="288">
        <v>0</v>
      </c>
      <c r="M90" s="288">
        <v>0</v>
      </c>
      <c r="N90" s="288">
        <v>0</v>
      </c>
      <c r="O90" s="288">
        <v>0</v>
      </c>
      <c r="P90" s="288">
        <v>0</v>
      </c>
      <c r="Q90" s="288">
        <v>0</v>
      </c>
      <c r="R90" s="288">
        <v>0</v>
      </c>
      <c r="S90" s="288">
        <v>0</v>
      </c>
      <c r="T90" s="288">
        <v>0</v>
      </c>
      <c r="U90" s="288">
        <v>0</v>
      </c>
      <c r="V90" s="288">
        <v>0</v>
      </c>
      <c r="W90" s="288">
        <v>0</v>
      </c>
      <c r="X90" s="288">
        <v>0</v>
      </c>
      <c r="Y90" s="288">
        <v>0</v>
      </c>
      <c r="Z90" s="288">
        <v>0</v>
      </c>
      <c r="AA90" s="288">
        <v>0</v>
      </c>
      <c r="AB90" s="288">
        <v>0</v>
      </c>
      <c r="AC90" s="288">
        <v>0</v>
      </c>
      <c r="AD90" s="288">
        <v>0</v>
      </c>
      <c r="AE90" s="288">
        <v>0</v>
      </c>
      <c r="AF90" s="831"/>
      <c r="AG90" s="715">
        <f t="shared" si="1"/>
        <v>0</v>
      </c>
    </row>
    <row r="91" spans="1:33" s="510" customFormat="1" ht="15.75" customHeight="1" x14ac:dyDescent="0.25">
      <c r="A91" s="835" t="s">
        <v>444</v>
      </c>
      <c r="B91" s="662"/>
      <c r="C91" s="662"/>
      <c r="D91" s="662"/>
      <c r="E91" s="662"/>
      <c r="F91" s="662"/>
      <c r="G91" s="662"/>
      <c r="H91" s="662"/>
      <c r="I91" s="662"/>
      <c r="J91" s="662"/>
      <c r="K91" s="662"/>
      <c r="L91" s="662"/>
      <c r="M91" s="662"/>
      <c r="N91" s="662"/>
      <c r="O91" s="662"/>
      <c r="P91" s="662"/>
      <c r="Q91" s="662"/>
      <c r="R91" s="662"/>
      <c r="S91" s="662"/>
      <c r="T91" s="662"/>
      <c r="U91" s="662"/>
      <c r="V91" s="662"/>
      <c r="W91" s="662"/>
      <c r="X91" s="662"/>
      <c r="Y91" s="662"/>
      <c r="Z91" s="662"/>
      <c r="AA91" s="662"/>
      <c r="AB91" s="662"/>
      <c r="AC91" s="662"/>
      <c r="AD91" s="662"/>
      <c r="AE91" s="663"/>
      <c r="AF91" s="386"/>
      <c r="AG91" s="715">
        <f t="shared" si="1"/>
        <v>0</v>
      </c>
    </row>
    <row r="92" spans="1:33" s="510" customFormat="1" ht="252" x14ac:dyDescent="0.25">
      <c r="A92" s="387" t="s">
        <v>445</v>
      </c>
      <c r="B92" s="383">
        <v>6871.9</v>
      </c>
      <c r="C92" s="383">
        <v>0</v>
      </c>
      <c r="D92" s="383">
        <v>0</v>
      </c>
      <c r="E92" s="383">
        <v>0</v>
      </c>
      <c r="F92" s="285">
        <v>0</v>
      </c>
      <c r="G92" s="285">
        <v>0</v>
      </c>
      <c r="H92" s="388">
        <v>0</v>
      </c>
      <c r="I92" s="388">
        <v>0</v>
      </c>
      <c r="J92" s="388">
        <v>0</v>
      </c>
      <c r="K92" s="388">
        <v>0</v>
      </c>
      <c r="L92" s="388">
        <v>0</v>
      </c>
      <c r="M92" s="388">
        <v>0</v>
      </c>
      <c r="N92" s="388">
        <v>0</v>
      </c>
      <c r="O92" s="388">
        <v>0</v>
      </c>
      <c r="P92" s="388">
        <v>0</v>
      </c>
      <c r="Q92" s="388">
        <v>0</v>
      </c>
      <c r="R92" s="388">
        <v>0</v>
      </c>
      <c r="S92" s="388">
        <v>0</v>
      </c>
      <c r="T92" s="388">
        <v>0</v>
      </c>
      <c r="U92" s="388">
        <v>0</v>
      </c>
      <c r="V92" s="388">
        <v>0</v>
      </c>
      <c r="W92" s="388">
        <v>0</v>
      </c>
      <c r="X92" s="388">
        <v>0</v>
      </c>
      <c r="Y92" s="388">
        <v>0</v>
      </c>
      <c r="Z92" s="388">
        <v>6871.9</v>
      </c>
      <c r="AA92" s="388">
        <v>0</v>
      </c>
      <c r="AB92" s="388">
        <v>0</v>
      </c>
      <c r="AC92" s="388">
        <v>0</v>
      </c>
      <c r="AD92" s="388">
        <v>0</v>
      </c>
      <c r="AE92" s="388">
        <v>0</v>
      </c>
      <c r="AF92" s="893" t="s">
        <v>546</v>
      </c>
      <c r="AG92" s="715">
        <f t="shared" si="1"/>
        <v>0</v>
      </c>
    </row>
    <row r="93" spans="1:33" s="510" customFormat="1" ht="15.75" x14ac:dyDescent="0.25">
      <c r="A93" s="382" t="s">
        <v>169</v>
      </c>
      <c r="B93" s="383">
        <v>0</v>
      </c>
      <c r="C93" s="614">
        <v>0</v>
      </c>
      <c r="D93" s="384">
        <v>0</v>
      </c>
      <c r="E93" s="384">
        <v>0</v>
      </c>
      <c r="F93" s="904">
        <v>0</v>
      </c>
      <c r="G93" s="904">
        <v>0</v>
      </c>
      <c r="H93" s="288">
        <v>0</v>
      </c>
      <c r="I93" s="288">
        <v>0</v>
      </c>
      <c r="J93" s="288">
        <v>0</v>
      </c>
      <c r="K93" s="288">
        <v>0</v>
      </c>
      <c r="L93" s="288">
        <v>0</v>
      </c>
      <c r="M93" s="288">
        <v>0</v>
      </c>
      <c r="N93" s="288">
        <v>0</v>
      </c>
      <c r="O93" s="288">
        <v>0</v>
      </c>
      <c r="P93" s="288">
        <v>0</v>
      </c>
      <c r="Q93" s="288">
        <v>0</v>
      </c>
      <c r="R93" s="288">
        <v>0</v>
      </c>
      <c r="S93" s="288">
        <v>0</v>
      </c>
      <c r="T93" s="288">
        <v>0</v>
      </c>
      <c r="U93" s="288">
        <v>0</v>
      </c>
      <c r="V93" s="288">
        <v>0</v>
      </c>
      <c r="W93" s="288">
        <v>0</v>
      </c>
      <c r="X93" s="288">
        <v>0</v>
      </c>
      <c r="Y93" s="288">
        <v>0</v>
      </c>
      <c r="Z93" s="288">
        <v>0</v>
      </c>
      <c r="AA93" s="288">
        <v>0</v>
      </c>
      <c r="AB93" s="288">
        <v>0</v>
      </c>
      <c r="AC93" s="288">
        <v>0</v>
      </c>
      <c r="AD93" s="288">
        <v>0</v>
      </c>
      <c r="AE93" s="288">
        <v>0</v>
      </c>
      <c r="AF93" s="666"/>
      <c r="AG93" s="715">
        <f t="shared" si="1"/>
        <v>0</v>
      </c>
    </row>
    <row r="94" spans="1:33" s="510" customFormat="1" ht="15.75" x14ac:dyDescent="0.25">
      <c r="A94" s="284" t="s">
        <v>32</v>
      </c>
      <c r="B94" s="383">
        <v>0</v>
      </c>
      <c r="C94" s="614">
        <v>0</v>
      </c>
      <c r="D94" s="384">
        <v>0</v>
      </c>
      <c r="E94" s="384">
        <v>0</v>
      </c>
      <c r="F94" s="904">
        <v>0</v>
      </c>
      <c r="G94" s="904">
        <v>0</v>
      </c>
      <c r="H94" s="288">
        <v>0</v>
      </c>
      <c r="I94" s="288">
        <v>0</v>
      </c>
      <c r="J94" s="288">
        <v>0</v>
      </c>
      <c r="K94" s="288">
        <v>0</v>
      </c>
      <c r="L94" s="288">
        <v>0</v>
      </c>
      <c r="M94" s="288">
        <v>0</v>
      </c>
      <c r="N94" s="288">
        <v>0</v>
      </c>
      <c r="O94" s="288">
        <v>0</v>
      </c>
      <c r="P94" s="288">
        <v>0</v>
      </c>
      <c r="Q94" s="288">
        <v>0</v>
      </c>
      <c r="R94" s="288">
        <v>0</v>
      </c>
      <c r="S94" s="288">
        <v>0</v>
      </c>
      <c r="T94" s="288">
        <v>0</v>
      </c>
      <c r="U94" s="288">
        <v>0</v>
      </c>
      <c r="V94" s="288">
        <v>0</v>
      </c>
      <c r="W94" s="288">
        <v>0</v>
      </c>
      <c r="X94" s="288">
        <v>0</v>
      </c>
      <c r="Y94" s="288">
        <v>0</v>
      </c>
      <c r="Z94" s="288">
        <v>0</v>
      </c>
      <c r="AA94" s="288">
        <v>0</v>
      </c>
      <c r="AB94" s="288">
        <v>0</v>
      </c>
      <c r="AC94" s="288">
        <v>0</v>
      </c>
      <c r="AD94" s="288">
        <v>0</v>
      </c>
      <c r="AE94" s="288">
        <v>0</v>
      </c>
      <c r="AF94" s="666"/>
      <c r="AG94" s="715">
        <f t="shared" si="1"/>
        <v>0</v>
      </c>
    </row>
    <row r="95" spans="1:33" s="507" customFormat="1" ht="15.75" x14ac:dyDescent="0.25">
      <c r="A95" s="508" t="s">
        <v>33</v>
      </c>
      <c r="B95" s="606">
        <v>6871.9</v>
      </c>
      <c r="C95" s="614">
        <v>0</v>
      </c>
      <c r="D95" s="605">
        <v>0</v>
      </c>
      <c r="E95" s="605">
        <v>0</v>
      </c>
      <c r="F95" s="612">
        <v>0</v>
      </c>
      <c r="G95" s="906" t="e">
        <v>#DIV/0!</v>
      </c>
      <c r="H95" s="604"/>
      <c r="I95" s="604"/>
      <c r="J95" s="604"/>
      <c r="K95" s="604"/>
      <c r="L95" s="604">
        <v>0</v>
      </c>
      <c r="M95" s="604">
        <v>0</v>
      </c>
      <c r="N95" s="604">
        <v>0</v>
      </c>
      <c r="O95" s="604">
        <v>0</v>
      </c>
      <c r="P95" s="604">
        <v>0</v>
      </c>
      <c r="Q95" s="604">
        <v>0</v>
      </c>
      <c r="R95" s="604">
        <v>0</v>
      </c>
      <c r="S95" s="604">
        <v>0</v>
      </c>
      <c r="T95" s="604">
        <v>0</v>
      </c>
      <c r="U95" s="604">
        <v>0</v>
      </c>
      <c r="V95" s="604">
        <v>0</v>
      </c>
      <c r="W95" s="604">
        <v>0</v>
      </c>
      <c r="X95" s="604">
        <v>0</v>
      </c>
      <c r="Y95" s="604">
        <v>0</v>
      </c>
      <c r="Z95" s="604">
        <v>6871.9</v>
      </c>
      <c r="AA95" s="604">
        <v>0</v>
      </c>
      <c r="AB95" s="604">
        <v>0</v>
      </c>
      <c r="AC95" s="604">
        <v>0</v>
      </c>
      <c r="AD95" s="604">
        <v>0</v>
      </c>
      <c r="AE95" s="604">
        <v>0</v>
      </c>
      <c r="AF95" s="666"/>
      <c r="AG95" s="715">
        <f t="shared" si="1"/>
        <v>0</v>
      </c>
    </row>
    <row r="96" spans="1:33" s="510" customFormat="1" ht="31.5" x14ac:dyDescent="0.25">
      <c r="A96" s="296" t="s">
        <v>174</v>
      </c>
      <c r="B96" s="383">
        <v>0</v>
      </c>
      <c r="C96" s="614">
        <v>0</v>
      </c>
      <c r="D96" s="384">
        <v>0</v>
      </c>
      <c r="E96" s="384">
        <v>0</v>
      </c>
      <c r="F96" s="904">
        <v>0</v>
      </c>
      <c r="G96" s="904">
        <v>0</v>
      </c>
      <c r="H96" s="288">
        <v>0</v>
      </c>
      <c r="I96" s="288">
        <v>0</v>
      </c>
      <c r="J96" s="288">
        <v>0</v>
      </c>
      <c r="K96" s="288">
        <v>0</v>
      </c>
      <c r="L96" s="288">
        <v>0</v>
      </c>
      <c r="M96" s="288">
        <v>0</v>
      </c>
      <c r="N96" s="288">
        <v>0</v>
      </c>
      <c r="O96" s="288">
        <v>0</v>
      </c>
      <c r="P96" s="288">
        <v>0</v>
      </c>
      <c r="Q96" s="288">
        <v>0</v>
      </c>
      <c r="R96" s="288">
        <v>0</v>
      </c>
      <c r="S96" s="288">
        <v>0</v>
      </c>
      <c r="T96" s="288">
        <v>0</v>
      </c>
      <c r="U96" s="288">
        <v>0</v>
      </c>
      <c r="V96" s="288">
        <v>0</v>
      </c>
      <c r="W96" s="288">
        <v>0</v>
      </c>
      <c r="X96" s="288">
        <v>0</v>
      </c>
      <c r="Y96" s="288">
        <v>0</v>
      </c>
      <c r="Z96" s="288">
        <v>0</v>
      </c>
      <c r="AA96" s="288">
        <v>0</v>
      </c>
      <c r="AB96" s="288">
        <v>0</v>
      </c>
      <c r="AC96" s="288">
        <v>0</v>
      </c>
      <c r="AD96" s="288">
        <v>0</v>
      </c>
      <c r="AE96" s="288">
        <v>0</v>
      </c>
      <c r="AF96" s="666"/>
      <c r="AG96" s="715">
        <f t="shared" si="1"/>
        <v>0</v>
      </c>
    </row>
    <row r="97" spans="1:33" s="510" customFormat="1" ht="15.75" x14ac:dyDescent="0.25">
      <c r="A97" s="284" t="s">
        <v>221</v>
      </c>
      <c r="B97" s="383">
        <v>0</v>
      </c>
      <c r="C97" s="614">
        <v>0</v>
      </c>
      <c r="D97" s="384">
        <v>0</v>
      </c>
      <c r="E97" s="384">
        <v>0</v>
      </c>
      <c r="F97" s="904">
        <v>0</v>
      </c>
      <c r="G97" s="904">
        <v>0</v>
      </c>
      <c r="H97" s="288">
        <v>0</v>
      </c>
      <c r="I97" s="288">
        <v>0</v>
      </c>
      <c r="J97" s="288">
        <v>0</v>
      </c>
      <c r="K97" s="288">
        <v>0</v>
      </c>
      <c r="L97" s="288">
        <v>0</v>
      </c>
      <c r="M97" s="288">
        <v>0</v>
      </c>
      <c r="N97" s="288">
        <v>0</v>
      </c>
      <c r="O97" s="288">
        <v>0</v>
      </c>
      <c r="P97" s="288">
        <v>0</v>
      </c>
      <c r="Q97" s="288">
        <v>0</v>
      </c>
      <c r="R97" s="288">
        <v>0</v>
      </c>
      <c r="S97" s="288">
        <v>0</v>
      </c>
      <c r="T97" s="288">
        <v>0</v>
      </c>
      <c r="U97" s="288">
        <v>0</v>
      </c>
      <c r="V97" s="288">
        <v>0</v>
      </c>
      <c r="W97" s="288">
        <v>0</v>
      </c>
      <c r="X97" s="288">
        <v>0</v>
      </c>
      <c r="Y97" s="288">
        <v>0</v>
      </c>
      <c r="Z97" s="288">
        <v>0</v>
      </c>
      <c r="AA97" s="288">
        <v>0</v>
      </c>
      <c r="AB97" s="288">
        <v>0</v>
      </c>
      <c r="AC97" s="288">
        <v>0</v>
      </c>
      <c r="AD97" s="288">
        <v>0</v>
      </c>
      <c r="AE97" s="288">
        <v>0</v>
      </c>
      <c r="AF97" s="667"/>
      <c r="AG97" s="715">
        <f t="shared" si="1"/>
        <v>0</v>
      </c>
    </row>
    <row r="98" spans="1:33" s="510" customFormat="1" ht="15.75" x14ac:dyDescent="0.25">
      <c r="A98" s="389" t="s">
        <v>63</v>
      </c>
      <c r="B98" s="282">
        <v>226191.18</v>
      </c>
      <c r="C98" s="282">
        <v>108033.60999999999</v>
      </c>
      <c r="D98" s="282">
        <v>88667.028999999995</v>
      </c>
      <c r="E98" s="282">
        <v>88667.028999999995</v>
      </c>
      <c r="F98" s="282">
        <v>39.20003821546004</v>
      </c>
      <c r="G98" s="282">
        <v>82.073559330286201</v>
      </c>
      <c r="H98" s="282">
        <v>11190.23</v>
      </c>
      <c r="I98" s="282">
        <v>6245.2199999999993</v>
      </c>
      <c r="J98" s="282">
        <v>27861.269999999997</v>
      </c>
      <c r="K98" s="282">
        <v>24733.738999999994</v>
      </c>
      <c r="L98" s="282">
        <v>27336.820000000003</v>
      </c>
      <c r="M98" s="282">
        <v>22894.920000000002</v>
      </c>
      <c r="N98" s="282">
        <v>25838.53</v>
      </c>
      <c r="O98" s="282">
        <v>22247.9</v>
      </c>
      <c r="P98" s="282">
        <v>15806.76</v>
      </c>
      <c r="Q98" s="282">
        <v>12545.25</v>
      </c>
      <c r="R98" s="282">
        <v>15383.699999999997</v>
      </c>
      <c r="S98" s="282">
        <v>0</v>
      </c>
      <c r="T98" s="282">
        <v>10834.150000000001</v>
      </c>
      <c r="U98" s="282">
        <v>0</v>
      </c>
      <c r="V98" s="282">
        <v>11543.419999999998</v>
      </c>
      <c r="W98" s="282">
        <v>0</v>
      </c>
      <c r="X98" s="282">
        <v>10463.460000000001</v>
      </c>
      <c r="Y98" s="282">
        <v>0</v>
      </c>
      <c r="Z98" s="282">
        <v>34858.969999999994</v>
      </c>
      <c r="AA98" s="282">
        <v>0</v>
      </c>
      <c r="AB98" s="282">
        <v>22038.080000000002</v>
      </c>
      <c r="AC98" s="282">
        <v>0</v>
      </c>
      <c r="AD98" s="282">
        <v>13035.79</v>
      </c>
      <c r="AE98" s="282">
        <v>0</v>
      </c>
      <c r="AF98" s="659"/>
      <c r="AG98" s="715">
        <f t="shared" si="1"/>
        <v>19366.580999999991</v>
      </c>
    </row>
    <row r="99" spans="1:33" s="510" customFormat="1" ht="15.75" x14ac:dyDescent="0.25">
      <c r="A99" s="382" t="s">
        <v>169</v>
      </c>
      <c r="B99" s="285">
        <v>0</v>
      </c>
      <c r="C99" s="285">
        <v>0</v>
      </c>
      <c r="D99" s="285">
        <v>0</v>
      </c>
      <c r="E99" s="285">
        <v>0</v>
      </c>
      <c r="F99" s="390">
        <v>0</v>
      </c>
      <c r="G99" s="285">
        <v>0</v>
      </c>
      <c r="H99" s="285">
        <v>0</v>
      </c>
      <c r="I99" s="285">
        <v>0</v>
      </c>
      <c r="J99" s="285">
        <v>0</v>
      </c>
      <c r="K99" s="285">
        <v>0</v>
      </c>
      <c r="L99" s="285">
        <v>0</v>
      </c>
      <c r="M99" s="285">
        <v>0</v>
      </c>
      <c r="N99" s="285">
        <v>0</v>
      </c>
      <c r="O99" s="285">
        <v>0</v>
      </c>
      <c r="P99" s="285">
        <v>0</v>
      </c>
      <c r="Q99" s="285">
        <v>0</v>
      </c>
      <c r="R99" s="285">
        <v>0</v>
      </c>
      <c r="S99" s="285">
        <v>0</v>
      </c>
      <c r="T99" s="285">
        <v>0</v>
      </c>
      <c r="U99" s="285">
        <v>0</v>
      </c>
      <c r="V99" s="285">
        <v>0</v>
      </c>
      <c r="W99" s="285">
        <v>0</v>
      </c>
      <c r="X99" s="285">
        <v>0</v>
      </c>
      <c r="Y99" s="285">
        <v>0</v>
      </c>
      <c r="Z99" s="285">
        <v>0</v>
      </c>
      <c r="AA99" s="285">
        <v>0</v>
      </c>
      <c r="AB99" s="285">
        <v>0</v>
      </c>
      <c r="AC99" s="285">
        <v>0</v>
      </c>
      <c r="AD99" s="285">
        <v>0</v>
      </c>
      <c r="AE99" s="285">
        <v>0</v>
      </c>
      <c r="AF99" s="660"/>
      <c r="AG99" s="715">
        <f t="shared" si="1"/>
        <v>0</v>
      </c>
    </row>
    <row r="100" spans="1:33" s="510" customFormat="1" ht="15.75" x14ac:dyDescent="0.25">
      <c r="A100" s="303" t="s">
        <v>32</v>
      </c>
      <c r="B100" s="285">
        <v>1587.5</v>
      </c>
      <c r="C100" s="285">
        <v>595.29999999999995</v>
      </c>
      <c r="D100" s="285">
        <v>378.12</v>
      </c>
      <c r="E100" s="285">
        <v>378.12</v>
      </c>
      <c r="F100" s="390">
        <v>23.818582677165352</v>
      </c>
      <c r="G100" s="285">
        <v>63.517554174365877</v>
      </c>
      <c r="H100" s="285">
        <v>526.79999999999995</v>
      </c>
      <c r="I100" s="285">
        <v>248.69</v>
      </c>
      <c r="J100" s="285">
        <v>68.5</v>
      </c>
      <c r="K100" s="285">
        <v>129.43</v>
      </c>
      <c r="L100" s="285">
        <v>0</v>
      </c>
      <c r="M100" s="285">
        <v>0</v>
      </c>
      <c r="N100" s="285">
        <v>0</v>
      </c>
      <c r="O100" s="285">
        <v>0</v>
      </c>
      <c r="P100" s="285">
        <v>0</v>
      </c>
      <c r="Q100" s="285">
        <v>0</v>
      </c>
      <c r="R100" s="285">
        <v>0</v>
      </c>
      <c r="S100" s="285">
        <v>0</v>
      </c>
      <c r="T100" s="285">
        <v>0</v>
      </c>
      <c r="U100" s="285">
        <v>0</v>
      </c>
      <c r="V100" s="285">
        <v>0</v>
      </c>
      <c r="W100" s="285">
        <v>0</v>
      </c>
      <c r="X100" s="285">
        <v>0</v>
      </c>
      <c r="Y100" s="285">
        <v>0</v>
      </c>
      <c r="Z100" s="285">
        <v>992.2</v>
      </c>
      <c r="AA100" s="285">
        <v>0</v>
      </c>
      <c r="AB100" s="285">
        <v>0</v>
      </c>
      <c r="AC100" s="285">
        <v>0</v>
      </c>
      <c r="AD100" s="285">
        <v>0</v>
      </c>
      <c r="AE100" s="285">
        <v>0</v>
      </c>
      <c r="AF100" s="660"/>
      <c r="AG100" s="715">
        <f t="shared" si="1"/>
        <v>217.17999999999995</v>
      </c>
    </row>
    <row r="101" spans="1:33" s="510" customFormat="1" ht="15.75" x14ac:dyDescent="0.25">
      <c r="A101" s="303" t="s">
        <v>33</v>
      </c>
      <c r="B101" s="285">
        <v>224603.68</v>
      </c>
      <c r="C101" s="285">
        <v>107438.30999999998</v>
      </c>
      <c r="D101" s="285">
        <v>88288.909</v>
      </c>
      <c r="E101" s="285">
        <v>88288.909</v>
      </c>
      <c r="F101" s="390">
        <v>39.308754424682625</v>
      </c>
      <c r="G101" s="285">
        <v>82.176375447454461</v>
      </c>
      <c r="H101" s="285">
        <v>10663.43</v>
      </c>
      <c r="I101" s="285">
        <v>5996.53</v>
      </c>
      <c r="J101" s="285">
        <v>27792.769999999997</v>
      </c>
      <c r="K101" s="285">
        <v>24604.308999999994</v>
      </c>
      <c r="L101" s="285">
        <v>27336.820000000003</v>
      </c>
      <c r="M101" s="285">
        <v>22894.920000000002</v>
      </c>
      <c r="N101" s="285">
        <v>25838.53</v>
      </c>
      <c r="O101" s="285">
        <v>22247.9</v>
      </c>
      <c r="P101" s="285">
        <v>15806.76</v>
      </c>
      <c r="Q101" s="285">
        <v>12545.25</v>
      </c>
      <c r="R101" s="285">
        <v>15383.699999999997</v>
      </c>
      <c r="S101" s="285">
        <v>0</v>
      </c>
      <c r="T101" s="285">
        <v>10834.150000000001</v>
      </c>
      <c r="U101" s="285">
        <v>0</v>
      </c>
      <c r="V101" s="285">
        <v>11543.419999999998</v>
      </c>
      <c r="W101" s="285">
        <v>0</v>
      </c>
      <c r="X101" s="285">
        <v>10463.460000000001</v>
      </c>
      <c r="Y101" s="285">
        <v>0</v>
      </c>
      <c r="Z101" s="285">
        <v>33866.769999999997</v>
      </c>
      <c r="AA101" s="285">
        <v>0</v>
      </c>
      <c r="AB101" s="285">
        <v>22038.080000000002</v>
      </c>
      <c r="AC101" s="285">
        <v>0</v>
      </c>
      <c r="AD101" s="285">
        <v>13035.79</v>
      </c>
      <c r="AE101" s="285">
        <v>0</v>
      </c>
      <c r="AF101" s="660"/>
      <c r="AG101" s="715">
        <f t="shared" si="1"/>
        <v>19149.400999999983</v>
      </c>
    </row>
    <row r="102" spans="1:33" s="510" customFormat="1" ht="31.5" x14ac:dyDescent="0.25">
      <c r="A102" s="296" t="s">
        <v>174</v>
      </c>
      <c r="B102" s="285">
        <v>0</v>
      </c>
      <c r="C102" s="285">
        <v>0</v>
      </c>
      <c r="D102" s="285">
        <v>0</v>
      </c>
      <c r="E102" s="285">
        <v>0</v>
      </c>
      <c r="F102" s="390">
        <v>0</v>
      </c>
      <c r="G102" s="285">
        <v>0</v>
      </c>
      <c r="H102" s="285">
        <v>0</v>
      </c>
      <c r="I102" s="285">
        <v>0</v>
      </c>
      <c r="J102" s="285">
        <v>0</v>
      </c>
      <c r="K102" s="285">
        <v>0</v>
      </c>
      <c r="L102" s="285">
        <v>0</v>
      </c>
      <c r="M102" s="285">
        <v>0</v>
      </c>
      <c r="N102" s="285">
        <v>0</v>
      </c>
      <c r="O102" s="285">
        <v>0</v>
      </c>
      <c r="P102" s="285">
        <v>0</v>
      </c>
      <c r="Q102" s="285">
        <v>0</v>
      </c>
      <c r="R102" s="285">
        <v>0</v>
      </c>
      <c r="S102" s="285">
        <v>0</v>
      </c>
      <c r="T102" s="285">
        <v>0</v>
      </c>
      <c r="U102" s="285">
        <v>0</v>
      </c>
      <c r="V102" s="285">
        <v>0</v>
      </c>
      <c r="W102" s="285">
        <v>0</v>
      </c>
      <c r="X102" s="285">
        <v>0</v>
      </c>
      <c r="Y102" s="285">
        <v>0</v>
      </c>
      <c r="Z102" s="285">
        <v>0</v>
      </c>
      <c r="AA102" s="285">
        <v>0</v>
      </c>
      <c r="AB102" s="285">
        <v>0</v>
      </c>
      <c r="AC102" s="285">
        <v>0</v>
      </c>
      <c r="AD102" s="285">
        <v>0</v>
      </c>
      <c r="AE102" s="285">
        <v>0</v>
      </c>
      <c r="AF102" s="660"/>
      <c r="AG102" s="715">
        <f t="shared" si="1"/>
        <v>0</v>
      </c>
    </row>
    <row r="103" spans="1:33" s="510" customFormat="1" ht="15.75" x14ac:dyDescent="0.25">
      <c r="A103" s="284" t="s">
        <v>221</v>
      </c>
      <c r="B103" s="285">
        <v>0</v>
      </c>
      <c r="C103" s="285">
        <v>0</v>
      </c>
      <c r="D103" s="285">
        <v>0</v>
      </c>
      <c r="E103" s="285">
        <v>0</v>
      </c>
      <c r="F103" s="390">
        <v>0</v>
      </c>
      <c r="G103" s="285">
        <v>0</v>
      </c>
      <c r="H103" s="285">
        <v>0</v>
      </c>
      <c r="I103" s="285">
        <v>0</v>
      </c>
      <c r="J103" s="285">
        <v>0</v>
      </c>
      <c r="K103" s="285">
        <v>0</v>
      </c>
      <c r="L103" s="285">
        <v>0</v>
      </c>
      <c r="M103" s="285">
        <v>0</v>
      </c>
      <c r="N103" s="285">
        <v>0</v>
      </c>
      <c r="O103" s="285">
        <v>0</v>
      </c>
      <c r="P103" s="285">
        <v>0</v>
      </c>
      <c r="Q103" s="285">
        <v>0</v>
      </c>
      <c r="R103" s="285">
        <v>0</v>
      </c>
      <c r="S103" s="285">
        <v>0</v>
      </c>
      <c r="T103" s="285">
        <v>0</v>
      </c>
      <c r="U103" s="285">
        <v>0</v>
      </c>
      <c r="V103" s="285">
        <v>0</v>
      </c>
      <c r="W103" s="285">
        <v>0</v>
      </c>
      <c r="X103" s="285">
        <v>0</v>
      </c>
      <c r="Y103" s="285">
        <v>0</v>
      </c>
      <c r="Z103" s="285">
        <v>0</v>
      </c>
      <c r="AA103" s="285">
        <v>0</v>
      </c>
      <c r="AB103" s="285">
        <v>0</v>
      </c>
      <c r="AC103" s="285">
        <v>0</v>
      </c>
      <c r="AD103" s="285">
        <v>0</v>
      </c>
      <c r="AE103" s="285">
        <v>0</v>
      </c>
      <c r="AF103" s="661"/>
      <c r="AG103" s="715">
        <f t="shared" si="1"/>
        <v>0</v>
      </c>
    </row>
    <row r="104" spans="1:33" s="510" customFormat="1" ht="31.5" x14ac:dyDescent="0.25">
      <c r="A104" s="391" t="s">
        <v>100</v>
      </c>
      <c r="B104" s="392">
        <v>226191.18</v>
      </c>
      <c r="C104" s="392">
        <v>108033.60999999999</v>
      </c>
      <c r="D104" s="392">
        <v>88667.028999999995</v>
      </c>
      <c r="E104" s="392">
        <v>88667.028999999995</v>
      </c>
      <c r="F104" s="392">
        <v>39.20003821546004</v>
      </c>
      <c r="G104" s="392">
        <v>82.073559330286201</v>
      </c>
      <c r="H104" s="392">
        <v>11190.23</v>
      </c>
      <c r="I104" s="392">
        <v>6245.2199999999993</v>
      </c>
      <c r="J104" s="392">
        <v>27861.269999999997</v>
      </c>
      <c r="K104" s="392">
        <v>24733.738999999994</v>
      </c>
      <c r="L104" s="392">
        <v>27336.820000000003</v>
      </c>
      <c r="M104" s="392">
        <v>22894.920000000002</v>
      </c>
      <c r="N104" s="392">
        <v>25838.53</v>
      </c>
      <c r="O104" s="392">
        <v>22247.9</v>
      </c>
      <c r="P104" s="392">
        <v>15806.76</v>
      </c>
      <c r="Q104" s="392">
        <v>12545.25</v>
      </c>
      <c r="R104" s="392">
        <v>15383.699999999997</v>
      </c>
      <c r="S104" s="392">
        <v>0</v>
      </c>
      <c r="T104" s="392">
        <v>10834.150000000001</v>
      </c>
      <c r="U104" s="392">
        <v>0</v>
      </c>
      <c r="V104" s="392">
        <v>11543.419999999998</v>
      </c>
      <c r="W104" s="392">
        <v>0</v>
      </c>
      <c r="X104" s="392">
        <v>10463.460000000001</v>
      </c>
      <c r="Y104" s="392">
        <v>0</v>
      </c>
      <c r="Z104" s="392">
        <v>34858.969999999994</v>
      </c>
      <c r="AA104" s="392">
        <v>0</v>
      </c>
      <c r="AB104" s="392">
        <v>22038.080000000002</v>
      </c>
      <c r="AC104" s="392">
        <v>0</v>
      </c>
      <c r="AD104" s="392">
        <v>13035.79</v>
      </c>
      <c r="AE104" s="392">
        <v>0</v>
      </c>
      <c r="AF104" s="659"/>
      <c r="AG104" s="715">
        <f t="shared" si="1"/>
        <v>19366.580999999991</v>
      </c>
    </row>
    <row r="105" spans="1:33" s="510" customFormat="1" ht="15.75" x14ac:dyDescent="0.25">
      <c r="A105" s="382" t="s">
        <v>169</v>
      </c>
      <c r="B105" s="613">
        <v>0</v>
      </c>
      <c r="C105" s="615">
        <v>0</v>
      </c>
      <c r="D105" s="285">
        <v>0</v>
      </c>
      <c r="E105" s="285">
        <v>0</v>
      </c>
      <c r="F105" s="390">
        <v>0</v>
      </c>
      <c r="G105" s="285">
        <v>0</v>
      </c>
      <c r="H105" s="285">
        <v>0</v>
      </c>
      <c r="I105" s="285">
        <v>0</v>
      </c>
      <c r="J105" s="285">
        <v>0</v>
      </c>
      <c r="K105" s="285">
        <v>0</v>
      </c>
      <c r="L105" s="285">
        <v>0</v>
      </c>
      <c r="M105" s="285">
        <v>0</v>
      </c>
      <c r="N105" s="285">
        <v>0</v>
      </c>
      <c r="O105" s="285">
        <v>0</v>
      </c>
      <c r="P105" s="285">
        <v>0</v>
      </c>
      <c r="Q105" s="285">
        <v>0</v>
      </c>
      <c r="R105" s="285">
        <v>0</v>
      </c>
      <c r="S105" s="285">
        <v>0</v>
      </c>
      <c r="T105" s="285">
        <v>0</v>
      </c>
      <c r="U105" s="285">
        <v>0</v>
      </c>
      <c r="V105" s="285">
        <v>0</v>
      </c>
      <c r="W105" s="285">
        <v>0</v>
      </c>
      <c r="X105" s="285">
        <v>0</v>
      </c>
      <c r="Y105" s="285">
        <v>0</v>
      </c>
      <c r="Z105" s="285">
        <v>0</v>
      </c>
      <c r="AA105" s="285">
        <v>0</v>
      </c>
      <c r="AB105" s="285">
        <v>0</v>
      </c>
      <c r="AC105" s="285">
        <v>0</v>
      </c>
      <c r="AD105" s="285">
        <v>0</v>
      </c>
      <c r="AE105" s="285">
        <v>0</v>
      </c>
      <c r="AF105" s="660"/>
      <c r="AG105" s="715">
        <f t="shared" si="1"/>
        <v>0</v>
      </c>
    </row>
    <row r="106" spans="1:33" s="510" customFormat="1" ht="15.75" x14ac:dyDescent="0.25">
      <c r="A106" s="303" t="s">
        <v>32</v>
      </c>
      <c r="B106" s="613">
        <v>1587.5</v>
      </c>
      <c r="C106" s="615">
        <v>595.29999999999995</v>
      </c>
      <c r="D106" s="285">
        <v>378.12</v>
      </c>
      <c r="E106" s="285">
        <v>378.12</v>
      </c>
      <c r="F106" s="390">
        <v>23.818582677165352</v>
      </c>
      <c r="G106" s="285">
        <v>63.517554174365877</v>
      </c>
      <c r="H106" s="285">
        <v>526.79999999999995</v>
      </c>
      <c r="I106" s="285">
        <v>248.69</v>
      </c>
      <c r="J106" s="285">
        <v>68.5</v>
      </c>
      <c r="K106" s="285">
        <v>129.43</v>
      </c>
      <c r="L106" s="285">
        <v>0</v>
      </c>
      <c r="M106" s="285">
        <v>0</v>
      </c>
      <c r="N106" s="285">
        <v>0</v>
      </c>
      <c r="O106" s="285">
        <v>0</v>
      </c>
      <c r="P106" s="285">
        <v>0</v>
      </c>
      <c r="Q106" s="285">
        <v>0</v>
      </c>
      <c r="R106" s="285">
        <v>0</v>
      </c>
      <c r="S106" s="285">
        <v>0</v>
      </c>
      <c r="T106" s="285">
        <v>0</v>
      </c>
      <c r="U106" s="285">
        <v>0</v>
      </c>
      <c r="V106" s="285">
        <v>0</v>
      </c>
      <c r="W106" s="285">
        <v>0</v>
      </c>
      <c r="X106" s="285">
        <v>0</v>
      </c>
      <c r="Y106" s="285">
        <v>0</v>
      </c>
      <c r="Z106" s="285">
        <v>992.2</v>
      </c>
      <c r="AA106" s="285">
        <v>0</v>
      </c>
      <c r="AB106" s="285">
        <v>0</v>
      </c>
      <c r="AC106" s="285">
        <v>0</v>
      </c>
      <c r="AD106" s="285">
        <v>0</v>
      </c>
      <c r="AE106" s="285">
        <v>0</v>
      </c>
      <c r="AF106" s="660"/>
      <c r="AG106" s="715">
        <f t="shared" si="1"/>
        <v>217.17999999999995</v>
      </c>
    </row>
    <row r="107" spans="1:33" s="510" customFormat="1" ht="15.75" x14ac:dyDescent="0.25">
      <c r="A107" s="303" t="s">
        <v>33</v>
      </c>
      <c r="B107" s="613">
        <v>224603.68</v>
      </c>
      <c r="C107" s="615">
        <v>107438.31</v>
      </c>
      <c r="D107" s="285">
        <v>88288.909</v>
      </c>
      <c r="E107" s="285">
        <v>88288.909</v>
      </c>
      <c r="F107" s="390">
        <v>39.308754424682625</v>
      </c>
      <c r="G107" s="285">
        <v>82.176375447454461</v>
      </c>
      <c r="H107" s="285">
        <v>10663.43</v>
      </c>
      <c r="I107" s="285">
        <v>5996.53</v>
      </c>
      <c r="J107" s="285">
        <v>27792.769999999997</v>
      </c>
      <c r="K107" s="285">
        <v>24604.308999999994</v>
      </c>
      <c r="L107" s="285">
        <v>27336.820000000003</v>
      </c>
      <c r="M107" s="285">
        <v>22894.920000000002</v>
      </c>
      <c r="N107" s="285">
        <v>25838.53</v>
      </c>
      <c r="O107" s="285">
        <v>22247.9</v>
      </c>
      <c r="P107" s="285">
        <v>15806.76</v>
      </c>
      <c r="Q107" s="285">
        <v>12545.25</v>
      </c>
      <c r="R107" s="285">
        <v>15383.699999999997</v>
      </c>
      <c r="S107" s="285">
        <v>0</v>
      </c>
      <c r="T107" s="285">
        <v>10834.150000000001</v>
      </c>
      <c r="U107" s="285">
        <v>0</v>
      </c>
      <c r="V107" s="285">
        <v>11543.419999999998</v>
      </c>
      <c r="W107" s="285">
        <v>0</v>
      </c>
      <c r="X107" s="285">
        <v>10463.460000000001</v>
      </c>
      <c r="Y107" s="285">
        <v>0</v>
      </c>
      <c r="Z107" s="285">
        <v>33866.769999999997</v>
      </c>
      <c r="AA107" s="285">
        <v>0</v>
      </c>
      <c r="AB107" s="285">
        <v>22038.080000000002</v>
      </c>
      <c r="AC107" s="285">
        <v>0</v>
      </c>
      <c r="AD107" s="285">
        <v>13035.79</v>
      </c>
      <c r="AE107" s="285">
        <v>0</v>
      </c>
      <c r="AF107" s="660"/>
      <c r="AG107" s="715">
        <f t="shared" si="1"/>
        <v>19149.400999999998</v>
      </c>
    </row>
    <row r="108" spans="1:33" s="510" customFormat="1" ht="31.5" x14ac:dyDescent="0.25">
      <c r="A108" s="296" t="s">
        <v>174</v>
      </c>
      <c r="B108" s="613">
        <v>0</v>
      </c>
      <c r="C108" s="615">
        <v>0</v>
      </c>
      <c r="D108" s="285">
        <v>0</v>
      </c>
      <c r="E108" s="285">
        <v>0</v>
      </c>
      <c r="F108" s="390">
        <v>0</v>
      </c>
      <c r="G108" s="285">
        <v>0</v>
      </c>
      <c r="H108" s="285">
        <v>0</v>
      </c>
      <c r="I108" s="285">
        <v>0</v>
      </c>
      <c r="J108" s="285">
        <v>0</v>
      </c>
      <c r="K108" s="285">
        <v>0</v>
      </c>
      <c r="L108" s="285">
        <v>0</v>
      </c>
      <c r="M108" s="285">
        <v>0</v>
      </c>
      <c r="N108" s="285">
        <v>0</v>
      </c>
      <c r="O108" s="285">
        <v>0</v>
      </c>
      <c r="P108" s="285">
        <v>0</v>
      </c>
      <c r="Q108" s="285">
        <v>0</v>
      </c>
      <c r="R108" s="285">
        <v>0</v>
      </c>
      <c r="S108" s="285">
        <v>0</v>
      </c>
      <c r="T108" s="285">
        <v>0</v>
      </c>
      <c r="U108" s="285">
        <v>0</v>
      </c>
      <c r="V108" s="285">
        <v>0</v>
      </c>
      <c r="W108" s="285">
        <v>0</v>
      </c>
      <c r="X108" s="285">
        <v>0</v>
      </c>
      <c r="Y108" s="285">
        <v>0</v>
      </c>
      <c r="Z108" s="285">
        <v>0</v>
      </c>
      <c r="AA108" s="285">
        <v>0</v>
      </c>
      <c r="AB108" s="285">
        <v>0</v>
      </c>
      <c r="AC108" s="285">
        <v>0</v>
      </c>
      <c r="AD108" s="285">
        <v>0</v>
      </c>
      <c r="AE108" s="285">
        <v>0</v>
      </c>
      <c r="AF108" s="660"/>
      <c r="AG108" s="715">
        <f t="shared" si="1"/>
        <v>0</v>
      </c>
    </row>
    <row r="109" spans="1:33" s="510" customFormat="1" ht="15.75" x14ac:dyDescent="0.25">
      <c r="A109" s="284" t="s">
        <v>221</v>
      </c>
      <c r="B109" s="613">
        <v>0</v>
      </c>
      <c r="C109" s="615">
        <v>0</v>
      </c>
      <c r="D109" s="285">
        <v>0</v>
      </c>
      <c r="E109" s="285">
        <v>0</v>
      </c>
      <c r="F109" s="390">
        <v>0</v>
      </c>
      <c r="G109" s="285">
        <v>0</v>
      </c>
      <c r="H109" s="285">
        <v>0</v>
      </c>
      <c r="I109" s="285">
        <v>0</v>
      </c>
      <c r="J109" s="285">
        <v>0</v>
      </c>
      <c r="K109" s="285">
        <v>0</v>
      </c>
      <c r="L109" s="285">
        <v>0</v>
      </c>
      <c r="M109" s="285">
        <v>0</v>
      </c>
      <c r="N109" s="285">
        <v>0</v>
      </c>
      <c r="O109" s="285">
        <v>0</v>
      </c>
      <c r="P109" s="285">
        <v>0</v>
      </c>
      <c r="Q109" s="285">
        <v>0</v>
      </c>
      <c r="R109" s="285">
        <v>0</v>
      </c>
      <c r="S109" s="285">
        <v>0</v>
      </c>
      <c r="T109" s="285">
        <v>0</v>
      </c>
      <c r="U109" s="285">
        <v>0</v>
      </c>
      <c r="V109" s="285">
        <v>0</v>
      </c>
      <c r="W109" s="285">
        <v>0</v>
      </c>
      <c r="X109" s="285">
        <v>0</v>
      </c>
      <c r="Y109" s="285">
        <v>0</v>
      </c>
      <c r="Z109" s="285">
        <v>0</v>
      </c>
      <c r="AA109" s="285">
        <v>0</v>
      </c>
      <c r="AB109" s="285">
        <v>0</v>
      </c>
      <c r="AC109" s="285">
        <v>0</v>
      </c>
      <c r="AD109" s="285">
        <v>0</v>
      </c>
      <c r="AE109" s="285">
        <v>0</v>
      </c>
      <c r="AF109" s="661"/>
      <c r="AG109" s="715">
        <f t="shared" si="1"/>
        <v>0</v>
      </c>
    </row>
    <row r="110" spans="1:33" s="510" customFormat="1" ht="15.75" x14ac:dyDescent="0.25">
      <c r="A110" s="907"/>
      <c r="B110" s="907"/>
      <c r="C110" s="907"/>
      <c r="D110" s="907"/>
      <c r="E110" s="907"/>
      <c r="F110" s="907"/>
      <c r="G110" s="907"/>
      <c r="H110" s="907"/>
      <c r="I110" s="907"/>
      <c r="J110" s="907"/>
      <c r="K110" s="907"/>
      <c r="L110" s="907"/>
      <c r="M110" s="907"/>
      <c r="N110" s="907"/>
      <c r="O110" s="907"/>
      <c r="P110" s="907"/>
      <c r="Q110" s="907"/>
      <c r="R110" s="907"/>
      <c r="S110" s="907"/>
      <c r="T110" s="907"/>
      <c r="U110" s="907"/>
      <c r="V110" s="907"/>
      <c r="W110" s="907"/>
      <c r="X110" s="907"/>
      <c r="Y110" s="907"/>
      <c r="Z110" s="907"/>
      <c r="AA110" s="907"/>
      <c r="AB110" s="907"/>
      <c r="AC110" s="907"/>
      <c r="AD110" s="907"/>
      <c r="AE110" s="907"/>
      <c r="AF110" s="907"/>
    </row>
  </sheetData>
  <customSheetViews>
    <customSheetView guid="{7C130984-112A-4861-AA43-E2940708E3DC}" scale="80" state="hidden">
      <pane xSplit="7" ySplit="7" topLeftCell="H91" activePane="bottomRight" state="frozen"/>
      <selection pane="bottomRight" activeCell="C108" sqref="C108"/>
      <pageMargins left="0.7" right="0.7" top="0.75" bottom="0.75" header="0.3" footer="0.3"/>
    </customSheetView>
    <customSheetView guid="{4F41B9CC-959D-442C-80B0-1F0DB2C76D27}" scale="80">
      <pane xSplit="7" ySplit="6" topLeftCell="H91" activePane="bottomRight" state="frozen"/>
      <selection pane="bottomRight" activeCell="C108" sqref="C108"/>
      <pageMargins left="0.7" right="0.7" top="0.75" bottom="0.75" header="0.3" footer="0.3"/>
    </customSheetView>
    <customSheetView guid="{391AB76E-B386-49C1-800F-016A48AA1A46}" scale="80">
      <pane xSplit="7" ySplit="7" topLeftCell="H91" activePane="bottomRight" state="frozen"/>
      <selection pane="bottomRight" activeCell="C108" sqref="C108"/>
      <pageMargins left="0.7" right="0.7" top="0.75" bottom="0.75" header="0.3" footer="0.3"/>
    </customSheetView>
    <customSheetView guid="{D01FA037-9AEC-4167-ADB8-2F327C01ECE6}" scale="80">
      <pane xSplit="7" ySplit="7" topLeftCell="H91" activePane="bottomRight" state="frozen"/>
      <selection pane="bottomRight" activeCell="C108" sqref="C108"/>
      <pageMargins left="0.7" right="0.7" top="0.75" bottom="0.75" header="0.3" footer="0.3"/>
    </customSheetView>
    <customSheetView guid="{6A602CB8-B24C-4ED4-B378-B27354BE0A1A}" scale="80">
      <pane xSplit="7" ySplit="7" topLeftCell="H91" activePane="bottomRight" state="frozen"/>
      <selection pane="bottomRight" activeCell="C108" sqref="C108"/>
      <pageMargins left="0.7" right="0.7" top="0.75" bottom="0.75" header="0.3" footer="0.3"/>
    </customSheetView>
    <customSheetView guid="{DAA8A688-7558-4B5B-8DBD-E2629BD9E9A8}" scale="80">
      <pane xSplit="7" ySplit="7" topLeftCell="H91" activePane="bottomRight" state="frozen"/>
      <selection pane="bottomRight" activeCell="C108" sqref="C108"/>
      <pageMargins left="0.7" right="0.7" top="0.75" bottom="0.75" header="0.3" footer="0.3"/>
    </customSheetView>
    <customSheetView guid="{0C2B9C2A-7B94-41EF-A2E6-F8AC9A67DE25}" scale="80">
      <pane xSplit="7" ySplit="7" topLeftCell="H91" activePane="bottomRight" state="frozen"/>
      <selection pane="bottomRight" activeCell="C108" sqref="C108"/>
      <pageMargins left="0.7" right="0.7" top="0.75" bottom="0.75" header="0.3" footer="0.3"/>
    </customSheetView>
    <customSheetView guid="{87218168-6C8E-4D5B-A5E5-DCCC26803AA3}" scale="80">
      <pane xSplit="7" ySplit="7" topLeftCell="AF74" activePane="bottomRight" state="frozen"/>
      <selection pane="bottomRight" activeCell="AM89" sqref="AM89"/>
      <pageMargins left="0.7" right="0.7" top="0.75" bottom="0.75" header="0.3" footer="0.3"/>
    </customSheetView>
    <customSheetView guid="{533DC55B-6AD4-4674-9488-685EF2039F3E}" scale="80">
      <pane xSplit="7" ySplit="7" topLeftCell="AF74" activePane="bottomRight" state="frozen"/>
      <selection pane="bottomRight" activeCell="AM89" sqref="AM89"/>
      <pageMargins left="0.7" right="0.7" top="0.75" bottom="0.75" header="0.3" footer="0.3"/>
    </customSheetView>
    <customSheetView guid="{69DABE6F-6182-4403-A4A2-969F10F1C13A}" scale="80">
      <pane xSplit="7" ySplit="7" topLeftCell="AF74" activePane="bottomRight" state="frozen"/>
      <selection pane="bottomRight" activeCell="AM89" sqref="AM89"/>
      <pageMargins left="0.7" right="0.7" top="0.75" bottom="0.75" header="0.3" footer="0.3"/>
    </customSheetView>
    <customSheetView guid="{84867370-1F3E-4368-AF79-FBCE46FFFE92}" scale="80">
      <pane xSplit="7" ySplit="7" topLeftCell="AF74" activePane="bottomRight" state="frozen"/>
      <selection pane="bottomRight" activeCell="AM89" sqref="AM89"/>
      <pageMargins left="0.7" right="0.7" top="0.75" bottom="0.75" header="0.3" footer="0.3"/>
    </customSheetView>
    <customSheetView guid="{47B983AB-FE5F-4725-860C-A2F29420596D}" scale="80">
      <pane xSplit="7" ySplit="7" topLeftCell="AF74" activePane="bottomRight" state="frozen"/>
      <selection pane="bottomRight" activeCell="AF78" sqref="AF78"/>
      <pageMargins left="0.7" right="0.7" top="0.75" bottom="0.75" header="0.3" footer="0.3"/>
    </customSheetView>
    <customSheetView guid="{959E901C-5DDE-42EE-AE94-AB8976B5E00B}" scale="80">
      <pane xSplit="7" ySplit="7" topLeftCell="AF74" activePane="bottomRight" state="frozen"/>
      <selection pane="bottomRight" activeCell="AF78" sqref="AF78"/>
      <pageMargins left="0.7" right="0.7" top="0.75" bottom="0.75" header="0.3" footer="0.3"/>
    </customSheetView>
    <customSheetView guid="{F679EF4A-C5FD-4B86-B87B-D85968E0F2CA}" scale="80">
      <pane xSplit="7" ySplit="7" topLeftCell="S92" activePane="bottomRight" state="frozen"/>
      <selection pane="bottomRight" activeCell="B101" sqref="B101"/>
      <pageMargins left="0.7" right="0.7" top="0.75" bottom="0.75" header="0.3" footer="0.3"/>
    </customSheetView>
    <customSheetView guid="{009B3074-D8EC-4952-BF50-43CD64449612}" scale="80">
      <pane xSplit="1" ySplit="4" topLeftCell="B11" activePane="bottomRight" state="frozen"/>
      <selection pane="bottomRight" activeCell="H24" sqref="H24"/>
      <pageMargins left="0.7" right="0.7" top="0.75" bottom="0.75" header="0.3" footer="0.3"/>
    </customSheetView>
    <customSheetView guid="{770624BF-07F3-44B6-94C3-4CC447CDD45C}" scale="80">
      <pane xSplit="1" ySplit="4" topLeftCell="C74" activePane="bottomRight" state="frozen"/>
      <selection pane="bottomRight" activeCell="H115" sqref="H115"/>
      <pageMargins left="0.7" right="0.7" top="0.75" bottom="0.75" header="0.3" footer="0.3"/>
    </customSheetView>
    <customSheetView guid="{B82BA08A-1A30-4F4D-A478-74A6BD09EA97}" scale="70">
      <pane xSplit="1" ySplit="4" topLeftCell="B17" activePane="bottomRight" state="frozen"/>
      <selection pane="bottomRight" activeCell="B39" sqref="B39"/>
      <pageMargins left="0.7" right="0.7" top="0.75" bottom="0.75" header="0.3" footer="0.3"/>
    </customSheetView>
    <customSheetView guid="{874882D1-E741-4CCA-BF0D-E72FA60B771D}" scale="70">
      <pane xSplit="1" ySplit="4" topLeftCell="B17" activePane="bottomRight" state="frozen"/>
      <selection pane="bottomRight" activeCell="B39" sqref="B39"/>
      <pageMargins left="0.7" right="0.7" top="0.75" bottom="0.75" header="0.3" footer="0.3"/>
    </customSheetView>
    <customSheetView guid="{C236B307-BD63-48C4-A75F-B3F3717BF55C}" scale="70">
      <pane xSplit="1" ySplit="4" topLeftCell="B17" activePane="bottomRight" state="frozen"/>
      <selection pane="bottomRight" activeCell="B39" sqref="B39"/>
      <pageMargins left="0.7" right="0.7" top="0.75" bottom="0.75" header="0.3" footer="0.3"/>
    </customSheetView>
    <customSheetView guid="{BCD82A82-B724-4763-8580-D765356E09BA}" scale="70">
      <pane ySplit="5" topLeftCell="A6" activePane="bottomLeft" state="frozen"/>
      <selection pane="bottomLeft" sqref="A1:W1"/>
      <pageMargins left="0.7" right="0.7" top="0.75" bottom="0.75" header="0.3" footer="0.3"/>
    </customSheetView>
    <customSheetView guid="{B1BF08D1-D416-4B47-ADD0-4F59132DC9E8}" scale="80">
      <pane xSplit="7" ySplit="7" topLeftCell="AF74" activePane="bottomRight" state="frozen"/>
      <selection pane="bottomRight" activeCell="AF78" sqref="AF78"/>
      <pageMargins left="0.7" right="0.7" top="0.75" bottom="0.75" header="0.3" footer="0.3"/>
    </customSheetView>
    <customSheetView guid="{85F4575B-DBC5-482A-9916-255D8F0BC94E}" scale="80">
      <pane xSplit="7" ySplit="7" topLeftCell="AF74" activePane="bottomRight" state="frozen"/>
      <selection pane="bottomRight" activeCell="AF78" sqref="AF78"/>
      <pageMargins left="0.7" right="0.7" top="0.75" bottom="0.75" header="0.3" footer="0.3"/>
    </customSheetView>
    <customSheetView guid="{74870EE6-26B9-40F7-9DC9-260EF16D8959}" scale="80">
      <pane xSplit="7" ySplit="7" topLeftCell="AF74" activePane="bottomRight" state="frozen"/>
      <selection pane="bottomRight" activeCell="AM89" sqref="AM89"/>
      <pageMargins left="0.7" right="0.7" top="0.75" bottom="0.75" header="0.3" footer="0.3"/>
    </customSheetView>
    <customSheetView guid="{E508E171-4ED9-4B07-84DF-DA28C60E1969}" scale="80">
      <pane xSplit="7" ySplit="7" topLeftCell="H91" activePane="bottomRight" state="frozen"/>
      <selection pane="bottomRight" activeCell="C108" sqref="C108"/>
      <pageMargins left="0.7" right="0.7" top="0.75" bottom="0.75" header="0.3" footer="0.3"/>
    </customSheetView>
    <customSheetView guid="{4D0DFB57-2CBA-42F2-9A97-C453A6851FBA}" scale="80">
      <pane xSplit="7" ySplit="7" topLeftCell="H91" activePane="bottomRight" state="frozen"/>
      <selection pane="bottomRight" activeCell="C108" sqref="C108"/>
      <pageMargins left="0.7" right="0.7" top="0.75" bottom="0.75" header="0.3" footer="0.3"/>
    </customSheetView>
    <customSheetView guid="{CE1CCA00-200D-4EAA-9FBE-F8EE7C5F82FE}" scale="80">
      <pane xSplit="7" ySplit="7" topLeftCell="H91" activePane="bottomRight" state="frozen"/>
      <selection pane="bottomRight" activeCell="C108" sqref="C108"/>
      <pageMargins left="0.7" right="0.7" top="0.75" bottom="0.75" header="0.3" footer="0.3"/>
    </customSheetView>
    <customSheetView guid="{442F2C94-DD1B-4A01-8694-513D4D6F3BD9}" scale="80">
      <pane xSplit="7" ySplit="7" topLeftCell="H91" activePane="bottomRight" state="frozen"/>
      <selection pane="bottomRight" activeCell="C108" sqref="C108"/>
      <pageMargins left="0.7" right="0.7" top="0.75" bottom="0.75" header="0.3" footer="0.3"/>
    </customSheetView>
    <customSheetView guid="{AC2D5927-4079-4C74-AF69-1BFAC505648F}" scale="80">
      <pane xSplit="7" ySplit="7" topLeftCell="H91" activePane="bottomRight" state="frozen"/>
      <selection pane="bottomRight" activeCell="C108" sqref="C108"/>
      <pageMargins left="0.7" right="0.7" top="0.75" bottom="0.75" header="0.3" footer="0.3"/>
    </customSheetView>
    <customSheetView guid="{602C8EDB-B9EF-4C85-B0D5-0558C3A0ABAB}" scale="80">
      <pane xSplit="7" ySplit="7" topLeftCell="H91" activePane="bottomRight" state="frozen"/>
      <selection pane="bottomRight" activeCell="C108" sqref="C108"/>
      <pageMargins left="0.7" right="0.7" top="0.75" bottom="0.75" header="0.3" footer="0.3"/>
    </customSheetView>
    <customSheetView guid="{09C3E205-981E-4A4E-BE89-8B7044192060}" scale="80">
      <pane xSplit="7" ySplit="7" topLeftCell="H91" activePane="bottomRight" state="frozen"/>
      <selection pane="bottomRight" activeCell="C108" sqref="C108"/>
      <pageMargins left="0.7" right="0.7" top="0.75" bottom="0.75" header="0.3" footer="0.3"/>
    </customSheetView>
  </customSheetViews>
  <mergeCells count="21">
    <mergeCell ref="AB3:AC3"/>
    <mergeCell ref="AD3:AE3"/>
    <mergeCell ref="AF3:AF4"/>
    <mergeCell ref="A6:AE6"/>
    <mergeCell ref="R3:S3"/>
    <mergeCell ref="T3:U3"/>
    <mergeCell ref="V3:W3"/>
    <mergeCell ref="X3:Y3"/>
    <mergeCell ref="Z3:AA3"/>
    <mergeCell ref="A1:W1"/>
    <mergeCell ref="A3:A4"/>
    <mergeCell ref="B3:B4"/>
    <mergeCell ref="C3:C4"/>
    <mergeCell ref="D3:D4"/>
    <mergeCell ref="E3:E4"/>
    <mergeCell ref="F3:G3"/>
    <mergeCell ref="H3:I3"/>
    <mergeCell ref="J3:K3"/>
    <mergeCell ref="L3:M3"/>
    <mergeCell ref="N3:O3"/>
    <mergeCell ref="P3:Q3"/>
  </mergeCells>
  <hyperlinks>
    <hyperlink ref="A1:W1" location="Оглавление!A1" display="Отчет о ходе реализации (сетевой график) муниципальной программы «Содержание объектов городского хозяйства и инженерной инфраструктуры в городе Когалыме» "/>
  </hyperlink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7"/>
  <sheetViews>
    <sheetView zoomScale="60" zoomScaleNormal="60" workbookViewId="0">
      <pane xSplit="1" ySplit="6" topLeftCell="Y7" activePane="bottomRight" state="frozen"/>
      <selection pane="topRight" activeCell="B1" sqref="B1"/>
      <selection pane="bottomLeft" activeCell="A7" sqref="A7"/>
      <selection pane="bottomRight" activeCell="F15" sqref="F15"/>
    </sheetView>
  </sheetViews>
  <sheetFormatPr defaultRowHeight="15" x14ac:dyDescent="0.25"/>
  <cols>
    <col min="1" max="1" width="51.140625" customWidth="1"/>
    <col min="2" max="2" width="17.42578125" customWidth="1"/>
    <col min="3" max="3" width="15.42578125" bestFit="1" customWidth="1"/>
    <col min="4" max="4" width="17" customWidth="1"/>
    <col min="5" max="5" width="15.42578125" bestFit="1" customWidth="1"/>
    <col min="6" max="6" width="16.5703125" bestFit="1" customWidth="1"/>
    <col min="7" max="8" width="13.42578125" bestFit="1" customWidth="1"/>
    <col min="9" max="9" width="13.5703125" bestFit="1" customWidth="1"/>
    <col min="10" max="10" width="17.28515625" bestFit="1" customWidth="1"/>
    <col min="11" max="11" width="13.5703125" bestFit="1" customWidth="1"/>
    <col min="12" max="12" width="14.85546875" bestFit="1" customWidth="1"/>
    <col min="13" max="13" width="13.5703125" bestFit="1" customWidth="1"/>
    <col min="14" max="14" width="17.28515625" bestFit="1" customWidth="1"/>
    <col min="15" max="15" width="13.5703125" bestFit="1" customWidth="1"/>
    <col min="16" max="16" width="17.28515625" bestFit="1" customWidth="1"/>
    <col min="17" max="17" width="13.5703125" bestFit="1" customWidth="1"/>
    <col min="18" max="18" width="17.28515625" bestFit="1" customWidth="1"/>
    <col min="19" max="19" width="13.5703125" bestFit="1" customWidth="1"/>
    <col min="20" max="20" width="17.28515625" bestFit="1" customWidth="1"/>
    <col min="21" max="21" width="13.5703125" bestFit="1" customWidth="1"/>
    <col min="22" max="22" width="17.28515625" bestFit="1" customWidth="1"/>
    <col min="23" max="23" width="13.5703125" bestFit="1" customWidth="1"/>
    <col min="24" max="24" width="13.28515625" customWidth="1"/>
    <col min="25" max="25" width="13.5703125" bestFit="1" customWidth="1"/>
    <col min="26" max="26" width="15.5703125" bestFit="1" customWidth="1"/>
    <col min="27" max="27" width="13.5703125" bestFit="1" customWidth="1"/>
    <col min="28" max="28" width="15.5703125" bestFit="1" customWidth="1"/>
    <col min="29" max="29" width="13.5703125" bestFit="1" customWidth="1"/>
    <col min="30" max="30" width="13.42578125" bestFit="1" customWidth="1"/>
    <col min="31" max="31" width="13.5703125" bestFit="1" customWidth="1"/>
    <col min="32" max="32" width="32.140625" customWidth="1"/>
  </cols>
  <sheetData>
    <row r="1" spans="1:32" ht="18.75" x14ac:dyDescent="0.25">
      <c r="A1" s="1015" t="s">
        <v>0</v>
      </c>
      <c r="B1" s="1015"/>
      <c r="C1" s="1015"/>
      <c r="D1" s="1015"/>
      <c r="E1" s="1015"/>
      <c r="F1" s="1015"/>
      <c r="G1" s="1015"/>
      <c r="H1" s="1015"/>
      <c r="I1" s="1015"/>
      <c r="J1" s="1015"/>
      <c r="K1" s="1015"/>
      <c r="L1" s="1015"/>
      <c r="M1" s="1015"/>
      <c r="N1" s="1015"/>
      <c r="O1" s="1015"/>
      <c r="P1" s="1015"/>
      <c r="Q1" s="1015"/>
      <c r="R1" s="1015"/>
      <c r="S1" s="1015"/>
      <c r="T1" s="1015"/>
      <c r="U1" s="1015"/>
      <c r="V1" s="1015"/>
      <c r="W1" s="1015"/>
      <c r="X1" s="1015"/>
      <c r="Y1" s="1015"/>
      <c r="Z1" s="1015"/>
      <c r="AA1" s="1015"/>
      <c r="AB1" s="1015"/>
      <c r="AC1" s="1015"/>
      <c r="AD1" s="1015"/>
      <c r="AE1" s="1015"/>
      <c r="AF1" s="1015"/>
    </row>
    <row r="2" spans="1:32" ht="18.75" x14ac:dyDescent="0.25">
      <c r="A2" s="1016" t="s">
        <v>47</v>
      </c>
      <c r="B2" s="1016"/>
      <c r="C2" s="1016"/>
      <c r="D2" s="1016"/>
      <c r="E2" s="1016"/>
      <c r="F2" s="1016"/>
      <c r="G2" s="1016"/>
      <c r="H2" s="1016"/>
      <c r="I2" s="1016"/>
      <c r="J2" s="1016"/>
      <c r="K2" s="1016"/>
      <c r="L2" s="1016"/>
      <c r="M2" s="1016"/>
      <c r="N2" s="1016"/>
      <c r="O2" s="1016"/>
      <c r="P2" s="1016"/>
      <c r="Q2" s="1016"/>
      <c r="R2" s="1016"/>
      <c r="S2" s="1016"/>
      <c r="T2" s="1016"/>
      <c r="U2" s="1016"/>
      <c r="V2" s="1016"/>
      <c r="W2" s="1016"/>
      <c r="X2" s="1016"/>
      <c r="Y2" s="1016"/>
      <c r="Z2" s="1016"/>
      <c r="AA2" s="1016"/>
      <c r="AB2" s="1016"/>
      <c r="AC2" s="1016"/>
      <c r="AD2" s="1016"/>
      <c r="AE2" s="1016"/>
      <c r="AF2" s="1" t="s">
        <v>1</v>
      </c>
    </row>
    <row r="3" spans="1:32" ht="75" customHeight="1" x14ac:dyDescent="0.25">
      <c r="A3" s="1017" t="s">
        <v>2</v>
      </c>
      <c r="B3" s="1019" t="s">
        <v>3</v>
      </c>
      <c r="C3" s="1019" t="s">
        <v>3</v>
      </c>
      <c r="D3" s="1019" t="s">
        <v>4</v>
      </c>
      <c r="E3" s="1021" t="s">
        <v>5</v>
      </c>
      <c r="F3" s="1011" t="s">
        <v>6</v>
      </c>
      <c r="G3" s="1012"/>
      <c r="H3" s="1011" t="s">
        <v>7</v>
      </c>
      <c r="I3" s="1012"/>
      <c r="J3" s="1011" t="s">
        <v>8</v>
      </c>
      <c r="K3" s="1012"/>
      <c r="L3" s="1011" t="s">
        <v>9</v>
      </c>
      <c r="M3" s="1012"/>
      <c r="N3" s="1011" t="s">
        <v>10</v>
      </c>
      <c r="O3" s="1012"/>
      <c r="P3" s="1011" t="s">
        <v>11</v>
      </c>
      <c r="Q3" s="1012"/>
      <c r="R3" s="1011" t="s">
        <v>12</v>
      </c>
      <c r="S3" s="1012"/>
      <c r="T3" s="1011" t="s">
        <v>13</v>
      </c>
      <c r="U3" s="1012"/>
      <c r="V3" s="1011" t="s">
        <v>14</v>
      </c>
      <c r="W3" s="1012"/>
      <c r="X3" s="1011" t="s">
        <v>15</v>
      </c>
      <c r="Y3" s="1012"/>
      <c r="Z3" s="1011" t="s">
        <v>16</v>
      </c>
      <c r="AA3" s="1012"/>
      <c r="AB3" s="1011" t="s">
        <v>17</v>
      </c>
      <c r="AC3" s="1012"/>
      <c r="AD3" s="1011" t="s">
        <v>18</v>
      </c>
      <c r="AE3" s="1012"/>
      <c r="AF3" s="1017" t="s">
        <v>19</v>
      </c>
    </row>
    <row r="4" spans="1:32" ht="18.75" customHeight="1" x14ac:dyDescent="0.25">
      <c r="A4" s="1018"/>
      <c r="B4" s="1020"/>
      <c r="C4" s="1020"/>
      <c r="D4" s="1020"/>
      <c r="E4" s="1022"/>
      <c r="F4" s="1013"/>
      <c r="G4" s="1014"/>
      <c r="H4" s="1013"/>
      <c r="I4" s="1014"/>
      <c r="J4" s="1013"/>
      <c r="K4" s="1014"/>
      <c r="L4" s="1013"/>
      <c r="M4" s="1014"/>
      <c r="N4" s="1013"/>
      <c r="O4" s="1014"/>
      <c r="P4" s="1013"/>
      <c r="Q4" s="1014"/>
      <c r="R4" s="1013"/>
      <c r="S4" s="1014"/>
      <c r="T4" s="1013"/>
      <c r="U4" s="1014"/>
      <c r="V4" s="1013"/>
      <c r="W4" s="1014"/>
      <c r="X4" s="1013"/>
      <c r="Y4" s="1014"/>
      <c r="Z4" s="1013"/>
      <c r="AA4" s="1014"/>
      <c r="AB4" s="1013"/>
      <c r="AC4" s="1014"/>
      <c r="AD4" s="1013"/>
      <c r="AE4" s="1014"/>
      <c r="AF4" s="1018"/>
    </row>
    <row r="5" spans="1:32" ht="56.25" x14ac:dyDescent="0.25">
      <c r="A5" s="24"/>
      <c r="B5" s="3">
        <v>2024</v>
      </c>
      <c r="C5" s="4">
        <v>45413</v>
      </c>
      <c r="D5" s="4">
        <v>45413</v>
      </c>
      <c r="E5" s="4">
        <v>45413</v>
      </c>
      <c r="F5" s="5" t="s">
        <v>20</v>
      </c>
      <c r="G5" s="5" t="s">
        <v>21</v>
      </c>
      <c r="H5" s="5" t="s">
        <v>22</v>
      </c>
      <c r="I5" s="5" t="s">
        <v>23</v>
      </c>
      <c r="J5" s="5" t="s">
        <v>22</v>
      </c>
      <c r="K5" s="5" t="s">
        <v>23</v>
      </c>
      <c r="L5" s="5" t="s">
        <v>22</v>
      </c>
      <c r="M5" s="5" t="s">
        <v>23</v>
      </c>
      <c r="N5" s="5" t="s">
        <v>22</v>
      </c>
      <c r="O5" s="5" t="s">
        <v>23</v>
      </c>
      <c r="P5" s="5" t="s">
        <v>22</v>
      </c>
      <c r="Q5" s="5" t="s">
        <v>23</v>
      </c>
      <c r="R5" s="5" t="s">
        <v>22</v>
      </c>
      <c r="S5" s="5" t="s">
        <v>23</v>
      </c>
      <c r="T5" s="5" t="s">
        <v>22</v>
      </c>
      <c r="U5" s="5" t="s">
        <v>23</v>
      </c>
      <c r="V5" s="5" t="s">
        <v>22</v>
      </c>
      <c r="W5" s="5" t="s">
        <v>23</v>
      </c>
      <c r="X5" s="5" t="s">
        <v>22</v>
      </c>
      <c r="Y5" s="5" t="s">
        <v>23</v>
      </c>
      <c r="Z5" s="5" t="s">
        <v>22</v>
      </c>
      <c r="AA5" s="5" t="s">
        <v>23</v>
      </c>
      <c r="AB5" s="5" t="s">
        <v>22</v>
      </c>
      <c r="AC5" s="5" t="s">
        <v>23</v>
      </c>
      <c r="AD5" s="5" t="s">
        <v>22</v>
      </c>
      <c r="AE5" s="5" t="s">
        <v>23</v>
      </c>
      <c r="AF5" s="1023"/>
    </row>
    <row r="6" spans="1:32" ht="18.75" x14ac:dyDescent="0.25">
      <c r="A6" s="6">
        <v>1</v>
      </c>
      <c r="B6" s="6">
        <v>2</v>
      </c>
      <c r="C6" s="6">
        <v>3</v>
      </c>
      <c r="D6" s="6">
        <v>4</v>
      </c>
      <c r="E6" s="6">
        <v>5</v>
      </c>
      <c r="F6" s="6">
        <v>6</v>
      </c>
      <c r="G6" s="6">
        <v>7</v>
      </c>
      <c r="H6" s="6">
        <v>8</v>
      </c>
      <c r="I6" s="6">
        <v>9</v>
      </c>
      <c r="J6" s="6">
        <v>10</v>
      </c>
      <c r="K6" s="6">
        <v>11</v>
      </c>
      <c r="L6" s="6">
        <v>12</v>
      </c>
      <c r="M6" s="6">
        <v>13</v>
      </c>
      <c r="N6" s="6">
        <v>14</v>
      </c>
      <c r="O6" s="6">
        <v>15</v>
      </c>
      <c r="P6" s="6">
        <v>16</v>
      </c>
      <c r="Q6" s="6">
        <v>17</v>
      </c>
      <c r="R6" s="6">
        <v>18</v>
      </c>
      <c r="S6" s="6">
        <v>19</v>
      </c>
      <c r="T6" s="6">
        <v>20</v>
      </c>
      <c r="U6" s="6">
        <v>21</v>
      </c>
      <c r="V6" s="6">
        <v>22</v>
      </c>
      <c r="W6" s="6">
        <v>23</v>
      </c>
      <c r="X6" s="6">
        <v>24</v>
      </c>
      <c r="Y6" s="6">
        <v>25</v>
      </c>
      <c r="Z6" s="6">
        <v>26</v>
      </c>
      <c r="AA6" s="6">
        <v>27</v>
      </c>
      <c r="AB6" s="6">
        <v>28</v>
      </c>
      <c r="AC6" s="6">
        <v>29</v>
      </c>
      <c r="AD6" s="6">
        <v>30</v>
      </c>
      <c r="AE6" s="6">
        <v>31</v>
      </c>
      <c r="AF6" s="2">
        <v>32</v>
      </c>
    </row>
    <row r="7" spans="1:32" ht="18.75" x14ac:dyDescent="0.25">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2"/>
    </row>
    <row r="8" spans="1:32" ht="56.25" customHeight="1" x14ac:dyDescent="0.25">
      <c r="A8" s="34" t="s">
        <v>41</v>
      </c>
      <c r="B8" s="30"/>
      <c r="C8" s="30"/>
      <c r="D8" s="30"/>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21"/>
    </row>
    <row r="9" spans="1:32" ht="18.75" x14ac:dyDescent="0.25">
      <c r="A9" s="36" t="s">
        <v>54</v>
      </c>
      <c r="B9" s="30"/>
      <c r="C9" s="30"/>
      <c r="D9" s="30"/>
      <c r="E9" s="30"/>
      <c r="F9" s="30"/>
      <c r="G9" s="30"/>
      <c r="H9" s="30"/>
      <c r="I9" s="30"/>
      <c r="J9" s="30"/>
      <c r="K9" s="30"/>
      <c r="L9" s="30"/>
      <c r="M9" s="30"/>
      <c r="N9" s="30"/>
      <c r="O9" s="30"/>
      <c r="P9" s="30"/>
      <c r="Q9" s="30"/>
      <c r="R9" s="30"/>
      <c r="S9" s="30"/>
      <c r="T9" s="30"/>
      <c r="U9" s="30"/>
      <c r="V9" s="30"/>
      <c r="W9" s="30"/>
      <c r="X9" s="30"/>
      <c r="Y9" s="30"/>
      <c r="Z9" s="30"/>
      <c r="AA9" s="30"/>
      <c r="AB9" s="30"/>
      <c r="AC9" s="30"/>
      <c r="AD9" s="30"/>
      <c r="AE9" s="30"/>
      <c r="AF9" s="21"/>
    </row>
    <row r="10" spans="1:32" ht="75" x14ac:dyDescent="0.3">
      <c r="A10" s="28" t="s">
        <v>42</v>
      </c>
      <c r="B10" s="32"/>
      <c r="C10" s="32"/>
      <c r="D10" s="32"/>
      <c r="E10" s="32"/>
      <c r="F10" s="32"/>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27"/>
    </row>
    <row r="11" spans="1:32" ht="18.75" x14ac:dyDescent="0.3">
      <c r="A11" s="28" t="s">
        <v>65</v>
      </c>
      <c r="B11" s="32">
        <f>B12</f>
        <v>476.5</v>
      </c>
      <c r="C11" s="32">
        <f>C12</f>
        <v>476.5</v>
      </c>
      <c r="D11" s="32">
        <f>D12</f>
        <v>0</v>
      </c>
      <c r="E11" s="32">
        <f>E12</f>
        <v>0</v>
      </c>
      <c r="F11" s="32">
        <f>IFERROR(E11/B11*100,0)</f>
        <v>0</v>
      </c>
      <c r="G11" s="31">
        <f>IFERROR(E11/C11*100,0)</f>
        <v>0</v>
      </c>
      <c r="H11" s="32">
        <f>H12</f>
        <v>0</v>
      </c>
      <c r="I11" s="32">
        <f t="shared" ref="I11:AE11" si="0">I12</f>
        <v>0</v>
      </c>
      <c r="J11" s="32">
        <f t="shared" si="0"/>
        <v>0</v>
      </c>
      <c r="K11" s="32">
        <f t="shared" si="0"/>
        <v>0</v>
      </c>
      <c r="L11" s="32">
        <f t="shared" si="0"/>
        <v>0</v>
      </c>
      <c r="M11" s="32">
        <f t="shared" si="0"/>
        <v>0</v>
      </c>
      <c r="N11" s="32">
        <f t="shared" si="0"/>
        <v>0</v>
      </c>
      <c r="O11" s="32">
        <f t="shared" si="0"/>
        <v>0</v>
      </c>
      <c r="P11" s="32">
        <f t="shared" si="0"/>
        <v>0</v>
      </c>
      <c r="Q11" s="32">
        <f t="shared" si="0"/>
        <v>0</v>
      </c>
      <c r="R11" s="32">
        <f t="shared" si="0"/>
        <v>0</v>
      </c>
      <c r="S11" s="32">
        <f t="shared" si="0"/>
        <v>0</v>
      </c>
      <c r="T11" s="32">
        <f t="shared" si="0"/>
        <v>0</v>
      </c>
      <c r="U11" s="32">
        <f t="shared" si="0"/>
        <v>0</v>
      </c>
      <c r="V11" s="32">
        <f t="shared" si="0"/>
        <v>0</v>
      </c>
      <c r="W11" s="32">
        <f t="shared" si="0"/>
        <v>0</v>
      </c>
      <c r="X11" s="32">
        <f t="shared" si="0"/>
        <v>0</v>
      </c>
      <c r="Y11" s="32">
        <f t="shared" si="0"/>
        <v>0</v>
      </c>
      <c r="Z11" s="32">
        <f t="shared" si="0"/>
        <v>0</v>
      </c>
      <c r="AA11" s="32">
        <f t="shared" si="0"/>
        <v>0</v>
      </c>
      <c r="AB11" s="32">
        <f t="shared" si="0"/>
        <v>0</v>
      </c>
      <c r="AC11" s="32">
        <f t="shared" si="0"/>
        <v>0</v>
      </c>
      <c r="AD11" s="32">
        <f t="shared" si="0"/>
        <v>0</v>
      </c>
      <c r="AE11" s="32">
        <f t="shared" si="0"/>
        <v>0</v>
      </c>
      <c r="AF11" s="27"/>
    </row>
    <row r="12" spans="1:32" ht="18.75" x14ac:dyDescent="0.3">
      <c r="A12" s="7" t="s">
        <v>32</v>
      </c>
      <c r="B12" s="32">
        <f>B15+B18+B21</f>
        <v>476.5</v>
      </c>
      <c r="C12" s="32">
        <f>C15+C18+C21</f>
        <v>476.5</v>
      </c>
      <c r="D12" s="32">
        <f>E12</f>
        <v>0</v>
      </c>
      <c r="E12" s="32">
        <f>I12+K12+M12+O12+Q12+S12+U12+W12+Y12+AA12+AC12+AE12</f>
        <v>0</v>
      </c>
      <c r="F12" s="32">
        <f>E12/B12*100</f>
        <v>0</v>
      </c>
      <c r="G12" s="31">
        <f>E12/C12*100</f>
        <v>0</v>
      </c>
      <c r="H12" s="31"/>
      <c r="I12" s="31"/>
      <c r="J12" s="31"/>
      <c r="K12" s="31"/>
      <c r="L12" s="31"/>
      <c r="M12" s="31"/>
      <c r="N12" s="31"/>
      <c r="O12" s="31"/>
      <c r="P12" s="31"/>
      <c r="Q12" s="31"/>
      <c r="R12" s="31"/>
      <c r="S12" s="31"/>
      <c r="T12" s="31"/>
      <c r="U12" s="31"/>
      <c r="V12" s="31"/>
      <c r="W12" s="31"/>
      <c r="X12" s="31"/>
      <c r="Y12" s="31"/>
      <c r="Z12" s="31"/>
      <c r="AA12" s="31"/>
      <c r="AB12" s="31"/>
      <c r="AC12" s="31"/>
      <c r="AD12" s="31"/>
      <c r="AE12" s="31"/>
      <c r="AF12" s="27"/>
    </row>
    <row r="13" spans="1:32" ht="56.25" x14ac:dyDescent="0.3">
      <c r="A13" s="7" t="s">
        <v>43</v>
      </c>
      <c r="B13" s="32"/>
      <c r="C13" s="32"/>
      <c r="D13" s="32"/>
      <c r="E13" s="32"/>
      <c r="F13" s="32"/>
      <c r="G13" s="31"/>
      <c r="H13" s="32"/>
      <c r="I13" s="32"/>
      <c r="J13" s="32"/>
      <c r="K13" s="32"/>
      <c r="L13" s="32"/>
      <c r="M13" s="32"/>
      <c r="N13" s="32"/>
      <c r="O13" s="32"/>
      <c r="P13" s="32"/>
      <c r="Q13" s="32"/>
      <c r="R13" s="32"/>
      <c r="S13" s="32"/>
      <c r="T13" s="32"/>
      <c r="U13" s="32"/>
      <c r="V13" s="32"/>
      <c r="W13" s="32"/>
      <c r="X13" s="32"/>
      <c r="Y13" s="32"/>
      <c r="Z13" s="32"/>
      <c r="AA13" s="32"/>
      <c r="AB13" s="32"/>
      <c r="AC13" s="32"/>
      <c r="AD13" s="32"/>
      <c r="AE13" s="32"/>
      <c r="AF13" s="27"/>
    </row>
    <row r="14" spans="1:32" ht="18.75" x14ac:dyDescent="0.3">
      <c r="A14" s="7" t="s">
        <v>65</v>
      </c>
      <c r="B14" s="32">
        <f>B15</f>
        <v>476.5</v>
      </c>
      <c r="C14" s="32">
        <f>C15</f>
        <v>476.5</v>
      </c>
      <c r="D14" s="32">
        <f>D15</f>
        <v>0</v>
      </c>
      <c r="E14" s="32">
        <f>E15</f>
        <v>0</v>
      </c>
      <c r="F14" s="32">
        <f>E14/B14*100</f>
        <v>0</v>
      </c>
      <c r="G14" s="31">
        <f>E14/C14*100</f>
        <v>0</v>
      </c>
      <c r="H14" s="32">
        <f>H15</f>
        <v>0</v>
      </c>
      <c r="I14" s="32">
        <f t="shared" ref="I14:AE14" si="1">I15</f>
        <v>0</v>
      </c>
      <c r="J14" s="32">
        <f t="shared" si="1"/>
        <v>0</v>
      </c>
      <c r="K14" s="32">
        <f t="shared" si="1"/>
        <v>0</v>
      </c>
      <c r="L14" s="32">
        <f t="shared" si="1"/>
        <v>0</v>
      </c>
      <c r="M14" s="32">
        <f t="shared" si="1"/>
        <v>0</v>
      </c>
      <c r="N14" s="32">
        <f>N15</f>
        <v>476.5</v>
      </c>
      <c r="O14" s="32">
        <f t="shared" si="1"/>
        <v>0</v>
      </c>
      <c r="P14" s="32">
        <f t="shared" si="1"/>
        <v>0</v>
      </c>
      <c r="Q14" s="32">
        <f t="shared" si="1"/>
        <v>0</v>
      </c>
      <c r="R14" s="32">
        <f t="shared" si="1"/>
        <v>0</v>
      </c>
      <c r="S14" s="32">
        <f t="shared" si="1"/>
        <v>0</v>
      </c>
      <c r="T14" s="32">
        <f t="shared" si="1"/>
        <v>0</v>
      </c>
      <c r="U14" s="32">
        <f t="shared" si="1"/>
        <v>0</v>
      </c>
      <c r="V14" s="32">
        <f t="shared" si="1"/>
        <v>0</v>
      </c>
      <c r="W14" s="32">
        <f t="shared" si="1"/>
        <v>0</v>
      </c>
      <c r="X14" s="32">
        <f t="shared" si="1"/>
        <v>0</v>
      </c>
      <c r="Y14" s="32">
        <f t="shared" si="1"/>
        <v>0</v>
      </c>
      <c r="Z14" s="32">
        <f t="shared" si="1"/>
        <v>0</v>
      </c>
      <c r="AA14" s="32">
        <f t="shared" si="1"/>
        <v>0</v>
      </c>
      <c r="AB14" s="32">
        <f t="shared" si="1"/>
        <v>0</v>
      </c>
      <c r="AC14" s="32">
        <f t="shared" si="1"/>
        <v>0</v>
      </c>
      <c r="AD14" s="32">
        <f t="shared" si="1"/>
        <v>0</v>
      </c>
      <c r="AE14" s="32">
        <f t="shared" si="1"/>
        <v>0</v>
      </c>
      <c r="AF14" s="27"/>
    </row>
    <row r="15" spans="1:32" ht="409.5" x14ac:dyDescent="0.3">
      <c r="A15" s="7" t="s">
        <v>32</v>
      </c>
      <c r="B15" s="32">
        <f>H15+J15+L15+N15+P15+R15+T15+V15+X15+Z15+AB15+AD15</f>
        <v>476.5</v>
      </c>
      <c r="C15" s="32">
        <f>H15+J15+L15+N15</f>
        <v>476.5</v>
      </c>
      <c r="D15" s="32">
        <f>E15</f>
        <v>0</v>
      </c>
      <c r="E15" s="32">
        <f>I15+K15+M15+O15+Q15+S15+U15+W15+Y15+AA15+AC15+AE15</f>
        <v>0</v>
      </c>
      <c r="F15" s="32">
        <f>E15/B15*100</f>
        <v>0</v>
      </c>
      <c r="G15" s="31">
        <f>E15/C15*100</f>
        <v>0</v>
      </c>
      <c r="H15" s="31"/>
      <c r="I15" s="31"/>
      <c r="J15" s="31"/>
      <c r="K15" s="31"/>
      <c r="L15" s="31"/>
      <c r="M15" s="31"/>
      <c r="N15" s="32">
        <v>476.5</v>
      </c>
      <c r="O15" s="31"/>
      <c r="P15" s="31"/>
      <c r="Q15" s="31"/>
      <c r="R15" s="31"/>
      <c r="S15" s="31"/>
      <c r="T15" s="31"/>
      <c r="U15" s="31"/>
      <c r="V15" s="31"/>
      <c r="W15" s="31"/>
      <c r="X15" s="31"/>
      <c r="Y15" s="31"/>
      <c r="Z15" s="31"/>
      <c r="AA15" s="31"/>
      <c r="AB15" s="31"/>
      <c r="AC15" s="31"/>
      <c r="AD15" s="31"/>
      <c r="AE15" s="31"/>
      <c r="AF15" s="811" t="s">
        <v>561</v>
      </c>
    </row>
    <row r="16" spans="1:32" ht="56.25" x14ac:dyDescent="0.3">
      <c r="A16" s="7" t="s">
        <v>44</v>
      </c>
      <c r="B16" s="32"/>
      <c r="C16" s="32"/>
      <c r="D16" s="32"/>
      <c r="E16" s="32"/>
      <c r="F16" s="32"/>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27"/>
    </row>
    <row r="17" spans="1:32" ht="18.75" x14ac:dyDescent="0.3">
      <c r="A17" s="7" t="s">
        <v>65</v>
      </c>
      <c r="B17" s="32">
        <f>B18</f>
        <v>0</v>
      </c>
      <c r="C17" s="32">
        <f>C18</f>
        <v>0</v>
      </c>
      <c r="D17" s="32">
        <f>D18</f>
        <v>0</v>
      </c>
      <c r="E17" s="32">
        <f>E18</f>
        <v>0</v>
      </c>
      <c r="F17" s="32" t="e">
        <f>E17/B17*100</f>
        <v>#DIV/0!</v>
      </c>
      <c r="G17" s="31" t="e">
        <f>E17/C17*100</f>
        <v>#DIV/0!</v>
      </c>
      <c r="H17" s="32">
        <f>H18</f>
        <v>0</v>
      </c>
      <c r="I17" s="32">
        <f t="shared" ref="I17:AE17" si="2">I18</f>
        <v>0</v>
      </c>
      <c r="J17" s="32">
        <f t="shared" si="2"/>
        <v>0</v>
      </c>
      <c r="K17" s="32">
        <f t="shared" si="2"/>
        <v>0</v>
      </c>
      <c r="L17" s="32">
        <f t="shared" si="2"/>
        <v>0</v>
      </c>
      <c r="M17" s="32">
        <f t="shared" si="2"/>
        <v>0</v>
      </c>
      <c r="N17" s="32">
        <f t="shared" si="2"/>
        <v>0</v>
      </c>
      <c r="O17" s="32">
        <f t="shared" si="2"/>
        <v>0</v>
      </c>
      <c r="P17" s="32">
        <f t="shared" si="2"/>
        <v>0</v>
      </c>
      <c r="Q17" s="32">
        <f t="shared" si="2"/>
        <v>0</v>
      </c>
      <c r="R17" s="32">
        <f t="shared" si="2"/>
        <v>0</v>
      </c>
      <c r="S17" s="32">
        <f t="shared" si="2"/>
        <v>0</v>
      </c>
      <c r="T17" s="32">
        <f t="shared" si="2"/>
        <v>0</v>
      </c>
      <c r="U17" s="32">
        <f t="shared" si="2"/>
        <v>0</v>
      </c>
      <c r="V17" s="32">
        <f t="shared" si="2"/>
        <v>0</v>
      </c>
      <c r="W17" s="32">
        <f t="shared" si="2"/>
        <v>0</v>
      </c>
      <c r="X17" s="32">
        <f t="shared" si="2"/>
        <v>0</v>
      </c>
      <c r="Y17" s="32">
        <f t="shared" si="2"/>
        <v>0</v>
      </c>
      <c r="Z17" s="32">
        <f t="shared" si="2"/>
        <v>0</v>
      </c>
      <c r="AA17" s="32">
        <f t="shared" si="2"/>
        <v>0</v>
      </c>
      <c r="AB17" s="32">
        <f t="shared" si="2"/>
        <v>0</v>
      </c>
      <c r="AC17" s="32">
        <f t="shared" si="2"/>
        <v>0</v>
      </c>
      <c r="AD17" s="32">
        <f t="shared" si="2"/>
        <v>0</v>
      </c>
      <c r="AE17" s="32">
        <f t="shared" si="2"/>
        <v>0</v>
      </c>
      <c r="AF17" s="27"/>
    </row>
    <row r="18" spans="1:32" ht="18.75" x14ac:dyDescent="0.3">
      <c r="A18" s="7" t="s">
        <v>32</v>
      </c>
      <c r="B18" s="32">
        <f>H18+J18+L18+N18+P18+R18+T18+V18+X18+Z18+AB18+AD18</f>
        <v>0</v>
      </c>
      <c r="C18" s="32">
        <f>H18+J18+L18+N18</f>
        <v>0</v>
      </c>
      <c r="D18" s="32">
        <f>E18</f>
        <v>0</v>
      </c>
      <c r="E18" s="32">
        <f>I18+K18+M18+O18+Q18+S18+U18+W18+Y18+AA18+AC18+AE18</f>
        <v>0</v>
      </c>
      <c r="F18" s="32" t="e">
        <f>E18/B18*100</f>
        <v>#DIV/0!</v>
      </c>
      <c r="G18" s="31" t="e">
        <f>E18/C18*100</f>
        <v>#DIV/0!</v>
      </c>
      <c r="H18" s="31"/>
      <c r="I18" s="31"/>
      <c r="J18" s="31"/>
      <c r="K18" s="31"/>
      <c r="L18" s="31"/>
      <c r="M18" s="31"/>
      <c r="N18" s="31"/>
      <c r="O18" s="31"/>
      <c r="P18" s="31"/>
      <c r="Q18" s="31"/>
      <c r="R18" s="31"/>
      <c r="S18" s="31"/>
      <c r="T18" s="31"/>
      <c r="U18" s="31"/>
      <c r="V18" s="31"/>
      <c r="W18" s="31"/>
      <c r="X18" s="31"/>
      <c r="Y18" s="31"/>
      <c r="Z18" s="31"/>
      <c r="AA18" s="31"/>
      <c r="AB18" s="31"/>
      <c r="AC18" s="31"/>
      <c r="AD18" s="31"/>
      <c r="AE18" s="31"/>
      <c r="AF18" s="27"/>
    </row>
    <row r="19" spans="1:32" ht="37.5" x14ac:dyDescent="0.3">
      <c r="A19" s="7" t="s">
        <v>45</v>
      </c>
      <c r="B19" s="32"/>
      <c r="C19" s="32"/>
      <c r="D19" s="32"/>
      <c r="E19" s="32"/>
      <c r="F19" s="32"/>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27"/>
    </row>
    <row r="20" spans="1:32" ht="18.75" x14ac:dyDescent="0.3">
      <c r="A20" s="7" t="s">
        <v>65</v>
      </c>
      <c r="B20" s="32">
        <f>B21</f>
        <v>0</v>
      </c>
      <c r="C20" s="32">
        <f>C21</f>
        <v>0</v>
      </c>
      <c r="D20" s="32">
        <f>D21</f>
        <v>0</v>
      </c>
      <c r="E20" s="32">
        <f>E21</f>
        <v>0</v>
      </c>
      <c r="F20" s="32" t="e">
        <f>E20/B20*100</f>
        <v>#DIV/0!</v>
      </c>
      <c r="G20" s="31" t="e">
        <f>E20/C20*100</f>
        <v>#DIV/0!</v>
      </c>
      <c r="H20" s="32">
        <f>H21</f>
        <v>0</v>
      </c>
      <c r="I20" s="32">
        <f t="shared" ref="I20:AE20" si="3">I21</f>
        <v>0</v>
      </c>
      <c r="J20" s="32">
        <f t="shared" si="3"/>
        <v>0</v>
      </c>
      <c r="K20" s="32">
        <f t="shared" si="3"/>
        <v>0</v>
      </c>
      <c r="L20" s="32">
        <f t="shared" si="3"/>
        <v>0</v>
      </c>
      <c r="M20" s="32">
        <f t="shared" si="3"/>
        <v>0</v>
      </c>
      <c r="N20" s="32">
        <f t="shared" si="3"/>
        <v>0</v>
      </c>
      <c r="O20" s="32">
        <f t="shared" si="3"/>
        <v>0</v>
      </c>
      <c r="P20" s="32">
        <f t="shared" si="3"/>
        <v>0</v>
      </c>
      <c r="Q20" s="32">
        <f t="shared" si="3"/>
        <v>0</v>
      </c>
      <c r="R20" s="32">
        <f t="shared" si="3"/>
        <v>0</v>
      </c>
      <c r="S20" s="32">
        <f t="shared" si="3"/>
        <v>0</v>
      </c>
      <c r="T20" s="32">
        <f t="shared" si="3"/>
        <v>0</v>
      </c>
      <c r="U20" s="32">
        <f t="shared" si="3"/>
        <v>0</v>
      </c>
      <c r="V20" s="32">
        <f t="shared" si="3"/>
        <v>0</v>
      </c>
      <c r="W20" s="32">
        <f t="shared" si="3"/>
        <v>0</v>
      </c>
      <c r="X20" s="32">
        <f t="shared" si="3"/>
        <v>0</v>
      </c>
      <c r="Y20" s="32">
        <f t="shared" si="3"/>
        <v>0</v>
      </c>
      <c r="Z20" s="32">
        <f t="shared" si="3"/>
        <v>0</v>
      </c>
      <c r="AA20" s="32">
        <f t="shared" si="3"/>
        <v>0</v>
      </c>
      <c r="AB20" s="32">
        <f t="shared" si="3"/>
        <v>0</v>
      </c>
      <c r="AC20" s="32">
        <f t="shared" si="3"/>
        <v>0</v>
      </c>
      <c r="AD20" s="32">
        <f t="shared" si="3"/>
        <v>0</v>
      </c>
      <c r="AE20" s="32">
        <f t="shared" si="3"/>
        <v>0</v>
      </c>
      <c r="AF20" s="27"/>
    </row>
    <row r="21" spans="1:32" ht="18.75" x14ac:dyDescent="0.3">
      <c r="A21" s="7" t="s">
        <v>32</v>
      </c>
      <c r="B21" s="32">
        <f>H21+J21+L21+N21+P21+R21+T21+V21+X21+Z21+AB21+AD21</f>
        <v>0</v>
      </c>
      <c r="C21" s="32">
        <f>H21+J21+L21+N21</f>
        <v>0</v>
      </c>
      <c r="D21" s="32">
        <f>E21</f>
        <v>0</v>
      </c>
      <c r="E21" s="32">
        <f>I21+K21+M21+O21+Q21+S21+U21+W21+Y21+AA21+AC21+AE21</f>
        <v>0</v>
      </c>
      <c r="F21" s="32" t="e">
        <f>E21/B21*100</f>
        <v>#DIV/0!</v>
      </c>
      <c r="G21" s="31" t="e">
        <f>E21/C21*100</f>
        <v>#DIV/0!</v>
      </c>
      <c r="H21" s="31"/>
      <c r="I21" s="31"/>
      <c r="J21" s="31"/>
      <c r="K21" s="31"/>
      <c r="L21" s="31"/>
      <c r="M21" s="31"/>
      <c r="N21" s="31"/>
      <c r="O21" s="31"/>
      <c r="P21" s="31"/>
      <c r="Q21" s="31"/>
      <c r="R21" s="31"/>
      <c r="S21" s="31"/>
      <c r="T21" s="31"/>
      <c r="U21" s="31"/>
      <c r="V21" s="31"/>
      <c r="W21" s="31"/>
      <c r="X21" s="31"/>
      <c r="Y21" s="31"/>
      <c r="Z21" s="31"/>
      <c r="AA21" s="31"/>
      <c r="AB21" s="31"/>
      <c r="AC21" s="31"/>
      <c r="AD21" s="31"/>
      <c r="AE21" s="31"/>
      <c r="AF21" s="27"/>
    </row>
    <row r="22" spans="1:32" ht="131.25" customHeight="1" x14ac:dyDescent="0.3">
      <c r="A22" s="28" t="s">
        <v>46</v>
      </c>
      <c r="B22" s="32"/>
      <c r="C22" s="32"/>
      <c r="D22" s="32"/>
      <c r="E22" s="32"/>
      <c r="F22" s="32"/>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c r="AF22" s="811" t="s">
        <v>560</v>
      </c>
    </row>
    <row r="23" spans="1:32" ht="18.75" x14ac:dyDescent="0.3">
      <c r="A23" s="7" t="s">
        <v>65</v>
      </c>
      <c r="B23" s="32">
        <f>B24</f>
        <v>950</v>
      </c>
      <c r="C23" s="32">
        <f>C24</f>
        <v>360</v>
      </c>
      <c r="D23" s="32">
        <f>D24</f>
        <v>360</v>
      </c>
      <c r="E23" s="32">
        <f>E24</f>
        <v>360</v>
      </c>
      <c r="F23" s="32">
        <f>E23/B23*100</f>
        <v>37.894736842105267</v>
      </c>
      <c r="G23" s="31">
        <f>E23/C23*100</f>
        <v>100</v>
      </c>
      <c r="H23" s="32">
        <f>H24</f>
        <v>0</v>
      </c>
      <c r="I23" s="32">
        <f t="shared" ref="I23:AE23" si="4">I24</f>
        <v>0</v>
      </c>
      <c r="J23" s="32">
        <f t="shared" si="4"/>
        <v>0</v>
      </c>
      <c r="K23" s="32">
        <f t="shared" si="4"/>
        <v>0</v>
      </c>
      <c r="L23" s="32">
        <f t="shared" si="4"/>
        <v>0</v>
      </c>
      <c r="M23" s="32">
        <f t="shared" si="4"/>
        <v>0</v>
      </c>
      <c r="N23" s="32">
        <f t="shared" si="4"/>
        <v>0</v>
      </c>
      <c r="O23" s="32">
        <f t="shared" si="4"/>
        <v>0</v>
      </c>
      <c r="P23" s="32">
        <f t="shared" si="4"/>
        <v>360</v>
      </c>
      <c r="Q23" s="32">
        <f t="shared" si="4"/>
        <v>360</v>
      </c>
      <c r="R23" s="32">
        <f t="shared" si="4"/>
        <v>0</v>
      </c>
      <c r="S23" s="32">
        <f t="shared" si="4"/>
        <v>0</v>
      </c>
      <c r="T23" s="32">
        <f t="shared" si="4"/>
        <v>270</v>
      </c>
      <c r="U23" s="32">
        <f t="shared" si="4"/>
        <v>0</v>
      </c>
      <c r="V23" s="32">
        <f t="shared" si="4"/>
        <v>0</v>
      </c>
      <c r="W23" s="32">
        <f t="shared" si="4"/>
        <v>0</v>
      </c>
      <c r="X23" s="32">
        <f t="shared" si="4"/>
        <v>0</v>
      </c>
      <c r="Y23" s="32">
        <f t="shared" si="4"/>
        <v>0</v>
      </c>
      <c r="Z23" s="32">
        <f t="shared" si="4"/>
        <v>270</v>
      </c>
      <c r="AA23" s="32">
        <f t="shared" si="4"/>
        <v>0</v>
      </c>
      <c r="AB23" s="32">
        <f t="shared" si="4"/>
        <v>0</v>
      </c>
      <c r="AC23" s="32">
        <f t="shared" si="4"/>
        <v>0</v>
      </c>
      <c r="AD23" s="32">
        <f t="shared" si="4"/>
        <v>50</v>
      </c>
      <c r="AE23" s="32">
        <f t="shared" si="4"/>
        <v>0</v>
      </c>
      <c r="AF23" s="27"/>
    </row>
    <row r="24" spans="1:32" ht="18.75" x14ac:dyDescent="0.3">
      <c r="A24" s="7" t="s">
        <v>33</v>
      </c>
      <c r="B24" s="32">
        <f>H24+J24+L24+N24+P24+R24+T24+V24+X24+Z24+AB24+AD24</f>
        <v>950</v>
      </c>
      <c r="C24" s="32">
        <f>H24+J24+L24+N24+P24</f>
        <v>360</v>
      </c>
      <c r="D24" s="32">
        <f>E24</f>
        <v>360</v>
      </c>
      <c r="E24" s="32">
        <f>I24+K24+M24+O24+Q24+S24+U24+W24+Y24+AA24+AC24+AE24</f>
        <v>360</v>
      </c>
      <c r="F24" s="32">
        <f>E24/B24*100</f>
        <v>37.894736842105267</v>
      </c>
      <c r="G24" s="31">
        <f>E24/C24*100</f>
        <v>100</v>
      </c>
      <c r="H24" s="31"/>
      <c r="I24" s="31"/>
      <c r="J24" s="31"/>
      <c r="K24" s="31"/>
      <c r="L24" s="31"/>
      <c r="M24" s="31"/>
      <c r="N24" s="31"/>
      <c r="O24" s="31"/>
      <c r="P24" s="31">
        <v>360</v>
      </c>
      <c r="Q24" s="31">
        <v>360</v>
      </c>
      <c r="R24" s="31">
        <v>0</v>
      </c>
      <c r="S24" s="31"/>
      <c r="T24" s="31">
        <v>270</v>
      </c>
      <c r="U24" s="31"/>
      <c r="V24" s="31">
        <v>0</v>
      </c>
      <c r="W24" s="31"/>
      <c r="X24" s="31">
        <v>0</v>
      </c>
      <c r="Y24" s="31"/>
      <c r="Z24" s="31">
        <v>270</v>
      </c>
      <c r="AA24" s="31"/>
      <c r="AB24" s="31">
        <v>0</v>
      </c>
      <c r="AC24" s="31"/>
      <c r="AD24" s="31">
        <v>50</v>
      </c>
      <c r="AE24" s="31"/>
      <c r="AF24" s="27"/>
    </row>
    <row r="25" spans="1:32" ht="18.75" x14ac:dyDescent="0.3">
      <c r="A25" s="42" t="s">
        <v>53</v>
      </c>
      <c r="B25" s="38"/>
      <c r="C25" s="38"/>
      <c r="D25" s="38"/>
      <c r="E25" s="38"/>
      <c r="F25" s="38"/>
      <c r="G25" s="38"/>
      <c r="H25" s="38"/>
      <c r="I25" s="38"/>
      <c r="J25" s="38"/>
      <c r="K25" s="38"/>
      <c r="L25" s="38"/>
      <c r="M25" s="38"/>
      <c r="N25" s="39"/>
      <c r="O25" s="39"/>
      <c r="P25" s="39"/>
      <c r="Q25" s="39"/>
      <c r="R25" s="39"/>
      <c r="S25" s="39"/>
      <c r="T25" s="39"/>
      <c r="U25" s="39"/>
      <c r="V25" s="39"/>
      <c r="W25" s="39"/>
      <c r="X25" s="39"/>
      <c r="Y25" s="39"/>
      <c r="Z25" s="39"/>
      <c r="AA25" s="39"/>
      <c r="AB25" s="39"/>
      <c r="AC25" s="39"/>
      <c r="AD25" s="39"/>
      <c r="AE25" s="40"/>
      <c r="AF25" s="27"/>
    </row>
    <row r="26" spans="1:32" ht="18.75" x14ac:dyDescent="0.3">
      <c r="A26" s="37" t="s">
        <v>65</v>
      </c>
      <c r="B26" s="32">
        <f>B27+B28</f>
        <v>1426.5</v>
      </c>
      <c r="C26" s="31">
        <f>C27+C28</f>
        <v>836.5</v>
      </c>
      <c r="D26" s="31">
        <f>D27+D28</f>
        <v>360</v>
      </c>
      <c r="E26" s="31">
        <f>E27+E28</f>
        <v>360</v>
      </c>
      <c r="F26" s="31">
        <f t="shared" ref="F26:F40" si="5">E26/B26*100</f>
        <v>25.236593059936908</v>
      </c>
      <c r="G26" s="31">
        <f t="shared" ref="G26:G40" si="6">E26/C26*100</f>
        <v>43.036461446503289</v>
      </c>
      <c r="H26" s="32">
        <f>H27+H28</f>
        <v>0</v>
      </c>
      <c r="I26" s="32">
        <f t="shared" ref="I26:Q26" si="7">I27+I28</f>
        <v>0</v>
      </c>
      <c r="J26" s="32">
        <f t="shared" si="7"/>
        <v>0</v>
      </c>
      <c r="K26" s="32">
        <f t="shared" si="7"/>
        <v>0</v>
      </c>
      <c r="L26" s="32">
        <f t="shared" si="7"/>
        <v>0</v>
      </c>
      <c r="M26" s="32">
        <f t="shared" si="7"/>
        <v>0</v>
      </c>
      <c r="N26" s="32">
        <f t="shared" si="7"/>
        <v>0</v>
      </c>
      <c r="O26" s="32">
        <f t="shared" si="7"/>
        <v>0</v>
      </c>
      <c r="P26" s="32">
        <f t="shared" si="7"/>
        <v>360</v>
      </c>
      <c r="Q26" s="32">
        <f t="shared" si="7"/>
        <v>360</v>
      </c>
      <c r="R26" s="32">
        <f t="shared" ref="R26:AE26" si="8">R27+R28</f>
        <v>0</v>
      </c>
      <c r="S26" s="32">
        <f t="shared" si="8"/>
        <v>0</v>
      </c>
      <c r="T26" s="32">
        <f t="shared" si="8"/>
        <v>270</v>
      </c>
      <c r="U26" s="32">
        <f t="shared" si="8"/>
        <v>0</v>
      </c>
      <c r="V26" s="32">
        <f t="shared" si="8"/>
        <v>0</v>
      </c>
      <c r="W26" s="32">
        <f t="shared" si="8"/>
        <v>0</v>
      </c>
      <c r="X26" s="32">
        <f t="shared" si="8"/>
        <v>0</v>
      </c>
      <c r="Y26" s="32">
        <f t="shared" si="8"/>
        <v>0</v>
      </c>
      <c r="Z26" s="32">
        <f t="shared" si="8"/>
        <v>270</v>
      </c>
      <c r="AA26" s="32">
        <f t="shared" si="8"/>
        <v>0</v>
      </c>
      <c r="AB26" s="32">
        <f t="shared" si="8"/>
        <v>0</v>
      </c>
      <c r="AC26" s="32">
        <f t="shared" si="8"/>
        <v>0</v>
      </c>
      <c r="AD26" s="32">
        <f t="shared" si="8"/>
        <v>50</v>
      </c>
      <c r="AE26" s="32">
        <f t="shared" si="8"/>
        <v>0</v>
      </c>
      <c r="AF26" s="27"/>
    </row>
    <row r="27" spans="1:32" ht="18.75" x14ac:dyDescent="0.3">
      <c r="A27" s="7" t="s">
        <v>32</v>
      </c>
      <c r="B27" s="32">
        <f>B12</f>
        <v>476.5</v>
      </c>
      <c r="C27" s="32">
        <f>C12</f>
        <v>476.5</v>
      </c>
      <c r="D27" s="32">
        <f>D12</f>
        <v>0</v>
      </c>
      <c r="E27" s="32">
        <f>E12</f>
        <v>0</v>
      </c>
      <c r="F27" s="31">
        <f t="shared" si="5"/>
        <v>0</v>
      </c>
      <c r="G27" s="31">
        <f t="shared" si="6"/>
        <v>0</v>
      </c>
      <c r="H27" s="32">
        <f>H12</f>
        <v>0</v>
      </c>
      <c r="I27" s="32">
        <f t="shared" ref="I27:Q27" si="9">I12</f>
        <v>0</v>
      </c>
      <c r="J27" s="32">
        <f t="shared" si="9"/>
        <v>0</v>
      </c>
      <c r="K27" s="32">
        <f t="shared" si="9"/>
        <v>0</v>
      </c>
      <c r="L27" s="32">
        <f t="shared" si="9"/>
        <v>0</v>
      </c>
      <c r="M27" s="32">
        <f t="shared" si="9"/>
        <v>0</v>
      </c>
      <c r="N27" s="32">
        <f t="shared" si="9"/>
        <v>0</v>
      </c>
      <c r="O27" s="32">
        <f t="shared" si="9"/>
        <v>0</v>
      </c>
      <c r="P27" s="32">
        <f t="shared" si="9"/>
        <v>0</v>
      </c>
      <c r="Q27" s="32">
        <f t="shared" si="9"/>
        <v>0</v>
      </c>
      <c r="R27" s="32">
        <f t="shared" ref="R27:AE27" si="10">R12</f>
        <v>0</v>
      </c>
      <c r="S27" s="32">
        <f t="shared" si="10"/>
        <v>0</v>
      </c>
      <c r="T27" s="32">
        <f t="shared" si="10"/>
        <v>0</v>
      </c>
      <c r="U27" s="32">
        <f t="shared" si="10"/>
        <v>0</v>
      </c>
      <c r="V27" s="32">
        <f t="shared" si="10"/>
        <v>0</v>
      </c>
      <c r="W27" s="32">
        <f t="shared" si="10"/>
        <v>0</v>
      </c>
      <c r="X27" s="32">
        <f t="shared" si="10"/>
        <v>0</v>
      </c>
      <c r="Y27" s="32">
        <f t="shared" si="10"/>
        <v>0</v>
      </c>
      <c r="Z27" s="32">
        <f t="shared" si="10"/>
        <v>0</v>
      </c>
      <c r="AA27" s="32">
        <f t="shared" si="10"/>
        <v>0</v>
      </c>
      <c r="AB27" s="32">
        <f t="shared" si="10"/>
        <v>0</v>
      </c>
      <c r="AC27" s="32">
        <f t="shared" si="10"/>
        <v>0</v>
      </c>
      <c r="AD27" s="32">
        <f t="shared" si="10"/>
        <v>0</v>
      </c>
      <c r="AE27" s="32">
        <f t="shared" si="10"/>
        <v>0</v>
      </c>
      <c r="AF27" s="27"/>
    </row>
    <row r="28" spans="1:32" ht="18.75" x14ac:dyDescent="0.3">
      <c r="A28" s="7" t="s">
        <v>33</v>
      </c>
      <c r="B28" s="32">
        <f>B24</f>
        <v>950</v>
      </c>
      <c r="C28" s="32">
        <f>C24</f>
        <v>360</v>
      </c>
      <c r="D28" s="32">
        <f>D24</f>
        <v>360</v>
      </c>
      <c r="E28" s="32">
        <f>E24</f>
        <v>360</v>
      </c>
      <c r="F28" s="31">
        <f t="shared" si="5"/>
        <v>37.894736842105267</v>
      </c>
      <c r="G28" s="31">
        <f t="shared" si="6"/>
        <v>100</v>
      </c>
      <c r="H28" s="32">
        <f>H24</f>
        <v>0</v>
      </c>
      <c r="I28" s="32">
        <f t="shared" ref="I28:Q28" si="11">I24</f>
        <v>0</v>
      </c>
      <c r="J28" s="32">
        <f t="shared" si="11"/>
        <v>0</v>
      </c>
      <c r="K28" s="32">
        <f t="shared" si="11"/>
        <v>0</v>
      </c>
      <c r="L28" s="32">
        <f t="shared" si="11"/>
        <v>0</v>
      </c>
      <c r="M28" s="32">
        <f t="shared" si="11"/>
        <v>0</v>
      </c>
      <c r="N28" s="32">
        <f t="shared" si="11"/>
        <v>0</v>
      </c>
      <c r="O28" s="32">
        <f t="shared" si="11"/>
        <v>0</v>
      </c>
      <c r="P28" s="32">
        <f t="shared" si="11"/>
        <v>360</v>
      </c>
      <c r="Q28" s="32">
        <f t="shared" si="11"/>
        <v>360</v>
      </c>
      <c r="R28" s="32">
        <f t="shared" ref="R28:AE28" si="12">R24</f>
        <v>0</v>
      </c>
      <c r="S28" s="32">
        <f t="shared" si="12"/>
        <v>0</v>
      </c>
      <c r="T28" s="32">
        <f t="shared" si="12"/>
        <v>270</v>
      </c>
      <c r="U28" s="32">
        <f t="shared" si="12"/>
        <v>0</v>
      </c>
      <c r="V28" s="32">
        <f t="shared" si="12"/>
        <v>0</v>
      </c>
      <c r="W28" s="32">
        <f t="shared" si="12"/>
        <v>0</v>
      </c>
      <c r="X28" s="32">
        <f t="shared" si="12"/>
        <v>0</v>
      </c>
      <c r="Y28" s="32">
        <f t="shared" si="12"/>
        <v>0</v>
      </c>
      <c r="Z28" s="32">
        <f t="shared" si="12"/>
        <v>270</v>
      </c>
      <c r="AA28" s="32">
        <f t="shared" si="12"/>
        <v>0</v>
      </c>
      <c r="AB28" s="32">
        <f t="shared" si="12"/>
        <v>0</v>
      </c>
      <c r="AC28" s="32">
        <f t="shared" si="12"/>
        <v>0</v>
      </c>
      <c r="AD28" s="32">
        <f t="shared" si="12"/>
        <v>50</v>
      </c>
      <c r="AE28" s="32">
        <f t="shared" si="12"/>
        <v>0</v>
      </c>
      <c r="AF28" s="27"/>
    </row>
    <row r="29" spans="1:32" ht="18.75" x14ac:dyDescent="0.3">
      <c r="A29" s="28" t="s">
        <v>72</v>
      </c>
      <c r="B29" s="32"/>
      <c r="C29" s="32"/>
      <c r="D29" s="32"/>
      <c r="E29" s="32"/>
      <c r="F29" s="31" t="e">
        <f t="shared" si="5"/>
        <v>#DIV/0!</v>
      </c>
      <c r="G29" s="31" t="e">
        <f t="shared" si="6"/>
        <v>#DIV/0!</v>
      </c>
      <c r="H29" s="32"/>
      <c r="I29" s="32"/>
      <c r="J29" s="32"/>
      <c r="K29" s="32"/>
      <c r="L29" s="32"/>
      <c r="M29" s="32"/>
      <c r="N29" s="32"/>
      <c r="O29" s="32"/>
      <c r="P29" s="32"/>
      <c r="Q29" s="32"/>
      <c r="R29" s="32"/>
      <c r="S29" s="32"/>
      <c r="T29" s="32"/>
      <c r="U29" s="32"/>
      <c r="V29" s="32"/>
      <c r="W29" s="32"/>
      <c r="X29" s="32"/>
      <c r="Y29" s="32"/>
      <c r="Z29" s="32"/>
      <c r="AA29" s="32"/>
      <c r="AB29" s="32"/>
      <c r="AC29" s="32"/>
      <c r="AD29" s="32"/>
      <c r="AE29" s="32"/>
      <c r="AF29" s="27"/>
    </row>
    <row r="30" spans="1:32" ht="18.75" x14ac:dyDescent="0.3">
      <c r="A30" s="8" t="s">
        <v>31</v>
      </c>
      <c r="B30" s="32">
        <f>B31+B32</f>
        <v>1426.5</v>
      </c>
      <c r="C30" s="32">
        <f>C31+C32</f>
        <v>836.5</v>
      </c>
      <c r="D30" s="32">
        <f>D31+D32</f>
        <v>360</v>
      </c>
      <c r="E30" s="32">
        <f>E31+E32</f>
        <v>360</v>
      </c>
      <c r="F30" s="31">
        <f t="shared" si="5"/>
        <v>25.236593059936908</v>
      </c>
      <c r="G30" s="31">
        <f t="shared" si="6"/>
        <v>43.036461446503289</v>
      </c>
      <c r="H30" s="32">
        <f>H31+H32</f>
        <v>0</v>
      </c>
      <c r="I30" s="32">
        <f t="shared" ref="I30:AE30" si="13">I31+I32</f>
        <v>0</v>
      </c>
      <c r="J30" s="32">
        <f t="shared" si="13"/>
        <v>0</v>
      </c>
      <c r="K30" s="32">
        <f t="shared" si="13"/>
        <v>0</v>
      </c>
      <c r="L30" s="32">
        <f t="shared" si="13"/>
        <v>0</v>
      </c>
      <c r="M30" s="32">
        <f t="shared" si="13"/>
        <v>0</v>
      </c>
      <c r="N30" s="32">
        <f t="shared" si="13"/>
        <v>0</v>
      </c>
      <c r="O30" s="32">
        <f t="shared" si="13"/>
        <v>0</v>
      </c>
      <c r="P30" s="32">
        <f t="shared" si="13"/>
        <v>360</v>
      </c>
      <c r="Q30" s="32">
        <f t="shared" si="13"/>
        <v>360</v>
      </c>
      <c r="R30" s="32">
        <f t="shared" si="13"/>
        <v>0</v>
      </c>
      <c r="S30" s="32">
        <f t="shared" si="13"/>
        <v>0</v>
      </c>
      <c r="T30" s="32">
        <f t="shared" si="13"/>
        <v>270</v>
      </c>
      <c r="U30" s="32">
        <f t="shared" si="13"/>
        <v>0</v>
      </c>
      <c r="V30" s="32">
        <f t="shared" si="13"/>
        <v>0</v>
      </c>
      <c r="W30" s="32">
        <f t="shared" si="13"/>
        <v>0</v>
      </c>
      <c r="X30" s="32">
        <f t="shared" si="13"/>
        <v>0</v>
      </c>
      <c r="Y30" s="32">
        <f t="shared" si="13"/>
        <v>0</v>
      </c>
      <c r="Z30" s="32">
        <f t="shared" si="13"/>
        <v>270</v>
      </c>
      <c r="AA30" s="32">
        <f t="shared" si="13"/>
        <v>0</v>
      </c>
      <c r="AB30" s="32">
        <f t="shared" si="13"/>
        <v>0</v>
      </c>
      <c r="AC30" s="32">
        <f t="shared" si="13"/>
        <v>0</v>
      </c>
      <c r="AD30" s="32">
        <f t="shared" si="13"/>
        <v>50</v>
      </c>
      <c r="AE30" s="32">
        <f t="shared" si="13"/>
        <v>0</v>
      </c>
      <c r="AF30" s="27"/>
    </row>
    <row r="31" spans="1:32" ht="18.75" x14ac:dyDescent="0.3">
      <c r="A31" s="7" t="s">
        <v>32</v>
      </c>
      <c r="B31" s="32">
        <f t="shared" ref="B31:E32" si="14">B27</f>
        <v>476.5</v>
      </c>
      <c r="C31" s="32">
        <f t="shared" si="14"/>
        <v>476.5</v>
      </c>
      <c r="D31" s="32">
        <f t="shared" si="14"/>
        <v>0</v>
      </c>
      <c r="E31" s="32">
        <f t="shared" si="14"/>
        <v>0</v>
      </c>
      <c r="F31" s="31">
        <f t="shared" si="5"/>
        <v>0</v>
      </c>
      <c r="G31" s="31">
        <f t="shared" si="6"/>
        <v>0</v>
      </c>
      <c r="H31" s="32">
        <f>H27</f>
        <v>0</v>
      </c>
      <c r="I31" s="32">
        <f t="shared" ref="I31:AE31" si="15">I27</f>
        <v>0</v>
      </c>
      <c r="J31" s="32">
        <f t="shared" si="15"/>
        <v>0</v>
      </c>
      <c r="K31" s="32">
        <f t="shared" si="15"/>
        <v>0</v>
      </c>
      <c r="L31" s="32">
        <f t="shared" si="15"/>
        <v>0</v>
      </c>
      <c r="M31" s="32">
        <f t="shared" si="15"/>
        <v>0</v>
      </c>
      <c r="N31" s="32">
        <f t="shared" si="15"/>
        <v>0</v>
      </c>
      <c r="O31" s="32">
        <f t="shared" si="15"/>
        <v>0</v>
      </c>
      <c r="P31" s="32">
        <f t="shared" si="15"/>
        <v>0</v>
      </c>
      <c r="Q31" s="32">
        <f t="shared" si="15"/>
        <v>0</v>
      </c>
      <c r="R31" s="32">
        <f t="shared" si="15"/>
        <v>0</v>
      </c>
      <c r="S31" s="32">
        <f t="shared" si="15"/>
        <v>0</v>
      </c>
      <c r="T31" s="32">
        <f t="shared" si="15"/>
        <v>0</v>
      </c>
      <c r="U31" s="32">
        <f t="shared" si="15"/>
        <v>0</v>
      </c>
      <c r="V31" s="32">
        <f t="shared" si="15"/>
        <v>0</v>
      </c>
      <c r="W31" s="32">
        <f t="shared" si="15"/>
        <v>0</v>
      </c>
      <c r="X31" s="32">
        <f t="shared" si="15"/>
        <v>0</v>
      </c>
      <c r="Y31" s="32">
        <f t="shared" si="15"/>
        <v>0</v>
      </c>
      <c r="Z31" s="32">
        <f t="shared" si="15"/>
        <v>0</v>
      </c>
      <c r="AA31" s="32">
        <f t="shared" si="15"/>
        <v>0</v>
      </c>
      <c r="AB31" s="32">
        <f t="shared" si="15"/>
        <v>0</v>
      </c>
      <c r="AC31" s="32">
        <f t="shared" si="15"/>
        <v>0</v>
      </c>
      <c r="AD31" s="32">
        <f t="shared" si="15"/>
        <v>0</v>
      </c>
      <c r="AE31" s="32">
        <f t="shared" si="15"/>
        <v>0</v>
      </c>
      <c r="AF31" s="27"/>
    </row>
    <row r="32" spans="1:32" ht="18.75" x14ac:dyDescent="0.3">
      <c r="A32" s="7" t="s">
        <v>33</v>
      </c>
      <c r="B32" s="32">
        <f t="shared" si="14"/>
        <v>950</v>
      </c>
      <c r="C32" s="32">
        <f t="shared" si="14"/>
        <v>360</v>
      </c>
      <c r="D32" s="32">
        <f t="shared" si="14"/>
        <v>360</v>
      </c>
      <c r="E32" s="32">
        <f t="shared" si="14"/>
        <v>360</v>
      </c>
      <c r="F32" s="31">
        <f t="shared" si="5"/>
        <v>37.894736842105267</v>
      </c>
      <c r="G32" s="31">
        <f t="shared" si="6"/>
        <v>100</v>
      </c>
      <c r="H32" s="32">
        <f>H28</f>
        <v>0</v>
      </c>
      <c r="I32" s="32">
        <f t="shared" ref="I32:AE32" si="16">I28</f>
        <v>0</v>
      </c>
      <c r="J32" s="32">
        <f t="shared" si="16"/>
        <v>0</v>
      </c>
      <c r="K32" s="32">
        <f t="shared" si="16"/>
        <v>0</v>
      </c>
      <c r="L32" s="32">
        <f t="shared" si="16"/>
        <v>0</v>
      </c>
      <c r="M32" s="32">
        <f t="shared" si="16"/>
        <v>0</v>
      </c>
      <c r="N32" s="32">
        <f t="shared" si="16"/>
        <v>0</v>
      </c>
      <c r="O32" s="32">
        <f t="shared" si="16"/>
        <v>0</v>
      </c>
      <c r="P32" s="32">
        <f t="shared" si="16"/>
        <v>360</v>
      </c>
      <c r="Q32" s="32">
        <f t="shared" si="16"/>
        <v>360</v>
      </c>
      <c r="R32" s="32">
        <f t="shared" si="16"/>
        <v>0</v>
      </c>
      <c r="S32" s="32">
        <f t="shared" si="16"/>
        <v>0</v>
      </c>
      <c r="T32" s="32">
        <f t="shared" si="16"/>
        <v>270</v>
      </c>
      <c r="U32" s="32">
        <f t="shared" si="16"/>
        <v>0</v>
      </c>
      <c r="V32" s="32">
        <f t="shared" si="16"/>
        <v>0</v>
      </c>
      <c r="W32" s="32">
        <f t="shared" si="16"/>
        <v>0</v>
      </c>
      <c r="X32" s="32">
        <f t="shared" si="16"/>
        <v>0</v>
      </c>
      <c r="Y32" s="32">
        <f t="shared" si="16"/>
        <v>0</v>
      </c>
      <c r="Z32" s="32">
        <f t="shared" si="16"/>
        <v>270</v>
      </c>
      <c r="AA32" s="32">
        <f t="shared" si="16"/>
        <v>0</v>
      </c>
      <c r="AB32" s="32">
        <f t="shared" si="16"/>
        <v>0</v>
      </c>
      <c r="AC32" s="32">
        <f t="shared" si="16"/>
        <v>0</v>
      </c>
      <c r="AD32" s="32">
        <f t="shared" si="16"/>
        <v>50</v>
      </c>
      <c r="AE32" s="32">
        <f t="shared" si="16"/>
        <v>0</v>
      </c>
      <c r="AF32" s="27"/>
    </row>
    <row r="33" spans="1:32" ht="18.75" x14ac:dyDescent="0.3">
      <c r="A33" s="43" t="s">
        <v>66</v>
      </c>
      <c r="B33" s="45"/>
      <c r="C33" s="45"/>
      <c r="D33" s="45"/>
      <c r="E33" s="45"/>
      <c r="F33" s="31" t="e">
        <f t="shared" si="5"/>
        <v>#DIV/0!</v>
      </c>
      <c r="G33" s="31" t="e">
        <f t="shared" si="6"/>
        <v>#DIV/0!</v>
      </c>
      <c r="H33" s="45"/>
      <c r="I33" s="45"/>
      <c r="J33" s="45"/>
      <c r="K33" s="45"/>
      <c r="L33" s="45"/>
      <c r="M33" s="45"/>
      <c r="N33" s="45"/>
      <c r="O33" s="45"/>
      <c r="P33" s="45"/>
      <c r="Q33" s="45"/>
      <c r="R33" s="45"/>
      <c r="S33" s="45"/>
      <c r="T33" s="45"/>
      <c r="U33" s="45"/>
      <c r="V33" s="45"/>
      <c r="W33" s="45"/>
      <c r="X33" s="45"/>
      <c r="Y33" s="45"/>
      <c r="Z33" s="45"/>
      <c r="AA33" s="45"/>
      <c r="AB33" s="45"/>
      <c r="AC33" s="45"/>
      <c r="AD33" s="45"/>
      <c r="AE33" s="45"/>
      <c r="AF33" s="27"/>
    </row>
    <row r="34" spans="1:32" ht="18.75" x14ac:dyDescent="0.3">
      <c r="A34" s="8" t="s">
        <v>31</v>
      </c>
      <c r="B34" s="32">
        <f>B35+B36</f>
        <v>1426.5</v>
      </c>
      <c r="C34" s="32">
        <f>C35+C36</f>
        <v>836.5</v>
      </c>
      <c r="D34" s="32">
        <f>D35+D36</f>
        <v>360</v>
      </c>
      <c r="E34" s="32">
        <f>E35+E36</f>
        <v>360</v>
      </c>
      <c r="F34" s="31">
        <f t="shared" si="5"/>
        <v>25.236593059936908</v>
      </c>
      <c r="G34" s="31">
        <f t="shared" si="6"/>
        <v>43.036461446503289</v>
      </c>
      <c r="H34" s="32">
        <f t="shared" ref="H34:W34" si="17">H26</f>
        <v>0</v>
      </c>
      <c r="I34" s="32">
        <f t="shared" si="17"/>
        <v>0</v>
      </c>
      <c r="J34" s="32">
        <f t="shared" si="17"/>
        <v>0</v>
      </c>
      <c r="K34" s="32">
        <f t="shared" si="17"/>
        <v>0</v>
      </c>
      <c r="L34" s="32">
        <f t="shared" si="17"/>
        <v>0</v>
      </c>
      <c r="M34" s="32">
        <f t="shared" si="17"/>
        <v>0</v>
      </c>
      <c r="N34" s="32">
        <f t="shared" si="17"/>
        <v>0</v>
      </c>
      <c r="O34" s="32">
        <f t="shared" si="17"/>
        <v>0</v>
      </c>
      <c r="P34" s="32">
        <f t="shared" si="17"/>
        <v>360</v>
      </c>
      <c r="Q34" s="32">
        <f t="shared" si="17"/>
        <v>360</v>
      </c>
      <c r="R34" s="32">
        <f t="shared" si="17"/>
        <v>0</v>
      </c>
      <c r="S34" s="32">
        <f t="shared" si="17"/>
        <v>0</v>
      </c>
      <c r="T34" s="32">
        <f t="shared" si="17"/>
        <v>270</v>
      </c>
      <c r="U34" s="32">
        <f t="shared" si="17"/>
        <v>0</v>
      </c>
      <c r="V34" s="32">
        <f t="shared" si="17"/>
        <v>0</v>
      </c>
      <c r="W34" s="32">
        <f t="shared" si="17"/>
        <v>0</v>
      </c>
      <c r="X34" s="32">
        <f t="shared" ref="I34:X36" si="18">X26</f>
        <v>0</v>
      </c>
      <c r="Y34" s="32">
        <f t="shared" ref="Y34:AE34" si="19">Y26</f>
        <v>0</v>
      </c>
      <c r="Z34" s="32">
        <f t="shared" si="19"/>
        <v>270</v>
      </c>
      <c r="AA34" s="32">
        <f t="shared" si="19"/>
        <v>0</v>
      </c>
      <c r="AB34" s="32">
        <f t="shared" si="19"/>
        <v>0</v>
      </c>
      <c r="AC34" s="32">
        <f t="shared" si="19"/>
        <v>0</v>
      </c>
      <c r="AD34" s="32">
        <f t="shared" si="19"/>
        <v>50</v>
      </c>
      <c r="AE34" s="32">
        <f t="shared" si="19"/>
        <v>0</v>
      </c>
      <c r="AF34" s="27"/>
    </row>
    <row r="35" spans="1:32" ht="18.75" x14ac:dyDescent="0.3">
      <c r="A35" s="7" t="s">
        <v>32</v>
      </c>
      <c r="B35" s="32">
        <f t="shared" ref="B35:E36" si="20">B27</f>
        <v>476.5</v>
      </c>
      <c r="C35" s="32">
        <f t="shared" si="20"/>
        <v>476.5</v>
      </c>
      <c r="D35" s="32">
        <f t="shared" si="20"/>
        <v>0</v>
      </c>
      <c r="E35" s="32">
        <f t="shared" si="20"/>
        <v>0</v>
      </c>
      <c r="F35" s="31">
        <f t="shared" si="5"/>
        <v>0</v>
      </c>
      <c r="G35" s="31">
        <f t="shared" si="6"/>
        <v>0</v>
      </c>
      <c r="H35" s="32">
        <f>H27</f>
        <v>0</v>
      </c>
      <c r="I35" s="32">
        <f t="shared" si="18"/>
        <v>0</v>
      </c>
      <c r="J35" s="32">
        <f t="shared" si="18"/>
        <v>0</v>
      </c>
      <c r="K35" s="32">
        <f t="shared" si="18"/>
        <v>0</v>
      </c>
      <c r="L35" s="32">
        <f t="shared" si="18"/>
        <v>0</v>
      </c>
      <c r="M35" s="32">
        <f t="shared" si="18"/>
        <v>0</v>
      </c>
      <c r="N35" s="32">
        <f t="shared" si="18"/>
        <v>0</v>
      </c>
      <c r="O35" s="32">
        <f t="shared" si="18"/>
        <v>0</v>
      </c>
      <c r="P35" s="32">
        <f t="shared" si="18"/>
        <v>0</v>
      </c>
      <c r="Q35" s="32">
        <f t="shared" si="18"/>
        <v>0</v>
      </c>
      <c r="R35" s="32">
        <f t="shared" si="18"/>
        <v>0</v>
      </c>
      <c r="S35" s="32">
        <f t="shared" si="18"/>
        <v>0</v>
      </c>
      <c r="T35" s="32">
        <f t="shared" si="18"/>
        <v>0</v>
      </c>
      <c r="U35" s="32">
        <f t="shared" si="18"/>
        <v>0</v>
      </c>
      <c r="V35" s="32">
        <f t="shared" si="18"/>
        <v>0</v>
      </c>
      <c r="W35" s="32">
        <f t="shared" si="18"/>
        <v>0</v>
      </c>
      <c r="X35" s="32">
        <f t="shared" si="18"/>
        <v>0</v>
      </c>
      <c r="Y35" s="32">
        <f t="shared" ref="Y35:AE35" si="21">Y27</f>
        <v>0</v>
      </c>
      <c r="Z35" s="32">
        <f t="shared" si="21"/>
        <v>0</v>
      </c>
      <c r="AA35" s="32">
        <f t="shared" si="21"/>
        <v>0</v>
      </c>
      <c r="AB35" s="32">
        <f t="shared" si="21"/>
        <v>0</v>
      </c>
      <c r="AC35" s="32">
        <f t="shared" si="21"/>
        <v>0</v>
      </c>
      <c r="AD35" s="32">
        <f t="shared" si="21"/>
        <v>0</v>
      </c>
      <c r="AE35" s="32">
        <f t="shared" si="21"/>
        <v>0</v>
      </c>
      <c r="AF35" s="27"/>
    </row>
    <row r="36" spans="1:32" ht="18.75" x14ac:dyDescent="0.3">
      <c r="A36" s="7" t="s">
        <v>33</v>
      </c>
      <c r="B36" s="32">
        <f t="shared" si="20"/>
        <v>950</v>
      </c>
      <c r="C36" s="32">
        <f t="shared" si="20"/>
        <v>360</v>
      </c>
      <c r="D36" s="32">
        <f t="shared" si="20"/>
        <v>360</v>
      </c>
      <c r="E36" s="32">
        <f t="shared" si="20"/>
        <v>360</v>
      </c>
      <c r="F36" s="31">
        <f t="shared" si="5"/>
        <v>37.894736842105267</v>
      </c>
      <c r="G36" s="31">
        <f t="shared" si="6"/>
        <v>100</v>
      </c>
      <c r="H36" s="32">
        <f>H28</f>
        <v>0</v>
      </c>
      <c r="I36" s="32">
        <f t="shared" si="18"/>
        <v>0</v>
      </c>
      <c r="J36" s="32">
        <f t="shared" si="18"/>
        <v>0</v>
      </c>
      <c r="K36" s="32">
        <f t="shared" si="18"/>
        <v>0</v>
      </c>
      <c r="L36" s="32">
        <f t="shared" si="18"/>
        <v>0</v>
      </c>
      <c r="M36" s="32">
        <f t="shared" si="18"/>
        <v>0</v>
      </c>
      <c r="N36" s="32">
        <f t="shared" si="18"/>
        <v>0</v>
      </c>
      <c r="O36" s="32">
        <f t="shared" si="18"/>
        <v>0</v>
      </c>
      <c r="P36" s="32">
        <f t="shared" si="18"/>
        <v>360</v>
      </c>
      <c r="Q36" s="32">
        <f t="shared" si="18"/>
        <v>360</v>
      </c>
      <c r="R36" s="32">
        <f t="shared" si="18"/>
        <v>0</v>
      </c>
      <c r="S36" s="32">
        <f t="shared" si="18"/>
        <v>0</v>
      </c>
      <c r="T36" s="32">
        <f t="shared" si="18"/>
        <v>270</v>
      </c>
      <c r="U36" s="32">
        <f t="shared" si="18"/>
        <v>0</v>
      </c>
      <c r="V36" s="32">
        <f t="shared" si="18"/>
        <v>0</v>
      </c>
      <c r="W36" s="32">
        <f t="shared" si="18"/>
        <v>0</v>
      </c>
      <c r="X36" s="32">
        <f t="shared" si="18"/>
        <v>0</v>
      </c>
      <c r="Y36" s="32">
        <f t="shared" ref="Y36:AE36" si="22">Y28</f>
        <v>0</v>
      </c>
      <c r="Z36" s="32">
        <f t="shared" si="22"/>
        <v>270</v>
      </c>
      <c r="AA36" s="32">
        <f t="shared" si="22"/>
        <v>0</v>
      </c>
      <c r="AB36" s="32">
        <f t="shared" si="22"/>
        <v>0</v>
      </c>
      <c r="AC36" s="32">
        <f t="shared" si="22"/>
        <v>0</v>
      </c>
      <c r="AD36" s="32">
        <f t="shared" si="22"/>
        <v>50</v>
      </c>
      <c r="AE36" s="32">
        <f t="shared" si="22"/>
        <v>0</v>
      </c>
      <c r="AF36" s="27"/>
    </row>
    <row r="37" spans="1:32" ht="37.5" x14ac:dyDescent="0.3">
      <c r="A37" s="67" t="s">
        <v>67</v>
      </c>
      <c r="B37" s="620"/>
      <c r="C37" s="29"/>
      <c r="D37" s="29"/>
      <c r="E37" s="29"/>
      <c r="F37" s="31" t="e">
        <f t="shared" si="5"/>
        <v>#DIV/0!</v>
      </c>
      <c r="G37" s="31" t="e">
        <f t="shared" si="6"/>
        <v>#DIV/0!</v>
      </c>
      <c r="H37" s="29"/>
      <c r="I37" s="29"/>
      <c r="J37" s="29"/>
      <c r="K37" s="29"/>
      <c r="L37" s="29"/>
      <c r="M37" s="29"/>
      <c r="N37" s="29"/>
      <c r="O37" s="29"/>
      <c r="P37" s="29"/>
      <c r="Q37" s="29"/>
      <c r="R37" s="29"/>
      <c r="S37" s="29"/>
      <c r="T37" s="29"/>
      <c r="U37" s="29"/>
      <c r="V37" s="29"/>
      <c r="W37" s="29"/>
      <c r="X37" s="29"/>
      <c r="Y37" s="29"/>
      <c r="Z37" s="29"/>
      <c r="AA37" s="29"/>
      <c r="AB37" s="29"/>
      <c r="AC37" s="29"/>
      <c r="AD37" s="29"/>
      <c r="AE37" s="29"/>
      <c r="AF37" s="27"/>
    </row>
    <row r="38" spans="1:32" ht="18.75" x14ac:dyDescent="0.3">
      <c r="A38" s="8" t="s">
        <v>31</v>
      </c>
      <c r="B38" s="649">
        <f>B39+B40</f>
        <v>1426.5</v>
      </c>
      <c r="C38" s="41">
        <f t="shared" ref="C38:E39" si="23">C34</f>
        <v>836.5</v>
      </c>
      <c r="D38" s="41">
        <f t="shared" si="23"/>
        <v>360</v>
      </c>
      <c r="E38" s="41">
        <f t="shared" si="23"/>
        <v>360</v>
      </c>
      <c r="F38" s="31">
        <f t="shared" si="5"/>
        <v>25.236593059936908</v>
      </c>
      <c r="G38" s="31">
        <f t="shared" si="6"/>
        <v>43.036461446503289</v>
      </c>
      <c r="H38" s="41">
        <f t="shared" ref="H38:AE38" si="24">H34</f>
        <v>0</v>
      </c>
      <c r="I38" s="41">
        <f t="shared" si="24"/>
        <v>0</v>
      </c>
      <c r="J38" s="41">
        <f t="shared" si="24"/>
        <v>0</v>
      </c>
      <c r="K38" s="41">
        <f t="shared" si="24"/>
        <v>0</v>
      </c>
      <c r="L38" s="41">
        <f t="shared" si="24"/>
        <v>0</v>
      </c>
      <c r="M38" s="41">
        <f t="shared" si="24"/>
        <v>0</v>
      </c>
      <c r="N38" s="41">
        <f t="shared" si="24"/>
        <v>0</v>
      </c>
      <c r="O38" s="41">
        <f t="shared" si="24"/>
        <v>0</v>
      </c>
      <c r="P38" s="41">
        <f t="shared" si="24"/>
        <v>360</v>
      </c>
      <c r="Q38" s="41">
        <f t="shared" si="24"/>
        <v>360</v>
      </c>
      <c r="R38" s="41">
        <f t="shared" si="24"/>
        <v>0</v>
      </c>
      <c r="S38" s="41">
        <f t="shared" si="24"/>
        <v>0</v>
      </c>
      <c r="T38" s="41">
        <f t="shared" si="24"/>
        <v>270</v>
      </c>
      <c r="U38" s="41">
        <f t="shared" si="24"/>
        <v>0</v>
      </c>
      <c r="V38" s="41">
        <f t="shared" si="24"/>
        <v>0</v>
      </c>
      <c r="W38" s="41">
        <f t="shared" si="24"/>
        <v>0</v>
      </c>
      <c r="X38" s="41">
        <f t="shared" si="24"/>
        <v>0</v>
      </c>
      <c r="Y38" s="41">
        <f t="shared" si="24"/>
        <v>0</v>
      </c>
      <c r="Z38" s="41">
        <f t="shared" si="24"/>
        <v>270</v>
      </c>
      <c r="AA38" s="41">
        <f t="shared" si="24"/>
        <v>0</v>
      </c>
      <c r="AB38" s="41">
        <f t="shared" si="24"/>
        <v>0</v>
      </c>
      <c r="AC38" s="41">
        <f t="shared" si="24"/>
        <v>0</v>
      </c>
      <c r="AD38" s="41">
        <f t="shared" si="24"/>
        <v>50</v>
      </c>
      <c r="AE38" s="41">
        <f t="shared" si="24"/>
        <v>0</v>
      </c>
      <c r="AF38" s="27"/>
    </row>
    <row r="39" spans="1:32" ht="18.75" x14ac:dyDescent="0.3">
      <c r="A39" s="7" t="s">
        <v>32</v>
      </c>
      <c r="B39" s="649">
        <f>B35</f>
        <v>476.5</v>
      </c>
      <c r="C39" s="41">
        <f>C35</f>
        <v>476.5</v>
      </c>
      <c r="D39" s="41">
        <f t="shared" si="23"/>
        <v>0</v>
      </c>
      <c r="E39" s="41">
        <f t="shared" si="23"/>
        <v>0</v>
      </c>
      <c r="F39" s="31">
        <f t="shared" si="5"/>
        <v>0</v>
      </c>
      <c r="G39" s="31">
        <f t="shared" si="6"/>
        <v>0</v>
      </c>
      <c r="H39" s="41">
        <f t="shared" ref="H39:AE39" si="25">H35</f>
        <v>0</v>
      </c>
      <c r="I39" s="41">
        <f t="shared" si="25"/>
        <v>0</v>
      </c>
      <c r="J39" s="41">
        <f t="shared" si="25"/>
        <v>0</v>
      </c>
      <c r="K39" s="41">
        <f t="shared" si="25"/>
        <v>0</v>
      </c>
      <c r="L39" s="41">
        <f t="shared" si="25"/>
        <v>0</v>
      </c>
      <c r="M39" s="41">
        <f t="shared" si="25"/>
        <v>0</v>
      </c>
      <c r="N39" s="41">
        <f t="shared" si="25"/>
        <v>0</v>
      </c>
      <c r="O39" s="41">
        <f t="shared" si="25"/>
        <v>0</v>
      </c>
      <c r="P39" s="41">
        <f t="shared" si="25"/>
        <v>0</v>
      </c>
      <c r="Q39" s="41">
        <f t="shared" si="25"/>
        <v>0</v>
      </c>
      <c r="R39" s="41">
        <f t="shared" si="25"/>
        <v>0</v>
      </c>
      <c r="S39" s="41">
        <f t="shared" si="25"/>
        <v>0</v>
      </c>
      <c r="T39" s="41">
        <f t="shared" si="25"/>
        <v>0</v>
      </c>
      <c r="U39" s="41">
        <f t="shared" si="25"/>
        <v>0</v>
      </c>
      <c r="V39" s="41">
        <f t="shared" si="25"/>
        <v>0</v>
      </c>
      <c r="W39" s="41">
        <f t="shared" si="25"/>
        <v>0</v>
      </c>
      <c r="X39" s="41">
        <f t="shared" si="25"/>
        <v>0</v>
      </c>
      <c r="Y39" s="41">
        <f t="shared" si="25"/>
        <v>0</v>
      </c>
      <c r="Z39" s="41">
        <f t="shared" si="25"/>
        <v>0</v>
      </c>
      <c r="AA39" s="41">
        <f t="shared" si="25"/>
        <v>0</v>
      </c>
      <c r="AB39" s="41">
        <f t="shared" si="25"/>
        <v>0</v>
      </c>
      <c r="AC39" s="41">
        <f t="shared" si="25"/>
        <v>0</v>
      </c>
      <c r="AD39" s="41">
        <f t="shared" si="25"/>
        <v>0</v>
      </c>
      <c r="AE39" s="41">
        <f t="shared" si="25"/>
        <v>0</v>
      </c>
      <c r="AF39" s="27"/>
    </row>
    <row r="40" spans="1:32" ht="18.75" x14ac:dyDescent="0.3">
      <c r="A40" s="7" t="s">
        <v>33</v>
      </c>
      <c r="B40" s="649">
        <f>B36</f>
        <v>950</v>
      </c>
      <c r="C40" s="41">
        <f>C36</f>
        <v>360</v>
      </c>
      <c r="D40" s="41">
        <f>D36</f>
        <v>360</v>
      </c>
      <c r="E40" s="41">
        <f>E36</f>
        <v>360</v>
      </c>
      <c r="F40" s="31">
        <f t="shared" si="5"/>
        <v>37.894736842105267</v>
      </c>
      <c r="G40" s="31">
        <f t="shared" si="6"/>
        <v>100</v>
      </c>
      <c r="H40" s="41">
        <f t="shared" ref="H40:AE40" si="26">H36</f>
        <v>0</v>
      </c>
      <c r="I40" s="41">
        <f t="shared" si="26"/>
        <v>0</v>
      </c>
      <c r="J40" s="41">
        <f t="shared" si="26"/>
        <v>0</v>
      </c>
      <c r="K40" s="41">
        <f t="shared" si="26"/>
        <v>0</v>
      </c>
      <c r="L40" s="41">
        <f t="shared" si="26"/>
        <v>0</v>
      </c>
      <c r="M40" s="41">
        <f t="shared" si="26"/>
        <v>0</v>
      </c>
      <c r="N40" s="41">
        <f t="shared" si="26"/>
        <v>0</v>
      </c>
      <c r="O40" s="41">
        <f t="shared" si="26"/>
        <v>0</v>
      </c>
      <c r="P40" s="41">
        <f t="shared" si="26"/>
        <v>360</v>
      </c>
      <c r="Q40" s="41">
        <f t="shared" si="26"/>
        <v>360</v>
      </c>
      <c r="R40" s="41">
        <f t="shared" si="26"/>
        <v>0</v>
      </c>
      <c r="S40" s="41">
        <f t="shared" si="26"/>
        <v>0</v>
      </c>
      <c r="T40" s="41">
        <f t="shared" si="26"/>
        <v>270</v>
      </c>
      <c r="U40" s="41">
        <f t="shared" si="26"/>
        <v>0</v>
      </c>
      <c r="V40" s="41">
        <f t="shared" si="26"/>
        <v>0</v>
      </c>
      <c r="W40" s="41">
        <f t="shared" si="26"/>
        <v>0</v>
      </c>
      <c r="X40" s="41">
        <f t="shared" si="26"/>
        <v>0</v>
      </c>
      <c r="Y40" s="41">
        <f t="shared" si="26"/>
        <v>0</v>
      </c>
      <c r="Z40" s="41">
        <f t="shared" si="26"/>
        <v>270</v>
      </c>
      <c r="AA40" s="41">
        <f t="shared" si="26"/>
        <v>0</v>
      </c>
      <c r="AB40" s="41">
        <f t="shared" si="26"/>
        <v>0</v>
      </c>
      <c r="AC40" s="41">
        <f t="shared" si="26"/>
        <v>0</v>
      </c>
      <c r="AD40" s="41">
        <f t="shared" si="26"/>
        <v>50</v>
      </c>
      <c r="AE40" s="41">
        <f t="shared" si="26"/>
        <v>0</v>
      </c>
      <c r="AF40" s="27"/>
    </row>
    <row r="42" spans="1:32" ht="37.5" x14ac:dyDescent="0.3">
      <c r="A42" s="9" t="s">
        <v>492</v>
      </c>
      <c r="B42" s="26"/>
      <c r="C42" s="26"/>
      <c r="D42" s="23" t="s">
        <v>491</v>
      </c>
      <c r="G42" s="16"/>
    </row>
    <row r="43" spans="1:32" ht="18.75" x14ac:dyDescent="0.3">
      <c r="A43" s="9"/>
      <c r="B43" s="20" t="s">
        <v>68</v>
      </c>
      <c r="C43" s="20"/>
      <c r="D43" s="22"/>
      <c r="G43" s="44"/>
    </row>
    <row r="44" spans="1:32" ht="56.25" x14ac:dyDescent="0.3">
      <c r="A44" s="650" t="s">
        <v>493</v>
      </c>
      <c r="B44" s="650"/>
      <c r="C44" s="650"/>
      <c r="D44" s="651"/>
      <c r="G44" s="16"/>
    </row>
    <row r="45" spans="1:32" ht="18.75" x14ac:dyDescent="0.3">
      <c r="A45" s="650"/>
      <c r="B45" s="650"/>
      <c r="C45" s="650"/>
      <c r="D45" s="652"/>
      <c r="G45" s="16"/>
    </row>
    <row r="46" spans="1:32" x14ac:dyDescent="0.25">
      <c r="A46" s="653"/>
      <c r="B46" s="653"/>
      <c r="C46" s="653"/>
      <c r="D46" s="653"/>
    </row>
    <row r="47" spans="1:32" x14ac:dyDescent="0.25">
      <c r="A47" s="653"/>
      <c r="B47" s="653"/>
      <c r="C47" s="653"/>
      <c r="D47" s="653"/>
    </row>
  </sheetData>
  <customSheetViews>
    <customSheetView guid="{7C130984-112A-4861-AA43-E2940708E3DC}" scale="60" state="hidden">
      <pane xSplit="1" ySplit="6" topLeftCell="Y7" activePane="bottomRight" state="frozen"/>
      <selection pane="bottomRight" activeCell="F15" sqref="F15"/>
      <pageMargins left="0.7" right="0.7" top="0.75" bottom="0.75" header="0.3" footer="0.3"/>
      <pageSetup paperSize="9" orientation="portrait" r:id="rId1"/>
    </customSheetView>
    <customSheetView guid="{4F41B9CC-959D-442C-80B0-1F0DB2C76D27}" scale="60">
      <pane xSplit="1" ySplit="5" topLeftCell="B7" activePane="bottomRight" state="frozen"/>
      <selection pane="bottomRight" activeCell="E15" sqref="E15"/>
      <pageMargins left="0.7" right="0.7" top="0.75" bottom="0.75" header="0.3" footer="0.3"/>
      <pageSetup paperSize="9" orientation="portrait" r:id="rId2"/>
    </customSheetView>
    <customSheetView guid="{391AB76E-B386-49C1-800F-016A48AA1A46}" scale="60">
      <pane xSplit="1" ySplit="6" topLeftCell="B7" activePane="bottomRight" state="frozen"/>
      <selection pane="bottomRight" activeCell="E15" sqref="E15"/>
      <pageMargins left="0.7" right="0.7" top="0.75" bottom="0.75" header="0.3" footer="0.3"/>
      <pageSetup paperSize="9" orientation="portrait" r:id="rId3"/>
    </customSheetView>
    <customSheetView guid="{D01FA037-9AEC-4167-ADB8-2F327C01ECE6}" scale="60">
      <pane xSplit="1" ySplit="6" topLeftCell="B7" activePane="bottomRight" state="frozen"/>
      <selection pane="bottomRight" activeCell="E15" sqref="E15"/>
      <pageMargins left="0.7" right="0.7" top="0.75" bottom="0.75" header="0.3" footer="0.3"/>
      <pageSetup paperSize="9" orientation="portrait" r:id="rId4"/>
    </customSheetView>
    <customSheetView guid="{6A602CB8-B24C-4ED4-B378-B27354BE0A1A}" scale="60">
      <pane xSplit="1" ySplit="6" topLeftCell="B7" activePane="bottomRight" state="frozen"/>
      <selection pane="bottomRight" activeCell="E15" sqref="E15"/>
      <pageMargins left="0.7" right="0.7" top="0.75" bottom="0.75" header="0.3" footer="0.3"/>
      <pageSetup paperSize="9" orientation="portrait" r:id="rId5"/>
    </customSheetView>
    <customSheetView guid="{DAA8A688-7558-4B5B-8DBD-E2629BD9E9A8}" scale="60">
      <pane xSplit="1" ySplit="6" topLeftCell="B7" activePane="bottomRight" state="frozen"/>
      <selection pane="bottomRight" activeCell="E15" sqref="E15"/>
      <pageMargins left="0.7" right="0.7" top="0.75" bottom="0.75" header="0.3" footer="0.3"/>
      <pageSetup paperSize="9" orientation="portrait" r:id="rId6"/>
    </customSheetView>
    <customSheetView guid="{0C2B9C2A-7B94-41EF-A2E6-F8AC9A67DE25}" scale="60">
      <pane xSplit="1" ySplit="6" topLeftCell="B7" activePane="bottomRight" state="frozen"/>
      <selection pane="bottomRight" activeCell="E15" sqref="E15"/>
      <pageMargins left="0.7" right="0.7" top="0.75" bottom="0.75" header="0.3" footer="0.3"/>
      <pageSetup paperSize="9" orientation="portrait" r:id="rId7"/>
    </customSheetView>
    <customSheetView guid="{87218168-6C8E-4D5B-A5E5-DCCC26803AA3}" scale="60">
      <pane xSplit="1" ySplit="6" topLeftCell="B7" activePane="bottomRight" state="frozen"/>
      <selection pane="bottomRight" activeCell="E15" sqref="E15"/>
      <pageMargins left="0.7" right="0.7" top="0.75" bottom="0.75" header="0.3" footer="0.3"/>
      <pageSetup paperSize="9" orientation="portrait" r:id="rId8"/>
    </customSheetView>
    <customSheetView guid="{533DC55B-6AD4-4674-9488-685EF2039F3E}" scale="60">
      <pane xSplit="1" ySplit="6" topLeftCell="B7" activePane="bottomRight" state="frozen"/>
      <selection pane="bottomRight" activeCell="A42" sqref="A42"/>
      <pageMargins left="0.7" right="0.7" top="0.75" bottom="0.75" header="0.3" footer="0.3"/>
      <pageSetup paperSize="9" orientation="portrait" r:id="rId9"/>
    </customSheetView>
    <customSheetView guid="{69DABE6F-6182-4403-A4A2-969F10F1C13A}" scale="60">
      <pane xSplit="1" ySplit="6" topLeftCell="B22" activePane="bottomRight" state="frozen"/>
      <selection pane="bottomRight" activeCell="C41" sqref="C41"/>
      <pageMargins left="0.7" right="0.7" top="0.75" bottom="0.75" header="0.3" footer="0.3"/>
      <pageSetup paperSize="9" orientation="portrait" r:id="rId10"/>
    </customSheetView>
    <customSheetView guid="{84867370-1F3E-4368-AF79-FBCE46FFFE92}" scale="60">
      <pane xSplit="1" ySplit="6" topLeftCell="B7" activePane="bottomRight" state="frozen"/>
      <selection pane="bottomRight" activeCell="C41" sqref="C41"/>
      <pageMargins left="0.7" right="0.7" top="0.75" bottom="0.75" header="0.3" footer="0.3"/>
      <pageSetup paperSize="9" orientation="portrait" r:id="rId11"/>
    </customSheetView>
    <customSheetView guid="{47B983AB-FE5F-4725-860C-A2F29420596D}" scale="60">
      <pane xSplit="1" ySplit="6" topLeftCell="H13" activePane="bottomRight" state="frozen"/>
      <selection pane="bottomRight" activeCell="W15" sqref="W15"/>
      <pageMargins left="0.7" right="0.7" top="0.75" bottom="0.75" header="0.3" footer="0.3"/>
      <pageSetup paperSize="9" orientation="portrait" r:id="rId12"/>
    </customSheetView>
    <customSheetView guid="{959E901C-5DDE-42EE-AE94-AB8976B5E00B}" scale="60">
      <pane xSplit="1" ySplit="6" topLeftCell="B7" activePane="bottomRight" state="frozen"/>
      <selection pane="bottomRight" activeCell="C41" sqref="C41"/>
      <pageMargins left="0.7" right="0.7" top="0.75" bottom="0.75" header="0.3" footer="0.3"/>
      <pageSetup paperSize="9" orientation="portrait" r:id="rId13"/>
    </customSheetView>
    <customSheetView guid="{F679EF4A-C5FD-4B86-B87B-D85968E0F2CA}" scale="60">
      <pane xSplit="1" ySplit="6" topLeftCell="B7" activePane="bottomRight" state="frozen"/>
      <selection pane="bottomRight" activeCell="C41" sqref="C41"/>
      <pageMargins left="0.7" right="0.7" top="0.75" bottom="0.75" header="0.3" footer="0.3"/>
      <pageSetup paperSize="9" orientation="portrait" r:id="rId14"/>
    </customSheetView>
    <customSheetView guid="{009B3074-D8EC-4952-BF50-43CD64449612}" scale="60">
      <pane xSplit="1" ySplit="6" topLeftCell="B7" activePane="bottomRight" state="frozen"/>
      <selection pane="bottomRight" activeCell="C41" sqref="C41"/>
      <pageMargins left="0.7" right="0.7" top="0.75" bottom="0.75" header="0.3" footer="0.3"/>
      <pageSetup paperSize="9" orientation="portrait" r:id="rId15"/>
    </customSheetView>
    <customSheetView guid="{770624BF-07F3-44B6-94C3-4CC447CDD45C}" scale="60">
      <pane xSplit="1" ySplit="6" topLeftCell="B7" activePane="bottomRight" state="frozen"/>
      <selection pane="bottomRight" activeCell="F38" sqref="F38"/>
      <pageMargins left="0.7" right="0.7" top="0.75" bottom="0.75" header="0.3" footer="0.3"/>
      <pageSetup paperSize="9" orientation="portrait" r:id="rId16"/>
    </customSheetView>
    <customSheetView guid="{B82BA08A-1A30-4F4D-A478-74A6BD09EA97}" scale="60">
      <pane xSplit="1" ySplit="6" topLeftCell="B7" activePane="bottomRight" state="frozen"/>
      <selection pane="bottomRight" activeCell="H23" sqref="H23"/>
      <pageMargins left="0.7" right="0.7" top="0.75" bottom="0.75" header="0.3" footer="0.3"/>
      <pageSetup paperSize="9" orientation="portrait" r:id="rId17"/>
    </customSheetView>
    <customSheetView guid="{874882D1-E741-4CCA-BF0D-E72FA60B771D}" scale="60">
      <pane xSplit="1" ySplit="6" topLeftCell="B7" activePane="bottomRight" state="frozen"/>
      <selection pane="bottomRight" activeCell="H23" sqref="H23"/>
      <pageMargins left="0.7" right="0.7" top="0.75" bottom="0.75" header="0.3" footer="0.3"/>
      <pageSetup paperSize="9" orientation="portrait" r:id="rId18"/>
    </customSheetView>
    <customSheetView guid="{C236B307-BD63-48C4-A75F-B3F3717BF55C}" scale="60">
      <pane xSplit="1" ySplit="6" topLeftCell="B7" activePane="bottomRight" state="frozen"/>
      <selection pane="bottomRight" activeCell="H23" sqref="H23"/>
      <pageMargins left="0.7" right="0.7" top="0.75" bottom="0.75" header="0.3" footer="0.3"/>
      <pageSetup paperSize="9" orientation="portrait" r:id="rId19"/>
    </customSheetView>
    <customSheetView guid="{BCD82A82-B724-4763-8580-D765356E09BA}" scale="60">
      <pane xSplit="1" ySplit="6" topLeftCell="B7" activePane="bottomRight" state="frozen"/>
      <selection pane="bottomRight" activeCell="E14" sqref="E14"/>
      <pageMargins left="0.7" right="0.7" top="0.75" bottom="0.75" header="0.3" footer="0.3"/>
      <pageSetup paperSize="9" orientation="portrait" r:id="rId20"/>
    </customSheetView>
    <customSheetView guid="{B1BF08D1-D416-4B47-ADD0-4F59132DC9E8}" scale="60">
      <pane xSplit="1" ySplit="6" topLeftCell="B7" activePane="bottomRight" state="frozen"/>
      <selection pane="bottomRight" activeCell="C41" sqref="C41"/>
      <pageMargins left="0.7" right="0.7" top="0.75" bottom="0.75" header="0.3" footer="0.3"/>
      <pageSetup paperSize="9" orientation="portrait" r:id="rId21"/>
    </customSheetView>
    <customSheetView guid="{85F4575B-DBC5-482A-9916-255D8F0BC94E}" scale="60">
      <pane xSplit="1" ySplit="6" topLeftCell="B7" activePane="bottomRight" state="frozen"/>
      <selection pane="bottomRight" activeCell="C41" sqref="C41"/>
      <pageMargins left="0.7" right="0.7" top="0.75" bottom="0.75" header="0.3" footer="0.3"/>
      <pageSetup paperSize="9" orientation="portrait" r:id="rId22"/>
    </customSheetView>
    <customSheetView guid="{74870EE6-26B9-40F7-9DC9-260EF16D8959}" scale="60">
      <pane xSplit="1" ySplit="6" topLeftCell="B7" activePane="bottomRight" state="frozen"/>
      <selection pane="bottomRight" activeCell="E15" sqref="E15"/>
      <pageMargins left="0.7" right="0.7" top="0.75" bottom="0.75" header="0.3" footer="0.3"/>
      <pageSetup paperSize="9" orientation="portrait" r:id="rId23"/>
    </customSheetView>
    <customSheetView guid="{E508E171-4ED9-4B07-84DF-DA28C60E1969}" scale="60">
      <pane xSplit="1" ySplit="6" topLeftCell="B7" activePane="bottomRight" state="frozen"/>
      <selection pane="bottomRight" activeCell="E15" sqref="E15"/>
      <pageMargins left="0.7" right="0.7" top="0.75" bottom="0.75" header="0.3" footer="0.3"/>
      <pageSetup paperSize="9" orientation="portrait" r:id="rId24"/>
    </customSheetView>
    <customSheetView guid="{4D0DFB57-2CBA-42F2-9A97-C453A6851FBA}" scale="60">
      <pane xSplit="1" ySplit="6" topLeftCell="B7" activePane="bottomRight" state="frozen"/>
      <selection pane="bottomRight" activeCell="E15" sqref="E15"/>
      <pageMargins left="0.7" right="0.7" top="0.75" bottom="0.75" header="0.3" footer="0.3"/>
      <pageSetup paperSize="9" orientation="portrait" r:id="rId25"/>
    </customSheetView>
    <customSheetView guid="{CE1CCA00-200D-4EAA-9FBE-F8EE7C5F82FE}" scale="60">
      <pane xSplit="1" ySplit="6" topLeftCell="B7" activePane="bottomRight" state="frozen"/>
      <selection pane="bottomRight" activeCell="E15" sqref="E15"/>
      <pageMargins left="0.7" right="0.7" top="0.75" bottom="0.75" header="0.3" footer="0.3"/>
      <pageSetup paperSize="9" orientation="portrait" r:id="rId26"/>
    </customSheetView>
    <customSheetView guid="{442F2C94-DD1B-4A01-8694-513D4D6F3BD9}" scale="60">
      <pane xSplit="1" ySplit="6" topLeftCell="B7" activePane="bottomRight" state="frozen"/>
      <selection pane="bottomRight" activeCell="E15" sqref="E15"/>
      <pageMargins left="0.7" right="0.7" top="0.75" bottom="0.75" header="0.3" footer="0.3"/>
      <pageSetup paperSize="9" orientation="portrait" r:id="rId27"/>
    </customSheetView>
    <customSheetView guid="{AC2D5927-4079-4C74-AF69-1BFAC505648F}" scale="60">
      <pane xSplit="1" ySplit="6" topLeftCell="B7" activePane="bottomRight" state="frozen"/>
      <selection pane="bottomRight" activeCell="E15" sqref="E15"/>
      <pageMargins left="0.7" right="0.7" top="0.75" bottom="0.75" header="0.3" footer="0.3"/>
      <pageSetup paperSize="9" orientation="portrait" r:id="rId28"/>
    </customSheetView>
    <customSheetView guid="{602C8EDB-B9EF-4C85-B0D5-0558C3A0ABAB}" scale="60">
      <pane xSplit="1" ySplit="6" topLeftCell="B7" activePane="bottomRight" state="frozen"/>
      <selection pane="bottomRight" activeCell="E15" sqref="E15"/>
      <pageMargins left="0.7" right="0.7" top="0.75" bottom="0.75" header="0.3" footer="0.3"/>
      <pageSetup paperSize="9" orientation="portrait" r:id="rId29"/>
    </customSheetView>
    <customSheetView guid="{09C3E205-981E-4A4E-BE89-8B7044192060}" scale="60">
      <pane xSplit="1" ySplit="6" topLeftCell="Y7" activePane="bottomRight" state="frozen"/>
      <selection pane="bottomRight" activeCell="F15" sqref="F15"/>
      <pageMargins left="0.7" right="0.7" top="0.75" bottom="0.75" header="0.3" footer="0.3"/>
      <pageSetup paperSize="9" orientation="portrait" r:id="rId30"/>
    </customSheetView>
  </customSheetViews>
  <mergeCells count="21">
    <mergeCell ref="AF3:AF5"/>
    <mergeCell ref="X3:Y4"/>
    <mergeCell ref="Z3:AA4"/>
    <mergeCell ref="AB3:AC4"/>
    <mergeCell ref="AD3:AE4"/>
    <mergeCell ref="V3:W4"/>
    <mergeCell ref="A1:AF1"/>
    <mergeCell ref="A2:AE2"/>
    <mergeCell ref="A3:A4"/>
    <mergeCell ref="B3:B4"/>
    <mergeCell ref="C3:C4"/>
    <mergeCell ref="D3:D4"/>
    <mergeCell ref="E3:E4"/>
    <mergeCell ref="F3:G4"/>
    <mergeCell ref="H3:I4"/>
    <mergeCell ref="J3:K4"/>
    <mergeCell ref="L3:M4"/>
    <mergeCell ref="N3:O4"/>
    <mergeCell ref="P3:Q4"/>
    <mergeCell ref="R3:S4"/>
    <mergeCell ref="T3:U4"/>
  </mergeCells>
  <hyperlinks>
    <hyperlink ref="A2:AE2" location="Оглавление!A1" display=" &quot;Развитие агропромышленного комплекса в городе Когалыме&quot;"/>
  </hyperlinks>
  <pageMargins left="0.7" right="0.7" top="0.75" bottom="0.75" header="0.3" footer="0.3"/>
  <pageSetup paperSize="9" orientation="portrait" r:id="rId31"/>
  <extLst>
    <ext xmlns:x14="http://schemas.microsoft.com/office/spreadsheetml/2009/9/main" uri="{CCE6A557-97BC-4b89-ADB6-D9C93CAAB3DF}">
      <x14:dataValidations xmlns:xm="http://schemas.microsoft.com/office/excel/2006/main" count="1">
        <x14:dataValidation type="list" allowBlank="1" showInputMessage="1" showErrorMessage="1">
          <x14:formula1>
            <xm:f>Оглавление!$B$22:$B$33</xm:f>
          </x14:formula1>
          <xm:sqref>C5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73"/>
  <sheetViews>
    <sheetView zoomScale="60" zoomScaleNormal="60" workbookViewId="0">
      <pane xSplit="1" ySplit="6" topLeftCell="B31" activePane="bottomRight" state="frozen"/>
      <selection pane="topRight" activeCell="B1" sqref="B1"/>
      <selection pane="bottomLeft" activeCell="A7" sqref="A7"/>
      <selection pane="bottomRight" activeCell="A67" sqref="A67:XFD67"/>
    </sheetView>
  </sheetViews>
  <sheetFormatPr defaultRowHeight="15" x14ac:dyDescent="0.25"/>
  <cols>
    <col min="1" max="1" width="46.140625" customWidth="1"/>
    <col min="2" max="2" width="18.7109375" bestFit="1" customWidth="1"/>
    <col min="3" max="3" width="19.7109375" customWidth="1"/>
    <col min="4" max="4" width="17" customWidth="1"/>
    <col min="5" max="5" width="16.85546875" customWidth="1"/>
    <col min="6" max="6" width="16.5703125" bestFit="1" customWidth="1"/>
    <col min="7" max="7" width="17" customWidth="1"/>
    <col min="8" max="9" width="15.5703125" bestFit="1" customWidth="1"/>
    <col min="10" max="10" width="17.28515625" bestFit="1" customWidth="1"/>
    <col min="11" max="13" width="15.5703125" bestFit="1" customWidth="1"/>
    <col min="14" max="14" width="17.28515625" bestFit="1" customWidth="1"/>
    <col min="15" max="15" width="15.5703125" bestFit="1" customWidth="1"/>
    <col min="16" max="16" width="17.28515625" bestFit="1" customWidth="1"/>
    <col min="17" max="17" width="15.5703125" bestFit="1" customWidth="1"/>
    <col min="18" max="18" width="17.28515625" bestFit="1" customWidth="1"/>
    <col min="19" max="19" width="15.5703125" bestFit="1" customWidth="1"/>
    <col min="20" max="20" width="17.28515625" bestFit="1" customWidth="1"/>
    <col min="21" max="21" width="13.5703125" bestFit="1" customWidth="1"/>
    <col min="22" max="22" width="17.28515625" bestFit="1" customWidth="1"/>
    <col min="23" max="23" width="13.5703125" bestFit="1" customWidth="1"/>
    <col min="24" max="24" width="15.5703125" bestFit="1" customWidth="1"/>
    <col min="25" max="25" width="13.5703125" bestFit="1" customWidth="1"/>
    <col min="26" max="26" width="15.5703125" bestFit="1" customWidth="1"/>
    <col min="27" max="27" width="13.5703125" bestFit="1" customWidth="1"/>
    <col min="28" max="28" width="15.5703125" bestFit="1" customWidth="1"/>
    <col min="29" max="29" width="13.5703125" bestFit="1" customWidth="1"/>
    <col min="30" max="30" width="17" bestFit="1" customWidth="1"/>
    <col min="31" max="31" width="13.5703125" bestFit="1" customWidth="1"/>
    <col min="32" max="32" width="32.140625" customWidth="1"/>
    <col min="33" max="33" width="15.5703125" customWidth="1"/>
  </cols>
  <sheetData>
    <row r="1" spans="1:33" ht="18.75" x14ac:dyDescent="0.25">
      <c r="A1" s="1015" t="s">
        <v>0</v>
      </c>
      <c r="B1" s="1015"/>
      <c r="C1" s="1015"/>
      <c r="D1" s="1015"/>
      <c r="E1" s="1015"/>
      <c r="F1" s="1015"/>
      <c r="G1" s="1015"/>
      <c r="H1" s="1015"/>
      <c r="I1" s="1015"/>
      <c r="J1" s="1015"/>
      <c r="K1" s="1015"/>
      <c r="L1" s="1015"/>
      <c r="M1" s="1015"/>
      <c r="N1" s="1015"/>
      <c r="O1" s="1015"/>
      <c r="P1" s="1015"/>
      <c r="Q1" s="1015"/>
      <c r="R1" s="1015"/>
      <c r="S1" s="1015"/>
      <c r="T1" s="1015"/>
      <c r="U1" s="1015"/>
      <c r="V1" s="1015"/>
      <c r="W1" s="1015"/>
      <c r="X1" s="1015"/>
      <c r="Y1" s="1015"/>
      <c r="Z1" s="1015"/>
      <c r="AA1" s="1015"/>
      <c r="AB1" s="1015"/>
      <c r="AC1" s="1015"/>
      <c r="AD1" s="1015"/>
      <c r="AE1" s="1015"/>
      <c r="AF1" s="1015"/>
    </row>
    <row r="2" spans="1:33" ht="18.75" x14ac:dyDescent="0.25">
      <c r="A2" s="1016" t="s">
        <v>48</v>
      </c>
      <c r="B2" s="1016"/>
      <c r="C2" s="1016"/>
      <c r="D2" s="1016"/>
      <c r="E2" s="1016"/>
      <c r="F2" s="1016"/>
      <c r="G2" s="1016"/>
      <c r="H2" s="1016"/>
      <c r="I2" s="1016"/>
      <c r="J2" s="1016"/>
      <c r="K2" s="1016"/>
      <c r="L2" s="1016"/>
      <c r="M2" s="1016"/>
      <c r="N2" s="1016"/>
      <c r="O2" s="1016"/>
      <c r="P2" s="1016"/>
      <c r="Q2" s="1016"/>
      <c r="R2" s="1016"/>
      <c r="S2" s="1016"/>
      <c r="T2" s="1016"/>
      <c r="U2" s="1016"/>
      <c r="V2" s="1016"/>
      <c r="W2" s="1016"/>
      <c r="X2" s="1016"/>
      <c r="Y2" s="1016"/>
      <c r="Z2" s="1016"/>
      <c r="AA2" s="1016"/>
      <c r="AB2" s="1016"/>
      <c r="AC2" s="1016"/>
      <c r="AD2" s="1016"/>
      <c r="AE2" s="1016"/>
      <c r="AF2" s="1" t="s">
        <v>1</v>
      </c>
    </row>
    <row r="3" spans="1:33" x14ac:dyDescent="0.25">
      <c r="A3" s="1017" t="s">
        <v>2</v>
      </c>
      <c r="B3" s="1019" t="s">
        <v>3</v>
      </c>
      <c r="C3" s="1019" t="s">
        <v>3</v>
      </c>
      <c r="D3" s="1019" t="s">
        <v>4</v>
      </c>
      <c r="E3" s="1021" t="s">
        <v>5</v>
      </c>
      <c r="F3" s="1011" t="s">
        <v>6</v>
      </c>
      <c r="G3" s="1012"/>
      <c r="H3" s="1011" t="s">
        <v>7</v>
      </c>
      <c r="I3" s="1012"/>
      <c r="J3" s="1011" t="s">
        <v>8</v>
      </c>
      <c r="K3" s="1012"/>
      <c r="L3" s="1011" t="s">
        <v>9</v>
      </c>
      <c r="M3" s="1012"/>
      <c r="N3" s="1011" t="s">
        <v>10</v>
      </c>
      <c r="O3" s="1012"/>
      <c r="P3" s="1011" t="s">
        <v>11</v>
      </c>
      <c r="Q3" s="1012"/>
      <c r="R3" s="1011" t="s">
        <v>12</v>
      </c>
      <c r="S3" s="1012"/>
      <c r="T3" s="1011" t="s">
        <v>13</v>
      </c>
      <c r="U3" s="1012"/>
      <c r="V3" s="1011" t="s">
        <v>14</v>
      </c>
      <c r="W3" s="1012"/>
      <c r="X3" s="1011" t="s">
        <v>15</v>
      </c>
      <c r="Y3" s="1012"/>
      <c r="Z3" s="1011" t="s">
        <v>16</v>
      </c>
      <c r="AA3" s="1012"/>
      <c r="AB3" s="1011" t="s">
        <v>17</v>
      </c>
      <c r="AC3" s="1012"/>
      <c r="AD3" s="1011" t="s">
        <v>18</v>
      </c>
      <c r="AE3" s="1012"/>
      <c r="AF3" s="1017" t="s">
        <v>19</v>
      </c>
    </row>
    <row r="4" spans="1:33" ht="42.75" customHeight="1" x14ac:dyDescent="0.25">
      <c r="A4" s="1018"/>
      <c r="B4" s="1020"/>
      <c r="C4" s="1020"/>
      <c r="D4" s="1020"/>
      <c r="E4" s="1022"/>
      <c r="F4" s="1013"/>
      <c r="G4" s="1014"/>
      <c r="H4" s="1013"/>
      <c r="I4" s="1014"/>
      <c r="J4" s="1013"/>
      <c r="K4" s="1014"/>
      <c r="L4" s="1013"/>
      <c r="M4" s="1014"/>
      <c r="N4" s="1013"/>
      <c r="O4" s="1014"/>
      <c r="P4" s="1013"/>
      <c r="Q4" s="1014"/>
      <c r="R4" s="1013"/>
      <c r="S4" s="1014"/>
      <c r="T4" s="1013"/>
      <c r="U4" s="1014"/>
      <c r="V4" s="1013"/>
      <c r="W4" s="1014"/>
      <c r="X4" s="1013"/>
      <c r="Y4" s="1014"/>
      <c r="Z4" s="1013"/>
      <c r="AA4" s="1014"/>
      <c r="AB4" s="1013"/>
      <c r="AC4" s="1014"/>
      <c r="AD4" s="1013"/>
      <c r="AE4" s="1014"/>
      <c r="AF4" s="1018"/>
    </row>
    <row r="5" spans="1:33" ht="56.25" x14ac:dyDescent="0.25">
      <c r="A5" s="24"/>
      <c r="B5" s="3">
        <v>2024</v>
      </c>
      <c r="C5" s="4">
        <v>45474</v>
      </c>
      <c r="D5" s="4">
        <v>45474</v>
      </c>
      <c r="E5" s="4">
        <v>45474</v>
      </c>
      <c r="F5" s="5" t="s">
        <v>20</v>
      </c>
      <c r="G5" s="5" t="s">
        <v>21</v>
      </c>
      <c r="H5" s="5" t="s">
        <v>22</v>
      </c>
      <c r="I5" s="5" t="s">
        <v>23</v>
      </c>
      <c r="J5" s="5" t="s">
        <v>22</v>
      </c>
      <c r="K5" s="5" t="s">
        <v>23</v>
      </c>
      <c r="L5" s="5" t="s">
        <v>22</v>
      </c>
      <c r="M5" s="5" t="s">
        <v>23</v>
      </c>
      <c r="N5" s="5" t="s">
        <v>22</v>
      </c>
      <c r="O5" s="5" t="s">
        <v>23</v>
      </c>
      <c r="P5" s="5" t="s">
        <v>22</v>
      </c>
      <c r="Q5" s="5" t="s">
        <v>23</v>
      </c>
      <c r="R5" s="5" t="s">
        <v>22</v>
      </c>
      <c r="S5" s="5" t="s">
        <v>23</v>
      </c>
      <c r="T5" s="5" t="s">
        <v>22</v>
      </c>
      <c r="U5" s="5" t="s">
        <v>23</v>
      </c>
      <c r="V5" s="5" t="s">
        <v>22</v>
      </c>
      <c r="W5" s="5" t="s">
        <v>23</v>
      </c>
      <c r="X5" s="5" t="s">
        <v>22</v>
      </c>
      <c r="Y5" s="5" t="s">
        <v>23</v>
      </c>
      <c r="Z5" s="5" t="s">
        <v>22</v>
      </c>
      <c r="AA5" s="5" t="s">
        <v>23</v>
      </c>
      <c r="AB5" s="5" t="s">
        <v>22</v>
      </c>
      <c r="AC5" s="5" t="s">
        <v>23</v>
      </c>
      <c r="AD5" s="5" t="s">
        <v>22</v>
      </c>
      <c r="AE5" s="5" t="s">
        <v>23</v>
      </c>
      <c r="AF5" s="1023"/>
    </row>
    <row r="6" spans="1:33" ht="18.75" x14ac:dyDescent="0.25">
      <c r="A6" s="6">
        <v>1</v>
      </c>
      <c r="B6" s="6">
        <v>2</v>
      </c>
      <c r="C6" s="6">
        <v>3</v>
      </c>
      <c r="D6" s="6">
        <v>4</v>
      </c>
      <c r="E6" s="6">
        <v>5</v>
      </c>
      <c r="F6" s="6">
        <v>6</v>
      </c>
      <c r="G6" s="6">
        <v>7</v>
      </c>
      <c r="H6" s="6">
        <v>8</v>
      </c>
      <c r="I6" s="6">
        <v>9</v>
      </c>
      <c r="J6" s="6">
        <v>10</v>
      </c>
      <c r="K6" s="6">
        <v>11</v>
      </c>
      <c r="L6" s="6">
        <v>12</v>
      </c>
      <c r="M6" s="6">
        <v>13</v>
      </c>
      <c r="N6" s="6">
        <v>14</v>
      </c>
      <c r="O6" s="6">
        <v>15</v>
      </c>
      <c r="P6" s="6">
        <v>16</v>
      </c>
      <c r="Q6" s="6">
        <v>17</v>
      </c>
      <c r="R6" s="6">
        <v>18</v>
      </c>
      <c r="S6" s="6">
        <v>19</v>
      </c>
      <c r="T6" s="6">
        <v>20</v>
      </c>
      <c r="U6" s="6">
        <v>21</v>
      </c>
      <c r="V6" s="6">
        <v>22</v>
      </c>
      <c r="W6" s="6">
        <v>23</v>
      </c>
      <c r="X6" s="6">
        <v>24</v>
      </c>
      <c r="Y6" s="6">
        <v>25</v>
      </c>
      <c r="Z6" s="6">
        <v>26</v>
      </c>
      <c r="AA6" s="6">
        <v>27</v>
      </c>
      <c r="AB6" s="6">
        <v>28</v>
      </c>
      <c r="AC6" s="6">
        <v>29</v>
      </c>
      <c r="AD6" s="6">
        <v>30</v>
      </c>
      <c r="AE6" s="6">
        <v>31</v>
      </c>
      <c r="AF6" s="2">
        <v>32</v>
      </c>
    </row>
    <row r="7" spans="1:33" ht="112.5" x14ac:dyDescent="0.25">
      <c r="A7" s="49" t="s">
        <v>75</v>
      </c>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2"/>
    </row>
    <row r="8" spans="1:33" ht="18.75" x14ac:dyDescent="0.25">
      <c r="A8" s="6" t="s">
        <v>54</v>
      </c>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2"/>
    </row>
    <row r="9" spans="1:33" ht="56.25" customHeight="1" x14ac:dyDescent="0.25">
      <c r="A9" s="50" t="s">
        <v>49</v>
      </c>
      <c r="B9" s="886">
        <f t="shared" ref="B9:E10" si="0">B10</f>
        <v>853.42</v>
      </c>
      <c r="C9" s="886">
        <f t="shared" si="0"/>
        <v>75.399999999999991</v>
      </c>
      <c r="D9" s="886">
        <f t="shared" si="0"/>
        <v>75.399999999999991</v>
      </c>
      <c r="E9" s="886">
        <f t="shared" si="0"/>
        <v>8.4</v>
      </c>
      <c r="F9" s="30"/>
      <c r="G9" s="30"/>
      <c r="H9" s="30">
        <f t="shared" ref="H9:Q10" si="1">H10</f>
        <v>0</v>
      </c>
      <c r="I9" s="30">
        <f t="shared" si="1"/>
        <v>0</v>
      </c>
      <c r="J9" s="30">
        <f t="shared" si="1"/>
        <v>0</v>
      </c>
      <c r="K9" s="30">
        <f t="shared" si="1"/>
        <v>0</v>
      </c>
      <c r="L9" s="30">
        <f t="shared" si="1"/>
        <v>0</v>
      </c>
      <c r="M9" s="30">
        <f t="shared" si="1"/>
        <v>0</v>
      </c>
      <c r="N9" s="30">
        <f t="shared" si="1"/>
        <v>2.7</v>
      </c>
      <c r="O9" s="30">
        <f t="shared" si="1"/>
        <v>0</v>
      </c>
      <c r="P9" s="30">
        <f t="shared" si="1"/>
        <v>4.4000000000000004</v>
      </c>
      <c r="Q9" s="30">
        <f t="shared" si="1"/>
        <v>3.36</v>
      </c>
      <c r="R9" s="30">
        <f t="shared" ref="R9:AA10" si="2">R10</f>
        <v>68.3</v>
      </c>
      <c r="S9" s="30">
        <f t="shared" si="2"/>
        <v>5.04</v>
      </c>
      <c r="T9" s="30">
        <f t="shared" si="2"/>
        <v>242.3</v>
      </c>
      <c r="U9" s="30">
        <f t="shared" si="2"/>
        <v>0</v>
      </c>
      <c r="V9" s="30">
        <f t="shared" si="2"/>
        <v>248.9</v>
      </c>
      <c r="W9" s="30">
        <f t="shared" si="2"/>
        <v>0</v>
      </c>
      <c r="X9" s="30">
        <f t="shared" si="2"/>
        <v>282.42</v>
      </c>
      <c r="Y9" s="30">
        <f t="shared" si="2"/>
        <v>0</v>
      </c>
      <c r="Z9" s="30">
        <f t="shared" si="2"/>
        <v>4.4000000000000004</v>
      </c>
      <c r="AA9" s="30">
        <f t="shared" si="2"/>
        <v>0</v>
      </c>
      <c r="AB9" s="30">
        <f t="shared" ref="AB9:AE10" si="3">AB10</f>
        <v>0</v>
      </c>
      <c r="AC9" s="30">
        <f t="shared" si="3"/>
        <v>0</v>
      </c>
      <c r="AD9" s="30">
        <f t="shared" si="3"/>
        <v>0</v>
      </c>
      <c r="AE9" s="30">
        <f t="shared" si="3"/>
        <v>0</v>
      </c>
      <c r="AF9" s="21"/>
    </row>
    <row r="10" spans="1:33" ht="18.75" x14ac:dyDescent="0.3">
      <c r="A10" s="13" t="s">
        <v>31</v>
      </c>
      <c r="B10" s="47">
        <f t="shared" si="0"/>
        <v>853.42</v>
      </c>
      <c r="C10" s="47">
        <f t="shared" si="0"/>
        <v>75.399999999999991</v>
      </c>
      <c r="D10" s="47">
        <f t="shared" si="0"/>
        <v>75.399999999999991</v>
      </c>
      <c r="E10" s="47">
        <f t="shared" si="0"/>
        <v>8.4</v>
      </c>
      <c r="F10" s="32">
        <f>E10/B10*100</f>
        <v>0.98427503456680188</v>
      </c>
      <c r="G10" s="32">
        <f>E10/C10*100</f>
        <v>11.14058355437666</v>
      </c>
      <c r="H10" s="47">
        <f t="shared" si="1"/>
        <v>0</v>
      </c>
      <c r="I10" s="47">
        <f t="shared" si="1"/>
        <v>0</v>
      </c>
      <c r="J10" s="47">
        <f t="shared" si="1"/>
        <v>0</v>
      </c>
      <c r="K10" s="47">
        <f t="shared" si="1"/>
        <v>0</v>
      </c>
      <c r="L10" s="47">
        <f t="shared" si="1"/>
        <v>0</v>
      </c>
      <c r="M10" s="47">
        <f t="shared" si="1"/>
        <v>0</v>
      </c>
      <c r="N10" s="47">
        <f t="shared" si="1"/>
        <v>2.7</v>
      </c>
      <c r="O10" s="47">
        <f t="shared" si="1"/>
        <v>0</v>
      </c>
      <c r="P10" s="47">
        <f t="shared" si="1"/>
        <v>4.4000000000000004</v>
      </c>
      <c r="Q10" s="47">
        <f t="shared" si="1"/>
        <v>3.36</v>
      </c>
      <c r="R10" s="47">
        <f t="shared" si="2"/>
        <v>68.3</v>
      </c>
      <c r="S10" s="47">
        <f t="shared" si="2"/>
        <v>5.04</v>
      </c>
      <c r="T10" s="47">
        <f t="shared" si="2"/>
        <v>242.3</v>
      </c>
      <c r="U10" s="47">
        <f t="shared" si="2"/>
        <v>0</v>
      </c>
      <c r="V10" s="47">
        <f t="shared" si="2"/>
        <v>248.9</v>
      </c>
      <c r="W10" s="47">
        <f t="shared" si="2"/>
        <v>0</v>
      </c>
      <c r="X10" s="47">
        <f t="shared" si="2"/>
        <v>282.42</v>
      </c>
      <c r="Y10" s="47">
        <f t="shared" si="2"/>
        <v>0</v>
      </c>
      <c r="Z10" s="47">
        <f t="shared" si="2"/>
        <v>4.4000000000000004</v>
      </c>
      <c r="AA10" s="47">
        <f t="shared" si="2"/>
        <v>0</v>
      </c>
      <c r="AB10" s="47">
        <f t="shared" si="3"/>
        <v>0</v>
      </c>
      <c r="AC10" s="47">
        <f t="shared" si="3"/>
        <v>0</v>
      </c>
      <c r="AD10" s="47">
        <f t="shared" si="3"/>
        <v>0</v>
      </c>
      <c r="AE10" s="47">
        <f t="shared" si="3"/>
        <v>0</v>
      </c>
      <c r="AF10" s="29"/>
    </row>
    <row r="11" spans="1:33" ht="18.75" x14ac:dyDescent="0.3">
      <c r="A11" s="17" t="s">
        <v>33</v>
      </c>
      <c r="B11" s="47">
        <f>H11+J11+L11+N11+P11+R11+T11+V11+X11+Z11+AB11+AD11</f>
        <v>853.42</v>
      </c>
      <c r="C11" s="47">
        <f>N11+P11+R11</f>
        <v>75.399999999999991</v>
      </c>
      <c r="D11" s="47">
        <f>N11+P11+R11</f>
        <v>75.399999999999991</v>
      </c>
      <c r="E11" s="32">
        <f>Q11+S11</f>
        <v>8.4</v>
      </c>
      <c r="F11" s="32">
        <f t="shared" ref="F11:F17" si="4">E11/B11*100</f>
        <v>0.98427503456680188</v>
      </c>
      <c r="G11" s="32">
        <f t="shared" ref="G11:G17" si="5">E11/C11*100</f>
        <v>11.14058355437666</v>
      </c>
      <c r="H11" s="32">
        <v>0</v>
      </c>
      <c r="I11" s="32"/>
      <c r="J11" s="32">
        <v>0</v>
      </c>
      <c r="K11" s="32"/>
      <c r="L11" s="32">
        <v>0</v>
      </c>
      <c r="M11" s="32"/>
      <c r="N11" s="32">
        <v>2.7</v>
      </c>
      <c r="O11" s="32"/>
      <c r="P11" s="32">
        <v>4.4000000000000004</v>
      </c>
      <c r="Q11" s="32">
        <v>3.36</v>
      </c>
      <c r="R11" s="32">
        <v>68.3</v>
      </c>
      <c r="S11" s="32">
        <v>5.04</v>
      </c>
      <c r="T11" s="32">
        <v>242.3</v>
      </c>
      <c r="U11" s="32"/>
      <c r="V11" s="32">
        <v>248.9</v>
      </c>
      <c r="W11" s="32"/>
      <c r="X11" s="32">
        <v>282.42</v>
      </c>
      <c r="Y11" s="32"/>
      <c r="Z11" s="32">
        <v>4.4000000000000004</v>
      </c>
      <c r="AA11" s="32"/>
      <c r="AB11" s="32">
        <v>0</v>
      </c>
      <c r="AC11" s="32"/>
      <c r="AD11" s="32">
        <v>0</v>
      </c>
      <c r="AE11" s="32"/>
      <c r="AF11" s="29"/>
      <c r="AG11" s="71">
        <f>C11-E11</f>
        <v>66.999999999999986</v>
      </c>
    </row>
    <row r="12" spans="1:33" ht="112.5" x14ac:dyDescent="0.3">
      <c r="A12" s="51" t="s">
        <v>50</v>
      </c>
      <c r="B12" s="887">
        <f t="shared" ref="B12:E13" si="6">B13</f>
        <v>5317.1</v>
      </c>
      <c r="C12" s="47">
        <f t="shared" si="6"/>
        <v>1603.68</v>
      </c>
      <c r="D12" s="47">
        <f t="shared" si="6"/>
        <v>1603.68</v>
      </c>
      <c r="E12" s="47">
        <f t="shared" si="6"/>
        <v>1603.68</v>
      </c>
      <c r="F12" s="32">
        <f t="shared" si="4"/>
        <v>30.160801940907639</v>
      </c>
      <c r="G12" s="32">
        <f t="shared" si="5"/>
        <v>100</v>
      </c>
      <c r="H12" s="47">
        <f>H13</f>
        <v>441.3</v>
      </c>
      <c r="I12" s="47">
        <f t="shared" ref="I12:AE13" si="7">I13</f>
        <v>441.3</v>
      </c>
      <c r="J12" s="47">
        <f t="shared" si="7"/>
        <v>232.47</v>
      </c>
      <c r="K12" s="47">
        <f t="shared" si="7"/>
        <v>232.47</v>
      </c>
      <c r="L12" s="47">
        <f t="shared" si="7"/>
        <v>232.48</v>
      </c>
      <c r="M12" s="47">
        <f t="shared" si="7"/>
        <v>232.48</v>
      </c>
      <c r="N12" s="47">
        <f t="shared" si="7"/>
        <v>232.48</v>
      </c>
      <c r="O12" s="47">
        <f t="shared" si="7"/>
        <v>232.48</v>
      </c>
      <c r="P12" s="47">
        <f t="shared" si="7"/>
        <v>232.47</v>
      </c>
      <c r="Q12" s="47">
        <f t="shared" si="7"/>
        <v>232.47</v>
      </c>
      <c r="R12" s="47">
        <f t="shared" si="7"/>
        <v>232.48</v>
      </c>
      <c r="S12" s="47">
        <f t="shared" si="7"/>
        <v>232.48</v>
      </c>
      <c r="T12" s="47">
        <f t="shared" si="7"/>
        <v>232.48</v>
      </c>
      <c r="U12" s="47">
        <f t="shared" si="7"/>
        <v>0</v>
      </c>
      <c r="V12" s="47">
        <f t="shared" si="7"/>
        <v>232.48</v>
      </c>
      <c r="W12" s="47">
        <f t="shared" si="7"/>
        <v>0</v>
      </c>
      <c r="X12" s="47">
        <f t="shared" si="7"/>
        <v>232.48</v>
      </c>
      <c r="Y12" s="47">
        <f t="shared" si="7"/>
        <v>0</v>
      </c>
      <c r="Z12" s="47">
        <f t="shared" si="7"/>
        <v>232.48</v>
      </c>
      <c r="AA12" s="47">
        <f t="shared" si="7"/>
        <v>0</v>
      </c>
      <c r="AB12" s="47">
        <f t="shared" si="7"/>
        <v>232.47</v>
      </c>
      <c r="AC12" s="47">
        <f t="shared" si="7"/>
        <v>0</v>
      </c>
      <c r="AD12" s="47">
        <f t="shared" si="7"/>
        <v>2551.0300000000002</v>
      </c>
      <c r="AE12" s="47">
        <f t="shared" si="7"/>
        <v>0</v>
      </c>
      <c r="AF12" s="29"/>
      <c r="AG12" s="71">
        <f t="shared" ref="AG12:AG68" si="8">C12-E12</f>
        <v>0</v>
      </c>
    </row>
    <row r="13" spans="1:33" ht="18.75" x14ac:dyDescent="0.3">
      <c r="A13" s="13" t="s">
        <v>31</v>
      </c>
      <c r="B13" s="47">
        <f t="shared" si="6"/>
        <v>5317.1</v>
      </c>
      <c r="C13" s="47">
        <f t="shared" si="6"/>
        <v>1603.68</v>
      </c>
      <c r="D13" s="47">
        <f t="shared" si="6"/>
        <v>1603.68</v>
      </c>
      <c r="E13" s="47">
        <f t="shared" si="6"/>
        <v>1603.68</v>
      </c>
      <c r="F13" s="32">
        <f>E13/B13*100</f>
        <v>30.160801940907639</v>
      </c>
      <c r="G13" s="32">
        <f t="shared" si="5"/>
        <v>100</v>
      </c>
      <c r="H13" s="32">
        <f>H14</f>
        <v>441.3</v>
      </c>
      <c r="I13" s="32">
        <f t="shared" si="7"/>
        <v>441.3</v>
      </c>
      <c r="J13" s="32">
        <f t="shared" si="7"/>
        <v>232.47</v>
      </c>
      <c r="K13" s="32">
        <f t="shared" si="7"/>
        <v>232.47</v>
      </c>
      <c r="L13" s="32">
        <f t="shared" si="7"/>
        <v>232.48</v>
      </c>
      <c r="M13" s="32">
        <f t="shared" si="7"/>
        <v>232.48</v>
      </c>
      <c r="N13" s="32">
        <f t="shared" si="7"/>
        <v>232.48</v>
      </c>
      <c r="O13" s="32">
        <f t="shared" si="7"/>
        <v>232.48</v>
      </c>
      <c r="P13" s="32">
        <f t="shared" si="7"/>
        <v>232.47</v>
      </c>
      <c r="Q13" s="32">
        <f t="shared" si="7"/>
        <v>232.47</v>
      </c>
      <c r="R13" s="32">
        <f t="shared" si="7"/>
        <v>232.48</v>
      </c>
      <c r="S13" s="32">
        <f t="shared" si="7"/>
        <v>232.48</v>
      </c>
      <c r="T13" s="32">
        <f t="shared" si="7"/>
        <v>232.48</v>
      </c>
      <c r="U13" s="32">
        <f t="shared" si="7"/>
        <v>0</v>
      </c>
      <c r="V13" s="32">
        <f t="shared" si="7"/>
        <v>232.48</v>
      </c>
      <c r="W13" s="32">
        <f t="shared" si="7"/>
        <v>0</v>
      </c>
      <c r="X13" s="32">
        <f t="shared" si="7"/>
        <v>232.48</v>
      </c>
      <c r="Y13" s="32">
        <f t="shared" si="7"/>
        <v>0</v>
      </c>
      <c r="Z13" s="32">
        <f t="shared" si="7"/>
        <v>232.48</v>
      </c>
      <c r="AA13" s="32">
        <f t="shared" si="7"/>
        <v>0</v>
      </c>
      <c r="AB13" s="32">
        <f t="shared" si="7"/>
        <v>232.47</v>
      </c>
      <c r="AC13" s="32">
        <f t="shared" si="7"/>
        <v>0</v>
      </c>
      <c r="AD13" s="32">
        <f t="shared" si="7"/>
        <v>2551.0300000000002</v>
      </c>
      <c r="AE13" s="32">
        <f t="shared" si="7"/>
        <v>0</v>
      </c>
      <c r="AF13" s="29"/>
      <c r="AG13" s="71">
        <f t="shared" si="8"/>
        <v>0</v>
      </c>
    </row>
    <row r="14" spans="1:33" ht="93.75" x14ac:dyDescent="0.3">
      <c r="A14" s="13" t="s">
        <v>33</v>
      </c>
      <c r="B14" s="47">
        <f>H14+J14+L14+N14+P14+R14+T14+V14+X14+Z14+AB14+AD14</f>
        <v>5317.1</v>
      </c>
      <c r="C14" s="47">
        <f>H14+J14+L14+N14+P14+R14</f>
        <v>1603.68</v>
      </c>
      <c r="D14" s="47">
        <f>H14+J14+L14+N14+P14+R14</f>
        <v>1603.68</v>
      </c>
      <c r="E14" s="32">
        <f>I14+K14+M14+O14+Q14+S14</f>
        <v>1603.68</v>
      </c>
      <c r="F14" s="32">
        <f>E14/B14*100</f>
        <v>30.160801940907639</v>
      </c>
      <c r="G14" s="32">
        <f t="shared" si="5"/>
        <v>100</v>
      </c>
      <c r="H14" s="32">
        <v>441.3</v>
      </c>
      <c r="I14" s="32">
        <v>441.3</v>
      </c>
      <c r="J14" s="32">
        <v>232.47</v>
      </c>
      <c r="K14" s="32">
        <v>232.47</v>
      </c>
      <c r="L14" s="32">
        <v>232.48</v>
      </c>
      <c r="M14" s="32">
        <v>232.48</v>
      </c>
      <c r="N14" s="32">
        <v>232.48</v>
      </c>
      <c r="O14" s="32">
        <v>232.48</v>
      </c>
      <c r="P14" s="32">
        <v>232.47</v>
      </c>
      <c r="Q14" s="32">
        <v>232.47</v>
      </c>
      <c r="R14" s="32">
        <v>232.48</v>
      </c>
      <c r="S14" s="32">
        <v>232.48</v>
      </c>
      <c r="T14" s="32">
        <v>232.48</v>
      </c>
      <c r="U14" s="32"/>
      <c r="V14" s="32">
        <v>232.48</v>
      </c>
      <c r="W14" s="32"/>
      <c r="X14" s="32">
        <v>232.48</v>
      </c>
      <c r="Y14" s="32"/>
      <c r="Z14" s="32">
        <v>232.48</v>
      </c>
      <c r="AA14" s="32"/>
      <c r="AB14" s="32">
        <v>232.47</v>
      </c>
      <c r="AC14" s="32"/>
      <c r="AD14" s="32">
        <v>2551.0300000000002</v>
      </c>
      <c r="AE14" s="32"/>
      <c r="AF14" s="717" t="s">
        <v>512</v>
      </c>
      <c r="AG14" s="71">
        <f t="shared" si="8"/>
        <v>0</v>
      </c>
    </row>
    <row r="15" spans="1:33" ht="75" x14ac:dyDescent="0.3">
      <c r="A15" s="50" t="s">
        <v>51</v>
      </c>
      <c r="B15" s="887">
        <f t="shared" ref="B15:E16" si="9">B16</f>
        <v>10.15</v>
      </c>
      <c r="C15" s="887">
        <f t="shared" si="9"/>
        <v>0</v>
      </c>
      <c r="D15" s="887">
        <f t="shared" si="9"/>
        <v>0</v>
      </c>
      <c r="E15" s="887">
        <f t="shared" si="9"/>
        <v>0</v>
      </c>
      <c r="F15" s="32">
        <f t="shared" si="4"/>
        <v>0</v>
      </c>
      <c r="G15" s="32" t="e">
        <f t="shared" si="5"/>
        <v>#DIV/0!</v>
      </c>
      <c r="H15" s="47">
        <f>H16</f>
        <v>0</v>
      </c>
      <c r="I15" s="47">
        <f t="shared" ref="I15:AE16" si="10">I16</f>
        <v>0</v>
      </c>
      <c r="J15" s="47">
        <f t="shared" si="10"/>
        <v>0</v>
      </c>
      <c r="K15" s="47">
        <f t="shared" si="10"/>
        <v>0</v>
      </c>
      <c r="L15" s="47">
        <f t="shared" si="10"/>
        <v>0</v>
      </c>
      <c r="M15" s="47">
        <f t="shared" si="10"/>
        <v>0</v>
      </c>
      <c r="N15" s="47">
        <f t="shared" si="10"/>
        <v>0</v>
      </c>
      <c r="O15" s="47">
        <f t="shared" si="10"/>
        <v>0</v>
      </c>
      <c r="P15" s="47">
        <f t="shared" si="10"/>
        <v>0</v>
      </c>
      <c r="Q15" s="47">
        <f t="shared" si="10"/>
        <v>0</v>
      </c>
      <c r="R15" s="47">
        <f t="shared" si="10"/>
        <v>0</v>
      </c>
      <c r="S15" s="47">
        <f t="shared" si="10"/>
        <v>0</v>
      </c>
      <c r="T15" s="47">
        <f t="shared" si="10"/>
        <v>0</v>
      </c>
      <c r="U15" s="47">
        <f t="shared" si="10"/>
        <v>0</v>
      </c>
      <c r="V15" s="47">
        <f t="shared" si="10"/>
        <v>0</v>
      </c>
      <c r="W15" s="47">
        <f t="shared" si="10"/>
        <v>0</v>
      </c>
      <c r="X15" s="47">
        <f t="shared" si="10"/>
        <v>0</v>
      </c>
      <c r="Y15" s="47">
        <f t="shared" si="10"/>
        <v>0</v>
      </c>
      <c r="Z15" s="47">
        <f t="shared" si="10"/>
        <v>0</v>
      </c>
      <c r="AA15" s="47">
        <f t="shared" si="10"/>
        <v>0</v>
      </c>
      <c r="AB15" s="47">
        <f t="shared" si="10"/>
        <v>0</v>
      </c>
      <c r="AC15" s="47">
        <f t="shared" si="10"/>
        <v>0</v>
      </c>
      <c r="AD15" s="47">
        <f t="shared" si="10"/>
        <v>10.15</v>
      </c>
      <c r="AE15" s="47">
        <f t="shared" si="10"/>
        <v>0</v>
      </c>
      <c r="AF15" s="29"/>
      <c r="AG15" s="71">
        <f t="shared" si="8"/>
        <v>0</v>
      </c>
    </row>
    <row r="16" spans="1:33" ht="18.75" x14ac:dyDescent="0.3">
      <c r="A16" s="12" t="s">
        <v>31</v>
      </c>
      <c r="B16" s="47">
        <f t="shared" si="9"/>
        <v>10.15</v>
      </c>
      <c r="C16" s="35">
        <f t="shared" si="9"/>
        <v>0</v>
      </c>
      <c r="D16" s="35">
        <f t="shared" si="9"/>
        <v>0</v>
      </c>
      <c r="E16" s="35">
        <f t="shared" si="9"/>
        <v>0</v>
      </c>
      <c r="F16" s="32">
        <f t="shared" si="4"/>
        <v>0</v>
      </c>
      <c r="G16" s="32" t="e">
        <f t="shared" si="5"/>
        <v>#DIV/0!</v>
      </c>
      <c r="H16" s="32">
        <f>H17</f>
        <v>0</v>
      </c>
      <c r="I16" s="32">
        <f t="shared" si="10"/>
        <v>0</v>
      </c>
      <c r="J16" s="32">
        <f t="shared" si="10"/>
        <v>0</v>
      </c>
      <c r="K16" s="32">
        <f t="shared" si="10"/>
        <v>0</v>
      </c>
      <c r="L16" s="32">
        <f t="shared" si="10"/>
        <v>0</v>
      </c>
      <c r="M16" s="32">
        <f t="shared" si="10"/>
        <v>0</v>
      </c>
      <c r="N16" s="32">
        <f t="shared" si="10"/>
        <v>0</v>
      </c>
      <c r="O16" s="32">
        <f t="shared" si="10"/>
        <v>0</v>
      </c>
      <c r="P16" s="32">
        <f t="shared" si="10"/>
        <v>0</v>
      </c>
      <c r="Q16" s="32">
        <f t="shared" si="10"/>
        <v>0</v>
      </c>
      <c r="R16" s="32">
        <f t="shared" si="10"/>
        <v>0</v>
      </c>
      <c r="S16" s="32">
        <f t="shared" si="10"/>
        <v>0</v>
      </c>
      <c r="T16" s="32">
        <f t="shared" si="10"/>
        <v>0</v>
      </c>
      <c r="U16" s="32">
        <f t="shared" si="10"/>
        <v>0</v>
      </c>
      <c r="V16" s="32">
        <f t="shared" si="10"/>
        <v>0</v>
      </c>
      <c r="W16" s="32">
        <f t="shared" si="10"/>
        <v>0</v>
      </c>
      <c r="X16" s="32">
        <f t="shared" si="10"/>
        <v>0</v>
      </c>
      <c r="Y16" s="32">
        <f t="shared" si="10"/>
        <v>0</v>
      </c>
      <c r="Z16" s="32">
        <f t="shared" si="10"/>
        <v>0</v>
      </c>
      <c r="AA16" s="32">
        <f t="shared" si="10"/>
        <v>0</v>
      </c>
      <c r="AB16" s="32">
        <f t="shared" si="10"/>
        <v>0</v>
      </c>
      <c r="AC16" s="32">
        <f t="shared" si="10"/>
        <v>0</v>
      </c>
      <c r="AD16" s="32">
        <f t="shared" si="10"/>
        <v>10.15</v>
      </c>
      <c r="AE16" s="32">
        <f t="shared" si="10"/>
        <v>0</v>
      </c>
      <c r="AF16" s="29"/>
      <c r="AG16" s="71">
        <f t="shared" si="8"/>
        <v>0</v>
      </c>
    </row>
    <row r="17" spans="1:33" ht="18.75" x14ac:dyDescent="0.3">
      <c r="A17" s="13" t="s">
        <v>33</v>
      </c>
      <c r="B17" s="47">
        <f>H17+J17+L17+N17+P17+R17+T17+V17+X17+Z17+AB17+AD17</f>
        <v>10.15</v>
      </c>
      <c r="C17" s="32">
        <f>I17+K17+M17+O17+Q17+S17+U17+W17+Y17+AA17+AC17+AE17</f>
        <v>0</v>
      </c>
      <c r="D17" s="32">
        <f>I17</f>
        <v>0</v>
      </c>
      <c r="E17" s="32">
        <f>I17</f>
        <v>0</v>
      </c>
      <c r="F17" s="32">
        <f t="shared" si="4"/>
        <v>0</v>
      </c>
      <c r="G17" s="32" t="e">
        <f t="shared" si="5"/>
        <v>#DIV/0!</v>
      </c>
      <c r="H17" s="32"/>
      <c r="I17" s="32"/>
      <c r="J17" s="32"/>
      <c r="K17" s="32"/>
      <c r="L17" s="32"/>
      <c r="M17" s="32"/>
      <c r="N17" s="32"/>
      <c r="O17" s="32"/>
      <c r="P17" s="32"/>
      <c r="Q17" s="32"/>
      <c r="R17" s="32"/>
      <c r="S17" s="32"/>
      <c r="T17" s="32"/>
      <c r="U17" s="32"/>
      <c r="V17" s="32"/>
      <c r="W17" s="32"/>
      <c r="X17" s="32"/>
      <c r="Y17" s="32"/>
      <c r="Z17" s="32"/>
      <c r="AA17" s="32"/>
      <c r="AB17" s="32"/>
      <c r="AC17" s="32"/>
      <c r="AD17" s="32">
        <v>10.15</v>
      </c>
      <c r="AE17" s="32"/>
      <c r="AF17" s="29"/>
      <c r="AG17" s="71">
        <f t="shared" si="8"/>
        <v>0</v>
      </c>
    </row>
    <row r="18" spans="1:33" ht="75" x14ac:dyDescent="0.3">
      <c r="A18" s="48" t="s">
        <v>52</v>
      </c>
      <c r="B18" s="888">
        <f t="shared" ref="B18:E19" si="11">B19</f>
        <v>58.11</v>
      </c>
      <c r="C18" s="888">
        <f t="shared" si="11"/>
        <v>45.84</v>
      </c>
      <c r="D18" s="888">
        <f t="shared" si="11"/>
        <v>45.84</v>
      </c>
      <c r="E18" s="888">
        <f t="shared" si="11"/>
        <v>45.84</v>
      </c>
      <c r="F18" s="29"/>
      <c r="G18" s="29"/>
      <c r="H18" s="58">
        <f>H19</f>
        <v>0</v>
      </c>
      <c r="I18" s="58">
        <f t="shared" ref="I18:AE19" si="12">I19</f>
        <v>0</v>
      </c>
      <c r="J18" s="58">
        <f t="shared" si="12"/>
        <v>0</v>
      </c>
      <c r="K18" s="58">
        <f t="shared" si="12"/>
        <v>0</v>
      </c>
      <c r="L18" s="58">
        <f t="shared" si="12"/>
        <v>0</v>
      </c>
      <c r="M18" s="58">
        <f t="shared" si="12"/>
        <v>0</v>
      </c>
      <c r="N18" s="58">
        <f t="shared" si="12"/>
        <v>0</v>
      </c>
      <c r="O18" s="58">
        <f t="shared" si="12"/>
        <v>0</v>
      </c>
      <c r="P18" s="58">
        <f t="shared" si="12"/>
        <v>0</v>
      </c>
      <c r="Q18" s="58">
        <f t="shared" si="12"/>
        <v>0</v>
      </c>
      <c r="R18" s="58">
        <f t="shared" si="12"/>
        <v>45.84</v>
      </c>
      <c r="S18" s="58">
        <f t="shared" si="12"/>
        <v>45.84</v>
      </c>
      <c r="T18" s="58">
        <f t="shared" si="12"/>
        <v>0</v>
      </c>
      <c r="U18" s="58">
        <f t="shared" si="12"/>
        <v>0</v>
      </c>
      <c r="V18" s="58">
        <f t="shared" si="12"/>
        <v>0</v>
      </c>
      <c r="W18" s="58">
        <f t="shared" si="12"/>
        <v>0</v>
      </c>
      <c r="X18" s="58">
        <f t="shared" si="12"/>
        <v>0</v>
      </c>
      <c r="Y18" s="58">
        <f t="shared" si="12"/>
        <v>0</v>
      </c>
      <c r="Z18" s="58">
        <f t="shared" si="12"/>
        <v>0</v>
      </c>
      <c r="AA18" s="58">
        <f t="shared" si="12"/>
        <v>0</v>
      </c>
      <c r="AB18" s="58">
        <f t="shared" si="12"/>
        <v>0</v>
      </c>
      <c r="AC18" s="58">
        <f t="shared" si="12"/>
        <v>0</v>
      </c>
      <c r="AD18" s="58">
        <f t="shared" si="12"/>
        <v>12.27</v>
      </c>
      <c r="AE18" s="58">
        <f t="shared" si="12"/>
        <v>0</v>
      </c>
      <c r="AF18" s="29"/>
      <c r="AG18" s="71">
        <f t="shared" si="8"/>
        <v>0</v>
      </c>
    </row>
    <row r="19" spans="1:33" ht="18.75" x14ac:dyDescent="0.3">
      <c r="A19" s="13" t="s">
        <v>31</v>
      </c>
      <c r="B19" s="47">
        <f t="shared" si="11"/>
        <v>58.11</v>
      </c>
      <c r="C19" s="47">
        <f t="shared" si="11"/>
        <v>45.84</v>
      </c>
      <c r="D19" s="47">
        <f t="shared" si="11"/>
        <v>45.84</v>
      </c>
      <c r="E19" s="47">
        <f t="shared" si="11"/>
        <v>45.84</v>
      </c>
      <c r="F19" s="32">
        <f>E19/B19*100</f>
        <v>78.884873515745994</v>
      </c>
      <c r="G19" s="32">
        <f>E19/C19*100</f>
        <v>100</v>
      </c>
      <c r="H19" s="47">
        <f>H20</f>
        <v>0</v>
      </c>
      <c r="I19" s="47">
        <f t="shared" si="12"/>
        <v>0</v>
      </c>
      <c r="J19" s="47">
        <f t="shared" si="12"/>
        <v>0</v>
      </c>
      <c r="K19" s="47">
        <f t="shared" si="12"/>
        <v>0</v>
      </c>
      <c r="L19" s="47">
        <f t="shared" si="12"/>
        <v>0</v>
      </c>
      <c r="M19" s="47">
        <f t="shared" si="12"/>
        <v>0</v>
      </c>
      <c r="N19" s="47">
        <f t="shared" si="12"/>
        <v>0</v>
      </c>
      <c r="O19" s="47">
        <f t="shared" si="12"/>
        <v>0</v>
      </c>
      <c r="P19" s="47">
        <f t="shared" si="12"/>
        <v>0</v>
      </c>
      <c r="Q19" s="47">
        <f t="shared" si="12"/>
        <v>0</v>
      </c>
      <c r="R19" s="47">
        <f t="shared" si="12"/>
        <v>45.84</v>
      </c>
      <c r="S19" s="47">
        <f t="shared" si="12"/>
        <v>45.84</v>
      </c>
      <c r="T19" s="47">
        <f t="shared" si="12"/>
        <v>0</v>
      </c>
      <c r="U19" s="47">
        <f t="shared" si="12"/>
        <v>0</v>
      </c>
      <c r="V19" s="47">
        <f t="shared" si="12"/>
        <v>0</v>
      </c>
      <c r="W19" s="47">
        <f t="shared" si="12"/>
        <v>0</v>
      </c>
      <c r="X19" s="47">
        <f t="shared" si="12"/>
        <v>0</v>
      </c>
      <c r="Y19" s="47">
        <f t="shared" si="12"/>
        <v>0</v>
      </c>
      <c r="Z19" s="47">
        <f t="shared" si="12"/>
        <v>0</v>
      </c>
      <c r="AA19" s="47">
        <f t="shared" si="12"/>
        <v>0</v>
      </c>
      <c r="AB19" s="47">
        <f t="shared" si="12"/>
        <v>0</v>
      </c>
      <c r="AC19" s="47">
        <f t="shared" si="12"/>
        <v>0</v>
      </c>
      <c r="AD19" s="47">
        <f t="shared" si="12"/>
        <v>12.27</v>
      </c>
      <c r="AE19" s="47">
        <f t="shared" si="12"/>
        <v>0</v>
      </c>
      <c r="AF19" s="29"/>
      <c r="AG19" s="71">
        <f t="shared" si="8"/>
        <v>0</v>
      </c>
    </row>
    <row r="20" spans="1:33" ht="18.75" x14ac:dyDescent="0.3">
      <c r="A20" s="13" t="s">
        <v>33</v>
      </c>
      <c r="B20" s="47">
        <f>H20+J20+L20+N20+P20+R20+T20+V20+X20+Z20+AB20+AD20</f>
        <v>58.11</v>
      </c>
      <c r="C20" s="47">
        <f>I20+K20+M20+O20+Q20+S20+U20+W20+Y20+AA20+AC20+AE20</f>
        <v>45.84</v>
      </c>
      <c r="D20" s="47">
        <f>H20+J20+L20+N20+P20+R20</f>
        <v>45.84</v>
      </c>
      <c r="E20" s="47">
        <f>I20+K20+M20+O20+Q20+S20</f>
        <v>45.84</v>
      </c>
      <c r="F20" s="32">
        <f>E20/B20*100</f>
        <v>78.884873515745994</v>
      </c>
      <c r="G20" s="32">
        <f>E20/C20*100</f>
        <v>100</v>
      </c>
      <c r="H20" s="29"/>
      <c r="I20" s="29"/>
      <c r="J20" s="29"/>
      <c r="K20" s="29"/>
      <c r="L20" s="29"/>
      <c r="M20" s="29"/>
      <c r="N20" s="29"/>
      <c r="O20" s="29"/>
      <c r="P20" s="29"/>
      <c r="Q20" s="29"/>
      <c r="R20" s="29">
        <v>45.84</v>
      </c>
      <c r="S20" s="29">
        <v>45.84</v>
      </c>
      <c r="T20" s="29"/>
      <c r="U20" s="29"/>
      <c r="V20" s="29"/>
      <c r="W20" s="29"/>
      <c r="X20" s="29"/>
      <c r="Y20" s="29"/>
      <c r="Z20" s="29"/>
      <c r="AA20" s="29"/>
      <c r="AB20" s="29"/>
      <c r="AC20" s="29"/>
      <c r="AD20" s="47">
        <v>12.27</v>
      </c>
      <c r="AE20" s="29"/>
      <c r="AF20" s="29"/>
      <c r="AG20" s="71">
        <f t="shared" si="8"/>
        <v>0</v>
      </c>
    </row>
    <row r="21" spans="1:33" ht="18.75" x14ac:dyDescent="0.3">
      <c r="A21" s="54" t="s">
        <v>53</v>
      </c>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71">
        <f t="shared" si="8"/>
        <v>0</v>
      </c>
    </row>
    <row r="22" spans="1:33" ht="18.75" x14ac:dyDescent="0.3">
      <c r="A22" s="13" t="s">
        <v>31</v>
      </c>
      <c r="B22" s="41">
        <f>B23</f>
        <v>6238.78</v>
      </c>
      <c r="C22" s="41">
        <f>C23</f>
        <v>1724.92</v>
      </c>
      <c r="D22" s="41">
        <f>D23</f>
        <v>1724.92</v>
      </c>
      <c r="E22" s="41">
        <f>E23</f>
        <v>1657.92</v>
      </c>
      <c r="F22" s="32">
        <f>E22/B22*100</f>
        <v>26.574426410291757</v>
      </c>
      <c r="G22" s="32">
        <f>E22/C22*100</f>
        <v>96.115761890406517</v>
      </c>
      <c r="H22" s="41">
        <f>H23</f>
        <v>441.3</v>
      </c>
      <c r="I22" s="41">
        <f t="shared" ref="I22:AE22" si="13">I23</f>
        <v>441.3</v>
      </c>
      <c r="J22" s="41">
        <f t="shared" si="13"/>
        <v>232.47</v>
      </c>
      <c r="K22" s="41">
        <f t="shared" si="13"/>
        <v>232.47</v>
      </c>
      <c r="L22" s="41">
        <f t="shared" si="13"/>
        <v>232.48</v>
      </c>
      <c r="M22" s="41">
        <f t="shared" si="13"/>
        <v>232.48</v>
      </c>
      <c r="N22" s="41">
        <f t="shared" si="13"/>
        <v>235.17999999999998</v>
      </c>
      <c r="O22" s="41">
        <f t="shared" si="13"/>
        <v>232.48</v>
      </c>
      <c r="P22" s="41">
        <f t="shared" si="13"/>
        <v>236.87</v>
      </c>
      <c r="Q22" s="41">
        <f t="shared" si="13"/>
        <v>235.83</v>
      </c>
      <c r="R22" s="41">
        <f t="shared" si="13"/>
        <v>346.62</v>
      </c>
      <c r="S22" s="41">
        <f t="shared" si="13"/>
        <v>283.36</v>
      </c>
      <c r="T22" s="41">
        <f t="shared" si="13"/>
        <v>474.78</v>
      </c>
      <c r="U22" s="41">
        <f t="shared" si="13"/>
        <v>0</v>
      </c>
      <c r="V22" s="41">
        <f t="shared" si="13"/>
        <v>481.38</v>
      </c>
      <c r="W22" s="41">
        <f t="shared" si="13"/>
        <v>0</v>
      </c>
      <c r="X22" s="41">
        <f t="shared" si="13"/>
        <v>514.9</v>
      </c>
      <c r="Y22" s="41">
        <f t="shared" si="13"/>
        <v>0</v>
      </c>
      <c r="Z22" s="41">
        <f t="shared" si="13"/>
        <v>236.88</v>
      </c>
      <c r="AA22" s="41">
        <f t="shared" si="13"/>
        <v>0</v>
      </c>
      <c r="AB22" s="41">
        <f t="shared" si="13"/>
        <v>232.47</v>
      </c>
      <c r="AC22" s="41">
        <f t="shared" si="13"/>
        <v>0</v>
      </c>
      <c r="AD22" s="41">
        <f t="shared" si="13"/>
        <v>2573.4500000000003</v>
      </c>
      <c r="AE22" s="41">
        <f t="shared" si="13"/>
        <v>0</v>
      </c>
      <c r="AF22" s="29"/>
      <c r="AG22" s="71">
        <f t="shared" si="8"/>
        <v>67</v>
      </c>
    </row>
    <row r="23" spans="1:33" ht="18.75" x14ac:dyDescent="0.3">
      <c r="A23" s="13" t="s">
        <v>33</v>
      </c>
      <c r="B23" s="41">
        <f>B11+B14+B17+B20</f>
        <v>6238.78</v>
      </c>
      <c r="C23" s="41">
        <f>C11+C14+C17+C20</f>
        <v>1724.92</v>
      </c>
      <c r="D23" s="41">
        <f>D11+D14+D17+D20</f>
        <v>1724.92</v>
      </c>
      <c r="E23" s="41">
        <f>E11+E14+E17+E20</f>
        <v>1657.92</v>
      </c>
      <c r="F23" s="32">
        <f>E23/B23*100</f>
        <v>26.574426410291757</v>
      </c>
      <c r="G23" s="32">
        <f>E23/C23*100</f>
        <v>96.115761890406517</v>
      </c>
      <c r="H23" s="41">
        <f>H11+H14+H17+H20</f>
        <v>441.3</v>
      </c>
      <c r="I23" s="41">
        <f t="shared" ref="I23:AE23" si="14">I11+I14+I17+I20</f>
        <v>441.3</v>
      </c>
      <c r="J23" s="41">
        <f t="shared" si="14"/>
        <v>232.47</v>
      </c>
      <c r="K23" s="41">
        <f t="shared" si="14"/>
        <v>232.47</v>
      </c>
      <c r="L23" s="41">
        <f t="shared" si="14"/>
        <v>232.48</v>
      </c>
      <c r="M23" s="41">
        <v>232.48</v>
      </c>
      <c r="N23" s="41">
        <f t="shared" si="14"/>
        <v>235.17999999999998</v>
      </c>
      <c r="O23" s="41">
        <f t="shared" si="14"/>
        <v>232.48</v>
      </c>
      <c r="P23" s="41">
        <f t="shared" si="14"/>
        <v>236.87</v>
      </c>
      <c r="Q23" s="41">
        <f t="shared" si="14"/>
        <v>235.83</v>
      </c>
      <c r="R23" s="41">
        <f t="shared" si="14"/>
        <v>346.62</v>
      </c>
      <c r="S23" s="41">
        <f t="shared" si="14"/>
        <v>283.36</v>
      </c>
      <c r="T23" s="41">
        <f t="shared" si="14"/>
        <v>474.78</v>
      </c>
      <c r="U23" s="41">
        <f t="shared" si="14"/>
        <v>0</v>
      </c>
      <c r="V23" s="41">
        <f t="shared" si="14"/>
        <v>481.38</v>
      </c>
      <c r="W23" s="41">
        <f t="shared" si="14"/>
        <v>0</v>
      </c>
      <c r="X23" s="41">
        <f t="shared" si="14"/>
        <v>514.9</v>
      </c>
      <c r="Y23" s="41">
        <f t="shared" si="14"/>
        <v>0</v>
      </c>
      <c r="Z23" s="41">
        <f t="shared" si="14"/>
        <v>236.88</v>
      </c>
      <c r="AA23" s="41">
        <f t="shared" si="14"/>
        <v>0</v>
      </c>
      <c r="AB23" s="41">
        <f t="shared" si="14"/>
        <v>232.47</v>
      </c>
      <c r="AC23" s="41">
        <f t="shared" si="14"/>
        <v>0</v>
      </c>
      <c r="AD23" s="41">
        <f t="shared" si="14"/>
        <v>2573.4500000000003</v>
      </c>
      <c r="AE23" s="41">
        <f t="shared" si="14"/>
        <v>0</v>
      </c>
      <c r="AF23" s="29"/>
      <c r="AG23" s="71">
        <f t="shared" si="8"/>
        <v>67</v>
      </c>
    </row>
    <row r="24" spans="1:33" ht="37.5" x14ac:dyDescent="0.3">
      <c r="A24" s="28" t="s">
        <v>72</v>
      </c>
      <c r="B24" s="29"/>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71">
        <f t="shared" si="8"/>
        <v>0</v>
      </c>
    </row>
    <row r="25" spans="1:33" ht="18.75" x14ac:dyDescent="0.3">
      <c r="A25" s="8" t="s">
        <v>31</v>
      </c>
      <c r="B25" s="41">
        <f>B26</f>
        <v>6238.78</v>
      </c>
      <c r="C25" s="41">
        <f>C26</f>
        <v>1724.92</v>
      </c>
      <c r="D25" s="41">
        <f>D26</f>
        <v>1724.92</v>
      </c>
      <c r="E25" s="41">
        <f>E26</f>
        <v>1657.92</v>
      </c>
      <c r="F25" s="32">
        <f>E25/B25*100</f>
        <v>26.574426410291757</v>
      </c>
      <c r="G25" s="32">
        <f>E25/C25*100</f>
        <v>96.115761890406517</v>
      </c>
      <c r="H25" s="41">
        <f>H26</f>
        <v>441.3</v>
      </c>
      <c r="I25" s="41">
        <f t="shared" ref="I25:AE25" si="15">I26</f>
        <v>441.3</v>
      </c>
      <c r="J25" s="41">
        <f t="shared" si="15"/>
        <v>232.47</v>
      </c>
      <c r="K25" s="41">
        <f t="shared" si="15"/>
        <v>232.47</v>
      </c>
      <c r="L25" s="41">
        <f t="shared" si="15"/>
        <v>232.48</v>
      </c>
      <c r="M25" s="41">
        <f t="shared" si="15"/>
        <v>232.48</v>
      </c>
      <c r="N25" s="41">
        <f t="shared" si="15"/>
        <v>235.17999999999998</v>
      </c>
      <c r="O25" s="41">
        <f t="shared" si="15"/>
        <v>232.48</v>
      </c>
      <c r="P25" s="41">
        <f t="shared" si="15"/>
        <v>236.87</v>
      </c>
      <c r="Q25" s="41">
        <f t="shared" si="15"/>
        <v>235.83</v>
      </c>
      <c r="R25" s="41">
        <f t="shared" si="15"/>
        <v>346.62</v>
      </c>
      <c r="S25" s="41">
        <f t="shared" si="15"/>
        <v>283.36</v>
      </c>
      <c r="T25" s="41">
        <f t="shared" si="15"/>
        <v>474.78</v>
      </c>
      <c r="U25" s="41">
        <f t="shared" si="15"/>
        <v>0</v>
      </c>
      <c r="V25" s="41">
        <f t="shared" si="15"/>
        <v>481.38</v>
      </c>
      <c r="W25" s="41">
        <f t="shared" si="15"/>
        <v>0</v>
      </c>
      <c r="X25" s="41">
        <f t="shared" si="15"/>
        <v>514.9</v>
      </c>
      <c r="Y25" s="41">
        <f t="shared" si="15"/>
        <v>0</v>
      </c>
      <c r="Z25" s="41">
        <f t="shared" si="15"/>
        <v>236.88</v>
      </c>
      <c r="AA25" s="41">
        <f t="shared" si="15"/>
        <v>0</v>
      </c>
      <c r="AB25" s="41">
        <f t="shared" si="15"/>
        <v>232.47</v>
      </c>
      <c r="AC25" s="41">
        <f t="shared" si="15"/>
        <v>0</v>
      </c>
      <c r="AD25" s="41">
        <f t="shared" si="15"/>
        <v>2573.4500000000003</v>
      </c>
      <c r="AE25" s="41">
        <f t="shared" si="15"/>
        <v>0</v>
      </c>
      <c r="AF25" s="29"/>
      <c r="AG25" s="71">
        <f t="shared" si="8"/>
        <v>67</v>
      </c>
    </row>
    <row r="26" spans="1:33" ht="18.75" x14ac:dyDescent="0.3">
      <c r="A26" s="13" t="s">
        <v>33</v>
      </c>
      <c r="B26" s="41">
        <f>B23</f>
        <v>6238.78</v>
      </c>
      <c r="C26" s="41">
        <f>C23</f>
        <v>1724.92</v>
      </c>
      <c r="D26" s="41">
        <f>D23</f>
        <v>1724.92</v>
      </c>
      <c r="E26" s="41">
        <f>E23</f>
        <v>1657.92</v>
      </c>
      <c r="F26" s="32">
        <f>E26/B26*100</f>
        <v>26.574426410291757</v>
      </c>
      <c r="G26" s="32">
        <f>E26/C26*100</f>
        <v>96.115761890406517</v>
      </c>
      <c r="H26" s="41">
        <f>H23</f>
        <v>441.3</v>
      </c>
      <c r="I26" s="41">
        <f t="shared" ref="I26:AE26" si="16">I23</f>
        <v>441.3</v>
      </c>
      <c r="J26" s="41">
        <f t="shared" si="16"/>
        <v>232.47</v>
      </c>
      <c r="K26" s="41">
        <f t="shared" si="16"/>
        <v>232.47</v>
      </c>
      <c r="L26" s="41">
        <f t="shared" si="16"/>
        <v>232.48</v>
      </c>
      <c r="M26" s="41">
        <v>232.48</v>
      </c>
      <c r="N26" s="41">
        <f t="shared" si="16"/>
        <v>235.17999999999998</v>
      </c>
      <c r="O26" s="41">
        <f t="shared" si="16"/>
        <v>232.48</v>
      </c>
      <c r="P26" s="41">
        <f t="shared" si="16"/>
        <v>236.87</v>
      </c>
      <c r="Q26" s="41">
        <f t="shared" si="16"/>
        <v>235.83</v>
      </c>
      <c r="R26" s="41">
        <f t="shared" si="16"/>
        <v>346.62</v>
      </c>
      <c r="S26" s="41">
        <f t="shared" si="16"/>
        <v>283.36</v>
      </c>
      <c r="T26" s="41">
        <f t="shared" si="16"/>
        <v>474.78</v>
      </c>
      <c r="U26" s="41">
        <f t="shared" si="16"/>
        <v>0</v>
      </c>
      <c r="V26" s="41">
        <f t="shared" si="16"/>
        <v>481.38</v>
      </c>
      <c r="W26" s="41">
        <f t="shared" si="16"/>
        <v>0</v>
      </c>
      <c r="X26" s="41">
        <f t="shared" si="16"/>
        <v>514.9</v>
      </c>
      <c r="Y26" s="41">
        <f t="shared" si="16"/>
        <v>0</v>
      </c>
      <c r="Z26" s="41">
        <f t="shared" si="16"/>
        <v>236.88</v>
      </c>
      <c r="AA26" s="41">
        <f t="shared" si="16"/>
        <v>0</v>
      </c>
      <c r="AB26" s="41">
        <f t="shared" si="16"/>
        <v>232.47</v>
      </c>
      <c r="AC26" s="41">
        <f t="shared" si="16"/>
        <v>0</v>
      </c>
      <c r="AD26" s="41">
        <f t="shared" si="16"/>
        <v>2573.4500000000003</v>
      </c>
      <c r="AE26" s="41">
        <f t="shared" si="16"/>
        <v>0</v>
      </c>
      <c r="AF26" s="29"/>
      <c r="AG26" s="71">
        <f t="shared" si="8"/>
        <v>67</v>
      </c>
    </row>
    <row r="27" spans="1:33" ht="56.25" x14ac:dyDescent="0.3">
      <c r="A27" s="55" t="s">
        <v>55</v>
      </c>
      <c r="B27" s="29"/>
      <c r="C27" s="29"/>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71">
        <f t="shared" si="8"/>
        <v>0</v>
      </c>
    </row>
    <row r="28" spans="1:33" ht="18.75" x14ac:dyDescent="0.3">
      <c r="A28" s="52" t="s">
        <v>54</v>
      </c>
      <c r="B28" s="29"/>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71">
        <f t="shared" si="8"/>
        <v>0</v>
      </c>
    </row>
    <row r="29" spans="1:33" ht="75" x14ac:dyDescent="0.3">
      <c r="A29" s="51" t="s">
        <v>56</v>
      </c>
      <c r="B29" s="41"/>
      <c r="C29" s="41"/>
      <c r="D29" s="41"/>
      <c r="E29" s="41"/>
      <c r="F29" s="41"/>
      <c r="G29" s="29"/>
      <c r="H29" s="29"/>
      <c r="I29" s="29"/>
      <c r="J29" s="29"/>
      <c r="K29" s="29"/>
      <c r="L29" s="29"/>
      <c r="M29" s="29"/>
      <c r="N29" s="29"/>
      <c r="O29" s="29"/>
      <c r="P29" s="29"/>
      <c r="Q29" s="29"/>
      <c r="R29" s="29">
        <f t="shared" ref="R29:Z30" si="17">R30</f>
        <v>10.08</v>
      </c>
      <c r="S29" s="29">
        <f t="shared" si="17"/>
        <v>10.08</v>
      </c>
      <c r="T29" s="29">
        <f t="shared" si="17"/>
        <v>110.08</v>
      </c>
      <c r="U29" s="29">
        <f t="shared" si="17"/>
        <v>0</v>
      </c>
      <c r="V29" s="29">
        <f t="shared" si="17"/>
        <v>26.62</v>
      </c>
      <c r="W29" s="29">
        <f t="shared" si="17"/>
        <v>0</v>
      </c>
      <c r="X29" s="29">
        <f t="shared" si="17"/>
        <v>36.700000000000003</v>
      </c>
      <c r="Y29" s="29">
        <f t="shared" si="17"/>
        <v>0</v>
      </c>
      <c r="Z29" s="29">
        <f t="shared" si="17"/>
        <v>36.700000000000003</v>
      </c>
      <c r="AA29" s="29">
        <f t="shared" ref="AA29:AE30" si="18">AA30</f>
        <v>0</v>
      </c>
      <c r="AB29" s="29">
        <f t="shared" si="18"/>
        <v>19.3</v>
      </c>
      <c r="AC29" s="29">
        <f t="shared" si="18"/>
        <v>0</v>
      </c>
      <c r="AD29" s="29">
        <f t="shared" si="18"/>
        <v>59.52</v>
      </c>
      <c r="AE29" s="29">
        <f t="shared" si="18"/>
        <v>0</v>
      </c>
      <c r="AF29" s="29"/>
      <c r="AG29" s="71">
        <f t="shared" si="8"/>
        <v>0</v>
      </c>
    </row>
    <row r="30" spans="1:33" ht="18.75" x14ac:dyDescent="0.3">
      <c r="A30" s="13" t="s">
        <v>31</v>
      </c>
      <c r="B30" s="887">
        <f>B31</f>
        <v>299</v>
      </c>
      <c r="C30" s="889">
        <f>C31</f>
        <v>10.08</v>
      </c>
      <c r="D30" s="889">
        <f>D31</f>
        <v>10.08</v>
      </c>
      <c r="E30" s="41">
        <f>E31</f>
        <v>10.08</v>
      </c>
      <c r="F30" s="32">
        <f>E30/B30*100</f>
        <v>3.3712374581939799</v>
      </c>
      <c r="G30" s="32">
        <f>E30/C30*100</f>
        <v>100</v>
      </c>
      <c r="H30" s="29"/>
      <c r="I30" s="29"/>
      <c r="J30" s="29"/>
      <c r="K30" s="29"/>
      <c r="L30" s="29"/>
      <c r="M30" s="29"/>
      <c r="N30" s="29"/>
      <c r="O30" s="29"/>
      <c r="P30" s="29"/>
      <c r="Q30" s="29"/>
      <c r="R30" s="29">
        <f t="shared" si="17"/>
        <v>10.08</v>
      </c>
      <c r="S30" s="29">
        <f t="shared" si="17"/>
        <v>10.08</v>
      </c>
      <c r="T30" s="29">
        <f t="shared" si="17"/>
        <v>110.08</v>
      </c>
      <c r="U30" s="29">
        <f t="shared" si="17"/>
        <v>0</v>
      </c>
      <c r="V30" s="29">
        <f t="shared" si="17"/>
        <v>26.62</v>
      </c>
      <c r="W30" s="29">
        <f t="shared" si="17"/>
        <v>0</v>
      </c>
      <c r="X30" s="29">
        <f t="shared" si="17"/>
        <v>36.700000000000003</v>
      </c>
      <c r="Y30" s="29">
        <f t="shared" si="17"/>
        <v>0</v>
      </c>
      <c r="Z30" s="29">
        <f t="shared" si="17"/>
        <v>36.700000000000003</v>
      </c>
      <c r="AA30" s="29">
        <f t="shared" si="18"/>
        <v>0</v>
      </c>
      <c r="AB30" s="29">
        <f t="shared" si="18"/>
        <v>19.3</v>
      </c>
      <c r="AC30" s="29">
        <f t="shared" si="18"/>
        <v>0</v>
      </c>
      <c r="AD30" s="29">
        <f t="shared" si="18"/>
        <v>59.52</v>
      </c>
      <c r="AE30" s="29">
        <f t="shared" si="18"/>
        <v>0</v>
      </c>
      <c r="AF30" s="29"/>
      <c r="AG30" s="71">
        <f t="shared" si="8"/>
        <v>0</v>
      </c>
    </row>
    <row r="31" spans="1:33" ht="18.75" x14ac:dyDescent="0.3">
      <c r="A31" s="13" t="s">
        <v>33</v>
      </c>
      <c r="B31" s="47">
        <f>H31+J31+L31+N31+P31+R31+T31+V31+X31+Z31+AB31+AD31</f>
        <v>299</v>
      </c>
      <c r="C31" s="32">
        <f>H31+J31+L31+N31+P31+R31</f>
        <v>10.08</v>
      </c>
      <c r="D31" s="32">
        <f>H31+J31+L31+N31+P31+R31</f>
        <v>10.08</v>
      </c>
      <c r="E31" s="32">
        <f>I31+K31+M31+O31+Q31+S31</f>
        <v>10.08</v>
      </c>
      <c r="F31" s="32">
        <f>E31/B31*100</f>
        <v>3.3712374581939799</v>
      </c>
      <c r="G31" s="32">
        <f>E31/C31*100</f>
        <v>100</v>
      </c>
      <c r="H31" s="29"/>
      <c r="I31" s="29"/>
      <c r="J31" s="29"/>
      <c r="K31" s="29"/>
      <c r="L31" s="29"/>
      <c r="M31" s="29"/>
      <c r="N31" s="29"/>
      <c r="O31" s="29"/>
      <c r="P31" s="29"/>
      <c r="Q31" s="29"/>
      <c r="R31" s="29">
        <v>10.08</v>
      </c>
      <c r="S31" s="29">
        <v>10.08</v>
      </c>
      <c r="T31" s="29">
        <v>110.08</v>
      </c>
      <c r="U31" s="29"/>
      <c r="V31" s="29">
        <v>26.62</v>
      </c>
      <c r="W31" s="29"/>
      <c r="X31" s="29">
        <v>36.700000000000003</v>
      </c>
      <c r="Y31" s="29"/>
      <c r="Z31" s="29">
        <v>36.700000000000003</v>
      </c>
      <c r="AA31" s="29"/>
      <c r="AB31" s="29">
        <v>19.3</v>
      </c>
      <c r="AC31" s="29"/>
      <c r="AD31" s="29">
        <v>59.52</v>
      </c>
      <c r="AE31" s="29"/>
      <c r="AF31" s="29"/>
      <c r="AG31" s="71">
        <f t="shared" si="8"/>
        <v>0</v>
      </c>
    </row>
    <row r="32" spans="1:33" ht="56.25" x14ac:dyDescent="0.3">
      <c r="A32" s="51" t="s">
        <v>57</v>
      </c>
      <c r="B32" s="29"/>
      <c r="C32" s="29"/>
      <c r="D32" s="29"/>
      <c r="E32" s="29"/>
      <c r="F32" s="29"/>
      <c r="G32" s="29"/>
      <c r="H32" s="29"/>
      <c r="I32" s="29"/>
      <c r="J32" s="29"/>
      <c r="K32" s="29"/>
      <c r="L32" s="29"/>
      <c r="M32" s="29"/>
      <c r="N32" s="29"/>
      <c r="O32" s="29"/>
      <c r="P32" s="29"/>
      <c r="Q32" s="29"/>
      <c r="R32" s="29"/>
      <c r="S32" s="29"/>
      <c r="T32" s="29"/>
      <c r="U32" s="29"/>
      <c r="V32" s="29">
        <f>V33</f>
        <v>51.97</v>
      </c>
      <c r="W32" s="29"/>
      <c r="X32" s="29"/>
      <c r="Y32" s="29"/>
      <c r="Z32" s="29"/>
      <c r="AA32" s="29"/>
      <c r="AB32" s="29"/>
      <c r="AC32" s="29"/>
      <c r="AD32" s="29"/>
      <c r="AE32" s="29"/>
      <c r="AF32" s="29"/>
      <c r="AG32" s="71">
        <f t="shared" si="8"/>
        <v>0</v>
      </c>
    </row>
    <row r="33" spans="1:33" ht="18.75" x14ac:dyDescent="0.3">
      <c r="A33" s="13" t="s">
        <v>31</v>
      </c>
      <c r="B33" s="887">
        <f>B34</f>
        <v>51.97</v>
      </c>
      <c r="C33" s="889">
        <f>C34</f>
        <v>0</v>
      </c>
      <c r="D33" s="889">
        <f>D34</f>
        <v>0</v>
      </c>
      <c r="E33" s="889">
        <f>E34</f>
        <v>0</v>
      </c>
      <c r="F33" s="32">
        <f>E33/B33*100</f>
        <v>0</v>
      </c>
      <c r="G33" s="32" t="e">
        <f>E33/C33*100</f>
        <v>#DIV/0!</v>
      </c>
      <c r="H33" s="29"/>
      <c r="I33" s="29"/>
      <c r="J33" s="29"/>
      <c r="K33" s="29"/>
      <c r="L33" s="29"/>
      <c r="M33" s="29"/>
      <c r="N33" s="29"/>
      <c r="O33" s="29"/>
      <c r="P33" s="29"/>
      <c r="Q33" s="29"/>
      <c r="R33" s="29"/>
      <c r="S33" s="29"/>
      <c r="T33" s="29"/>
      <c r="U33" s="29"/>
      <c r="V33" s="29">
        <f>V34</f>
        <v>51.97</v>
      </c>
      <c r="W33" s="29"/>
      <c r="X33" s="29"/>
      <c r="Y33" s="29"/>
      <c r="Z33" s="29"/>
      <c r="AA33" s="29"/>
      <c r="AB33" s="29"/>
      <c r="AC33" s="29"/>
      <c r="AD33" s="29"/>
      <c r="AE33" s="29"/>
      <c r="AF33" s="29"/>
      <c r="AG33" s="71">
        <f t="shared" si="8"/>
        <v>0</v>
      </c>
    </row>
    <row r="34" spans="1:33" ht="18.75" x14ac:dyDescent="0.3">
      <c r="A34" s="13" t="s">
        <v>33</v>
      </c>
      <c r="B34" s="47">
        <f>H34+J34+L34+N34+P34+R34+T34+V34+X34+Z34+AB34+AD34</f>
        <v>51.97</v>
      </c>
      <c r="C34" s="32">
        <f>I34+K34+M34+O34+Q34+S34+U34+W34+Y34+AA34+AC34+AE34</f>
        <v>0</v>
      </c>
      <c r="D34" s="32">
        <f>I34</f>
        <v>0</v>
      </c>
      <c r="E34" s="32">
        <f>I34</f>
        <v>0</v>
      </c>
      <c r="F34" s="32">
        <f>E34/B34*100</f>
        <v>0</v>
      </c>
      <c r="G34" s="32" t="e">
        <f>E34/C34*100</f>
        <v>#DIV/0!</v>
      </c>
      <c r="H34" s="29"/>
      <c r="I34" s="29"/>
      <c r="J34" s="29"/>
      <c r="K34" s="29"/>
      <c r="L34" s="29"/>
      <c r="M34" s="29"/>
      <c r="N34" s="29"/>
      <c r="O34" s="29"/>
      <c r="P34" s="29"/>
      <c r="Q34" s="29"/>
      <c r="R34" s="29"/>
      <c r="S34" s="29"/>
      <c r="T34" s="29"/>
      <c r="U34" s="29"/>
      <c r="V34" s="29">
        <v>51.97</v>
      </c>
      <c r="W34" s="29"/>
      <c r="X34" s="29"/>
      <c r="Y34" s="29"/>
      <c r="Z34" s="29"/>
      <c r="AA34" s="29"/>
      <c r="AB34" s="29"/>
      <c r="AC34" s="29"/>
      <c r="AD34" s="29"/>
      <c r="AE34" s="29"/>
      <c r="AF34" s="29"/>
      <c r="AG34" s="71">
        <f t="shared" si="8"/>
        <v>0</v>
      </c>
    </row>
    <row r="35" spans="1:33" ht="56.25" x14ac:dyDescent="0.3">
      <c r="A35" s="48" t="s">
        <v>58</v>
      </c>
      <c r="B35" s="29"/>
      <c r="C35" s="29"/>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71">
        <f t="shared" si="8"/>
        <v>0</v>
      </c>
    </row>
    <row r="36" spans="1:33" ht="18.75" x14ac:dyDescent="0.3">
      <c r="A36" s="13" t="s">
        <v>31</v>
      </c>
      <c r="B36" s="885">
        <f>B37</f>
        <v>1357</v>
      </c>
      <c r="C36" s="885">
        <f>C37</f>
        <v>1357</v>
      </c>
      <c r="D36" s="885">
        <f>D37</f>
        <v>1357</v>
      </c>
      <c r="E36" s="885">
        <f>E37</f>
        <v>1357</v>
      </c>
      <c r="F36" s="32">
        <f>E36/B36*100</f>
        <v>100</v>
      </c>
      <c r="G36" s="47">
        <f>E36/C36*100</f>
        <v>100</v>
      </c>
      <c r="H36" s="41">
        <f>H37</f>
        <v>0</v>
      </c>
      <c r="I36" s="41">
        <f t="shared" ref="I36:AE36" si="19">I37</f>
        <v>0</v>
      </c>
      <c r="J36" s="41">
        <f t="shared" si="19"/>
        <v>1357</v>
      </c>
      <c r="K36" s="41">
        <f t="shared" si="19"/>
        <v>1357</v>
      </c>
      <c r="L36" s="41">
        <f t="shared" si="19"/>
        <v>0</v>
      </c>
      <c r="M36" s="41">
        <f t="shared" si="19"/>
        <v>0</v>
      </c>
      <c r="N36" s="41">
        <f t="shared" si="19"/>
        <v>0</v>
      </c>
      <c r="O36" s="41">
        <f t="shared" si="19"/>
        <v>0</v>
      </c>
      <c r="P36" s="41">
        <f t="shared" si="19"/>
        <v>0</v>
      </c>
      <c r="Q36" s="41">
        <f t="shared" si="19"/>
        <v>0</v>
      </c>
      <c r="R36" s="41">
        <f t="shared" si="19"/>
        <v>0</v>
      </c>
      <c r="S36" s="41">
        <f t="shared" si="19"/>
        <v>0</v>
      </c>
      <c r="T36" s="41">
        <f t="shared" si="19"/>
        <v>0</v>
      </c>
      <c r="U36" s="41">
        <f t="shared" si="19"/>
        <v>0</v>
      </c>
      <c r="V36" s="41">
        <f t="shared" si="19"/>
        <v>0</v>
      </c>
      <c r="W36" s="41">
        <f t="shared" si="19"/>
        <v>0</v>
      </c>
      <c r="X36" s="41">
        <f t="shared" si="19"/>
        <v>0</v>
      </c>
      <c r="Y36" s="41">
        <f t="shared" si="19"/>
        <v>0</v>
      </c>
      <c r="Z36" s="41">
        <f t="shared" si="19"/>
        <v>0</v>
      </c>
      <c r="AA36" s="41">
        <f t="shared" si="19"/>
        <v>0</v>
      </c>
      <c r="AB36" s="41">
        <f t="shared" si="19"/>
        <v>0</v>
      </c>
      <c r="AC36" s="41">
        <f t="shared" si="19"/>
        <v>0</v>
      </c>
      <c r="AD36" s="41">
        <f t="shared" si="19"/>
        <v>0</v>
      </c>
      <c r="AE36" s="41">
        <f t="shared" si="19"/>
        <v>0</v>
      </c>
      <c r="AF36" s="29"/>
      <c r="AG36" s="71">
        <f t="shared" si="8"/>
        <v>0</v>
      </c>
    </row>
    <row r="37" spans="1:33" ht="18.75" x14ac:dyDescent="0.3">
      <c r="A37" s="14" t="s">
        <v>74</v>
      </c>
      <c r="B37" s="47">
        <f>H37+J37+L37+N37+P37+R37+T37+V37+X37+Z37+AB37+AD37</f>
        <v>1357</v>
      </c>
      <c r="C37" s="32">
        <f>H37+J37</f>
        <v>1357</v>
      </c>
      <c r="D37" s="32">
        <f>H37+J37</f>
        <v>1357</v>
      </c>
      <c r="E37" s="32">
        <f>I37+K37</f>
        <v>1357</v>
      </c>
      <c r="F37" s="32">
        <f>E37/B37*100</f>
        <v>100</v>
      </c>
      <c r="G37" s="47">
        <f>E37/C37*100</f>
        <v>100</v>
      </c>
      <c r="H37" s="47"/>
      <c r="I37" s="47"/>
      <c r="J37" s="47">
        <v>1357</v>
      </c>
      <c r="K37" s="47">
        <v>1357</v>
      </c>
      <c r="L37" s="47"/>
      <c r="M37" s="47"/>
      <c r="N37" s="47"/>
      <c r="O37" s="47"/>
      <c r="P37" s="47"/>
      <c r="Q37" s="47"/>
      <c r="R37" s="47"/>
      <c r="S37" s="47"/>
      <c r="T37" s="47"/>
      <c r="U37" s="47"/>
      <c r="V37" s="47"/>
      <c r="W37" s="47"/>
      <c r="X37" s="47"/>
      <c r="Y37" s="47"/>
      <c r="Z37" s="47"/>
      <c r="AA37" s="47"/>
      <c r="AB37" s="47"/>
      <c r="AC37" s="47"/>
      <c r="AD37" s="47"/>
      <c r="AE37" s="47"/>
      <c r="AF37" s="47"/>
      <c r="AG37" s="71">
        <f t="shared" si="8"/>
        <v>0</v>
      </c>
    </row>
    <row r="38" spans="1:33" ht="18.75" x14ac:dyDescent="0.3">
      <c r="A38" s="56" t="s">
        <v>35</v>
      </c>
      <c r="B38" s="29"/>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c r="AG38" s="71">
        <f t="shared" si="8"/>
        <v>0</v>
      </c>
    </row>
    <row r="39" spans="1:33" ht="18.75" x14ac:dyDescent="0.3">
      <c r="A39" s="13" t="s">
        <v>31</v>
      </c>
      <c r="B39" s="41">
        <f>B40+B41</f>
        <v>1707.97</v>
      </c>
      <c r="C39" s="41">
        <f>C40+C41</f>
        <v>1367.08</v>
      </c>
      <c r="D39" s="41">
        <f>D40+D41</f>
        <v>1367.08</v>
      </c>
      <c r="E39" s="41">
        <f>E40+E41</f>
        <v>1367.08</v>
      </c>
      <c r="F39" s="32">
        <f>E39/B39*100</f>
        <v>80.041218522573573</v>
      </c>
      <c r="G39" s="47">
        <f>E39/C39*100</f>
        <v>100</v>
      </c>
      <c r="H39" s="41">
        <f t="shared" ref="H39:AE39" si="20">H40+H41</f>
        <v>0</v>
      </c>
      <c r="I39" s="41">
        <f t="shared" si="20"/>
        <v>0</v>
      </c>
      <c r="J39" s="41">
        <f t="shared" si="20"/>
        <v>1357</v>
      </c>
      <c r="K39" s="41">
        <f t="shared" si="20"/>
        <v>1357</v>
      </c>
      <c r="L39" s="41">
        <f t="shared" si="20"/>
        <v>0</v>
      </c>
      <c r="M39" s="41">
        <f t="shared" si="20"/>
        <v>0</v>
      </c>
      <c r="N39" s="41">
        <f t="shared" si="20"/>
        <v>0</v>
      </c>
      <c r="O39" s="41">
        <f t="shared" si="20"/>
        <v>0</v>
      </c>
      <c r="P39" s="41">
        <f t="shared" si="20"/>
        <v>0</v>
      </c>
      <c r="Q39" s="41">
        <f t="shared" si="20"/>
        <v>0</v>
      </c>
      <c r="R39" s="41">
        <f t="shared" si="20"/>
        <v>10.08</v>
      </c>
      <c r="S39" s="41">
        <f t="shared" si="20"/>
        <v>10.08</v>
      </c>
      <c r="T39" s="41">
        <f t="shared" si="20"/>
        <v>110.08</v>
      </c>
      <c r="U39" s="41">
        <f t="shared" si="20"/>
        <v>0</v>
      </c>
      <c r="V39" s="41">
        <f t="shared" si="20"/>
        <v>78.59</v>
      </c>
      <c r="W39" s="41">
        <f t="shared" si="20"/>
        <v>0</v>
      </c>
      <c r="X39" s="41">
        <f t="shared" si="20"/>
        <v>36.700000000000003</v>
      </c>
      <c r="Y39" s="41">
        <f t="shared" si="20"/>
        <v>0</v>
      </c>
      <c r="Z39" s="41">
        <f t="shared" si="20"/>
        <v>36.700000000000003</v>
      </c>
      <c r="AA39" s="41">
        <f t="shared" si="20"/>
        <v>0</v>
      </c>
      <c r="AB39" s="41">
        <f t="shared" si="20"/>
        <v>19.3</v>
      </c>
      <c r="AC39" s="41">
        <f t="shared" si="20"/>
        <v>0</v>
      </c>
      <c r="AD39" s="41">
        <f t="shared" si="20"/>
        <v>59.52</v>
      </c>
      <c r="AE39" s="41">
        <f t="shared" si="20"/>
        <v>0</v>
      </c>
      <c r="AF39" s="29"/>
      <c r="AG39" s="71">
        <f t="shared" si="8"/>
        <v>0</v>
      </c>
    </row>
    <row r="40" spans="1:33" ht="18.75" x14ac:dyDescent="0.3">
      <c r="A40" s="13" t="s">
        <v>33</v>
      </c>
      <c r="B40" s="41">
        <f>B31+B34</f>
        <v>350.97</v>
      </c>
      <c r="C40" s="41">
        <f>C31+C34</f>
        <v>10.08</v>
      </c>
      <c r="D40" s="41">
        <f>D31+D34</f>
        <v>10.08</v>
      </c>
      <c r="E40" s="41">
        <f>E31+E34</f>
        <v>10.08</v>
      </c>
      <c r="F40" s="32">
        <f>E40/B40*100</f>
        <v>2.8720403453286605</v>
      </c>
      <c r="G40" s="47">
        <f>E40/C40*100</f>
        <v>100</v>
      </c>
      <c r="H40" s="41">
        <f>H31+H34</f>
        <v>0</v>
      </c>
      <c r="I40" s="41">
        <f>I31+I34</f>
        <v>0</v>
      </c>
      <c r="J40" s="41">
        <f>J31+J34</f>
        <v>0</v>
      </c>
      <c r="K40" s="41">
        <f>K31+K34</f>
        <v>0</v>
      </c>
      <c r="L40" s="41">
        <f t="shared" ref="L40:AE40" si="21">L31+L34</f>
        <v>0</v>
      </c>
      <c r="M40" s="41">
        <f t="shared" si="21"/>
        <v>0</v>
      </c>
      <c r="N40" s="41">
        <f t="shared" si="21"/>
        <v>0</v>
      </c>
      <c r="O40" s="41">
        <f t="shared" si="21"/>
        <v>0</v>
      </c>
      <c r="P40" s="41">
        <f t="shared" si="21"/>
        <v>0</v>
      </c>
      <c r="Q40" s="41">
        <f t="shared" si="21"/>
        <v>0</v>
      </c>
      <c r="R40" s="41">
        <f t="shared" si="21"/>
        <v>10.08</v>
      </c>
      <c r="S40" s="41">
        <f t="shared" si="21"/>
        <v>10.08</v>
      </c>
      <c r="T40" s="41">
        <f t="shared" si="21"/>
        <v>110.08</v>
      </c>
      <c r="U40" s="41">
        <f t="shared" si="21"/>
        <v>0</v>
      </c>
      <c r="V40" s="41">
        <f t="shared" si="21"/>
        <v>78.59</v>
      </c>
      <c r="W40" s="41">
        <f t="shared" si="21"/>
        <v>0</v>
      </c>
      <c r="X40" s="41">
        <f t="shared" si="21"/>
        <v>36.700000000000003</v>
      </c>
      <c r="Y40" s="41">
        <f t="shared" si="21"/>
        <v>0</v>
      </c>
      <c r="Z40" s="41">
        <f t="shared" si="21"/>
        <v>36.700000000000003</v>
      </c>
      <c r="AA40" s="41">
        <f t="shared" si="21"/>
        <v>0</v>
      </c>
      <c r="AB40" s="41">
        <f t="shared" si="21"/>
        <v>19.3</v>
      </c>
      <c r="AC40" s="41">
        <f t="shared" si="21"/>
        <v>0</v>
      </c>
      <c r="AD40" s="41">
        <f t="shared" si="21"/>
        <v>59.52</v>
      </c>
      <c r="AE40" s="41">
        <f t="shared" si="21"/>
        <v>0</v>
      </c>
      <c r="AF40" s="29"/>
      <c r="AG40" s="71">
        <f t="shared" si="8"/>
        <v>0</v>
      </c>
    </row>
    <row r="41" spans="1:33" ht="18.75" x14ac:dyDescent="0.3">
      <c r="A41" s="14" t="s">
        <v>74</v>
      </c>
      <c r="B41" s="41">
        <f>B37</f>
        <v>1357</v>
      </c>
      <c r="C41" s="41">
        <f>C37</f>
        <v>1357</v>
      </c>
      <c r="D41" s="41">
        <f>D37</f>
        <v>1357</v>
      </c>
      <c r="E41" s="41">
        <f>E37</f>
        <v>1357</v>
      </c>
      <c r="F41" s="32">
        <f>E41/B41*100</f>
        <v>100</v>
      </c>
      <c r="G41" s="47">
        <f>E41/C41*100</f>
        <v>100</v>
      </c>
      <c r="H41" s="41">
        <f>H37</f>
        <v>0</v>
      </c>
      <c r="I41" s="41">
        <f>I37</f>
        <v>0</v>
      </c>
      <c r="J41" s="41">
        <f>J37</f>
        <v>1357</v>
      </c>
      <c r="K41" s="41">
        <f>K37</f>
        <v>1357</v>
      </c>
      <c r="L41" s="41">
        <f t="shared" ref="L41:AE41" si="22">L37</f>
        <v>0</v>
      </c>
      <c r="M41" s="41">
        <f t="shared" si="22"/>
        <v>0</v>
      </c>
      <c r="N41" s="41">
        <f t="shared" si="22"/>
        <v>0</v>
      </c>
      <c r="O41" s="41">
        <f t="shared" si="22"/>
        <v>0</v>
      </c>
      <c r="P41" s="41">
        <f t="shared" si="22"/>
        <v>0</v>
      </c>
      <c r="Q41" s="41">
        <f t="shared" si="22"/>
        <v>0</v>
      </c>
      <c r="R41" s="41">
        <f t="shared" si="22"/>
        <v>0</v>
      </c>
      <c r="S41" s="41">
        <f t="shared" si="22"/>
        <v>0</v>
      </c>
      <c r="T41" s="41">
        <f t="shared" si="22"/>
        <v>0</v>
      </c>
      <c r="U41" s="41">
        <f t="shared" si="22"/>
        <v>0</v>
      </c>
      <c r="V41" s="41">
        <f t="shared" si="22"/>
        <v>0</v>
      </c>
      <c r="W41" s="41">
        <f t="shared" si="22"/>
        <v>0</v>
      </c>
      <c r="X41" s="41">
        <f t="shared" si="22"/>
        <v>0</v>
      </c>
      <c r="Y41" s="41">
        <f t="shared" si="22"/>
        <v>0</v>
      </c>
      <c r="Z41" s="41">
        <f t="shared" si="22"/>
        <v>0</v>
      </c>
      <c r="AA41" s="41">
        <f t="shared" si="22"/>
        <v>0</v>
      </c>
      <c r="AB41" s="41">
        <f t="shared" si="22"/>
        <v>0</v>
      </c>
      <c r="AC41" s="41">
        <f t="shared" si="22"/>
        <v>0</v>
      </c>
      <c r="AD41" s="41">
        <f t="shared" si="22"/>
        <v>0</v>
      </c>
      <c r="AE41" s="41">
        <f t="shared" si="22"/>
        <v>0</v>
      </c>
      <c r="AF41" s="29"/>
      <c r="AG41" s="71">
        <f t="shared" si="8"/>
        <v>0</v>
      </c>
    </row>
    <row r="42" spans="1:33" ht="37.5" x14ac:dyDescent="0.3">
      <c r="A42" s="28" t="s">
        <v>73</v>
      </c>
      <c r="B42" s="29"/>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71">
        <f t="shared" si="8"/>
        <v>0</v>
      </c>
    </row>
    <row r="43" spans="1:33" ht="18.75" x14ac:dyDescent="0.3">
      <c r="A43" s="8" t="s">
        <v>31</v>
      </c>
      <c r="B43" s="41">
        <f>B44+B45</f>
        <v>1707.97</v>
      </c>
      <c r="C43" s="41">
        <f>C44+C45</f>
        <v>1367.08</v>
      </c>
      <c r="D43" s="41">
        <f>D44+D45</f>
        <v>1367.08</v>
      </c>
      <c r="E43" s="41">
        <f>E44+E45</f>
        <v>1367.08</v>
      </c>
      <c r="F43" s="32">
        <f>E43/B43*100</f>
        <v>80.041218522573573</v>
      </c>
      <c r="G43" s="47">
        <f>E43/C43*100</f>
        <v>100</v>
      </c>
      <c r="H43" s="41">
        <f>H44+H45</f>
        <v>0</v>
      </c>
      <c r="I43" s="41">
        <f t="shared" ref="I43:AE43" si="23">I44+I45</f>
        <v>0</v>
      </c>
      <c r="J43" s="41">
        <f t="shared" si="23"/>
        <v>1357</v>
      </c>
      <c r="K43" s="41">
        <f t="shared" si="23"/>
        <v>1357</v>
      </c>
      <c r="L43" s="41">
        <f t="shared" si="23"/>
        <v>0</v>
      </c>
      <c r="M43" s="41">
        <f t="shared" si="23"/>
        <v>0</v>
      </c>
      <c r="N43" s="41">
        <f t="shared" si="23"/>
        <v>0</v>
      </c>
      <c r="O43" s="41">
        <f t="shared" si="23"/>
        <v>0</v>
      </c>
      <c r="P43" s="41">
        <f t="shared" si="23"/>
        <v>0</v>
      </c>
      <c r="Q43" s="41">
        <f t="shared" si="23"/>
        <v>0</v>
      </c>
      <c r="R43" s="41">
        <f t="shared" si="23"/>
        <v>10.08</v>
      </c>
      <c r="S43" s="41">
        <f t="shared" si="23"/>
        <v>10.08</v>
      </c>
      <c r="T43" s="41">
        <f t="shared" si="23"/>
        <v>110.08</v>
      </c>
      <c r="U43" s="41">
        <f t="shared" si="23"/>
        <v>0</v>
      </c>
      <c r="V43" s="41">
        <f t="shared" si="23"/>
        <v>78.59</v>
      </c>
      <c r="W43" s="41">
        <f t="shared" si="23"/>
        <v>0</v>
      </c>
      <c r="X43" s="41">
        <f t="shared" si="23"/>
        <v>36.700000000000003</v>
      </c>
      <c r="Y43" s="41">
        <f t="shared" si="23"/>
        <v>0</v>
      </c>
      <c r="Z43" s="41">
        <f t="shared" si="23"/>
        <v>36.700000000000003</v>
      </c>
      <c r="AA43" s="41">
        <f t="shared" si="23"/>
        <v>0</v>
      </c>
      <c r="AB43" s="41">
        <f t="shared" si="23"/>
        <v>19.3</v>
      </c>
      <c r="AC43" s="41">
        <f t="shared" si="23"/>
        <v>0</v>
      </c>
      <c r="AD43" s="41">
        <f t="shared" si="23"/>
        <v>59.52</v>
      </c>
      <c r="AE43" s="41">
        <f t="shared" si="23"/>
        <v>0</v>
      </c>
      <c r="AF43" s="29"/>
      <c r="AG43" s="71">
        <f t="shared" si="8"/>
        <v>0</v>
      </c>
    </row>
    <row r="44" spans="1:33" ht="18.75" x14ac:dyDescent="0.3">
      <c r="A44" s="13" t="s">
        <v>33</v>
      </c>
      <c r="B44" s="41">
        <f t="shared" ref="B44:E45" si="24">B40</f>
        <v>350.97</v>
      </c>
      <c r="C44" s="41">
        <f t="shared" si="24"/>
        <v>10.08</v>
      </c>
      <c r="D44" s="41">
        <f t="shared" si="24"/>
        <v>10.08</v>
      </c>
      <c r="E44" s="41">
        <f t="shared" si="24"/>
        <v>10.08</v>
      </c>
      <c r="F44" s="32">
        <f>E44/B44*100</f>
        <v>2.8720403453286605</v>
      </c>
      <c r="G44" s="47">
        <f>E44/C44*100</f>
        <v>100</v>
      </c>
      <c r="H44" s="41">
        <f>H40</f>
        <v>0</v>
      </c>
      <c r="I44" s="41">
        <f t="shared" ref="I44:AE44" si="25">I40</f>
        <v>0</v>
      </c>
      <c r="J44" s="41">
        <f t="shared" si="25"/>
        <v>0</v>
      </c>
      <c r="K44" s="41">
        <f t="shared" si="25"/>
        <v>0</v>
      </c>
      <c r="L44" s="41">
        <f t="shared" si="25"/>
        <v>0</v>
      </c>
      <c r="M44" s="41">
        <f t="shared" si="25"/>
        <v>0</v>
      </c>
      <c r="N44" s="41">
        <f t="shared" si="25"/>
        <v>0</v>
      </c>
      <c r="O44" s="41">
        <f t="shared" si="25"/>
        <v>0</v>
      </c>
      <c r="P44" s="41">
        <f t="shared" si="25"/>
        <v>0</v>
      </c>
      <c r="Q44" s="41">
        <f t="shared" si="25"/>
        <v>0</v>
      </c>
      <c r="R44" s="41">
        <f t="shared" si="25"/>
        <v>10.08</v>
      </c>
      <c r="S44" s="41">
        <f t="shared" si="25"/>
        <v>10.08</v>
      </c>
      <c r="T44" s="41">
        <f t="shared" si="25"/>
        <v>110.08</v>
      </c>
      <c r="U44" s="41">
        <f t="shared" si="25"/>
        <v>0</v>
      </c>
      <c r="V44" s="41">
        <f t="shared" si="25"/>
        <v>78.59</v>
      </c>
      <c r="W44" s="41">
        <f t="shared" si="25"/>
        <v>0</v>
      </c>
      <c r="X44" s="41">
        <f t="shared" si="25"/>
        <v>36.700000000000003</v>
      </c>
      <c r="Y44" s="41">
        <f t="shared" si="25"/>
        <v>0</v>
      </c>
      <c r="Z44" s="41">
        <f t="shared" si="25"/>
        <v>36.700000000000003</v>
      </c>
      <c r="AA44" s="41">
        <f t="shared" si="25"/>
        <v>0</v>
      </c>
      <c r="AB44" s="41">
        <f t="shared" si="25"/>
        <v>19.3</v>
      </c>
      <c r="AC44" s="41">
        <f t="shared" si="25"/>
        <v>0</v>
      </c>
      <c r="AD44" s="41">
        <f t="shared" si="25"/>
        <v>59.52</v>
      </c>
      <c r="AE44" s="41">
        <f t="shared" si="25"/>
        <v>0</v>
      </c>
      <c r="AF44" s="29"/>
      <c r="AG44" s="71">
        <f t="shared" si="8"/>
        <v>0</v>
      </c>
    </row>
    <row r="45" spans="1:33" ht="18.75" x14ac:dyDescent="0.3">
      <c r="A45" s="14" t="s">
        <v>74</v>
      </c>
      <c r="B45" s="41">
        <f t="shared" si="24"/>
        <v>1357</v>
      </c>
      <c r="C45" s="41">
        <f t="shared" si="24"/>
        <v>1357</v>
      </c>
      <c r="D45" s="41">
        <f t="shared" si="24"/>
        <v>1357</v>
      </c>
      <c r="E45" s="41">
        <f t="shared" si="24"/>
        <v>1357</v>
      </c>
      <c r="F45" s="32">
        <f>E45/B45*100</f>
        <v>100</v>
      </c>
      <c r="G45" s="47">
        <f>E45/C45*100</f>
        <v>100</v>
      </c>
      <c r="H45" s="41">
        <f>H41</f>
        <v>0</v>
      </c>
      <c r="I45" s="41">
        <f t="shared" ref="I45:AE45" si="26">I41</f>
        <v>0</v>
      </c>
      <c r="J45" s="41">
        <f t="shared" si="26"/>
        <v>1357</v>
      </c>
      <c r="K45" s="41">
        <f t="shared" si="26"/>
        <v>1357</v>
      </c>
      <c r="L45" s="41">
        <f t="shared" si="26"/>
        <v>0</v>
      </c>
      <c r="M45" s="41">
        <f t="shared" si="26"/>
        <v>0</v>
      </c>
      <c r="N45" s="41">
        <f t="shared" si="26"/>
        <v>0</v>
      </c>
      <c r="O45" s="41">
        <f t="shared" si="26"/>
        <v>0</v>
      </c>
      <c r="P45" s="41">
        <f t="shared" si="26"/>
        <v>0</v>
      </c>
      <c r="Q45" s="41">
        <f t="shared" si="26"/>
        <v>0</v>
      </c>
      <c r="R45" s="41">
        <f t="shared" si="26"/>
        <v>0</v>
      </c>
      <c r="S45" s="41">
        <f t="shared" si="26"/>
        <v>0</v>
      </c>
      <c r="T45" s="41">
        <f t="shared" si="26"/>
        <v>0</v>
      </c>
      <c r="U45" s="41">
        <f t="shared" si="26"/>
        <v>0</v>
      </c>
      <c r="V45" s="41">
        <f t="shared" si="26"/>
        <v>0</v>
      </c>
      <c r="W45" s="41">
        <f t="shared" si="26"/>
        <v>0</v>
      </c>
      <c r="X45" s="41">
        <f t="shared" si="26"/>
        <v>0</v>
      </c>
      <c r="Y45" s="41">
        <f t="shared" si="26"/>
        <v>0</v>
      </c>
      <c r="Z45" s="41">
        <f t="shared" si="26"/>
        <v>0</v>
      </c>
      <c r="AA45" s="41">
        <f t="shared" si="26"/>
        <v>0</v>
      </c>
      <c r="AB45" s="41">
        <f t="shared" si="26"/>
        <v>0</v>
      </c>
      <c r="AC45" s="41">
        <f t="shared" si="26"/>
        <v>0</v>
      </c>
      <c r="AD45" s="41">
        <f t="shared" si="26"/>
        <v>0</v>
      </c>
      <c r="AE45" s="41">
        <f t="shared" si="26"/>
        <v>0</v>
      </c>
      <c r="AF45" s="29"/>
      <c r="AG45" s="71">
        <f t="shared" si="8"/>
        <v>0</v>
      </c>
    </row>
    <row r="46" spans="1:33" ht="131.25" x14ac:dyDescent="0.3">
      <c r="A46" s="55" t="s">
        <v>59</v>
      </c>
      <c r="B46" s="29"/>
      <c r="C46" s="29"/>
      <c r="D46" s="29"/>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71">
        <f t="shared" si="8"/>
        <v>0</v>
      </c>
    </row>
    <row r="47" spans="1:33" ht="18.75" x14ac:dyDescent="0.3">
      <c r="A47" s="52" t="s">
        <v>54</v>
      </c>
      <c r="B47" s="29"/>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71">
        <f t="shared" si="8"/>
        <v>0</v>
      </c>
    </row>
    <row r="48" spans="1:33" ht="150" x14ac:dyDescent="0.3">
      <c r="A48" s="50" t="s">
        <v>60</v>
      </c>
      <c r="B48" s="53"/>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71">
        <f t="shared" si="8"/>
        <v>0</v>
      </c>
    </row>
    <row r="49" spans="1:33" ht="18.75" x14ac:dyDescent="0.3">
      <c r="A49" s="890" t="s">
        <v>31</v>
      </c>
      <c r="B49" s="882">
        <f>B50+B51</f>
        <v>8815.7899999999991</v>
      </c>
      <c r="C49" s="882">
        <f>C50+C51</f>
        <v>4980.3900000000003</v>
      </c>
      <c r="D49" s="882">
        <f>D50+D51</f>
        <v>4980.3900000000003</v>
      </c>
      <c r="E49" s="888">
        <f>E50+E51</f>
        <v>4850.5</v>
      </c>
      <c r="F49" s="32">
        <f>E49/B49*100</f>
        <v>55.020593730113809</v>
      </c>
      <c r="G49" s="47">
        <f>E49/C49*100</f>
        <v>97.39197131148363</v>
      </c>
      <c r="H49" s="41">
        <f>H50</f>
        <v>1146.0999999999999</v>
      </c>
      <c r="I49" s="691">
        <f t="shared" ref="I49:AE49" si="27">I50</f>
        <v>760.22</v>
      </c>
      <c r="J49" s="691">
        <f t="shared" si="27"/>
        <v>746.3</v>
      </c>
      <c r="K49" s="695">
        <f t="shared" si="27"/>
        <v>1037.3499999999999</v>
      </c>
      <c r="L49" s="691">
        <f t="shared" si="27"/>
        <v>833.8</v>
      </c>
      <c r="M49" s="691">
        <f t="shared" si="27"/>
        <v>898.63</v>
      </c>
      <c r="N49" s="691">
        <f t="shared" si="27"/>
        <v>913.5</v>
      </c>
      <c r="O49" s="691">
        <f t="shared" si="27"/>
        <v>599.34</v>
      </c>
      <c r="P49" s="691">
        <f>P50+P51</f>
        <v>721.18999999999994</v>
      </c>
      <c r="Q49" s="691">
        <f>Q50+Q51</f>
        <v>512.80000000000007</v>
      </c>
      <c r="R49" s="691">
        <f t="shared" si="27"/>
        <v>619.5</v>
      </c>
      <c r="S49" s="691">
        <f t="shared" si="27"/>
        <v>1042.1599999999999</v>
      </c>
      <c r="T49" s="691">
        <f t="shared" si="27"/>
        <v>845.1</v>
      </c>
      <c r="U49" s="691">
        <f t="shared" si="27"/>
        <v>0</v>
      </c>
      <c r="V49" s="691">
        <f t="shared" si="27"/>
        <v>676.3</v>
      </c>
      <c r="W49" s="691">
        <f t="shared" si="27"/>
        <v>0</v>
      </c>
      <c r="X49" s="691">
        <f t="shared" si="27"/>
        <v>534.9</v>
      </c>
      <c r="Y49" s="691">
        <f t="shared" si="27"/>
        <v>0</v>
      </c>
      <c r="Z49" s="691">
        <f t="shared" si="27"/>
        <v>637.20000000000005</v>
      </c>
      <c r="AA49" s="691">
        <f t="shared" si="27"/>
        <v>0</v>
      </c>
      <c r="AB49" s="691">
        <f t="shared" si="27"/>
        <v>637.6</v>
      </c>
      <c r="AC49" s="691">
        <f t="shared" si="27"/>
        <v>0</v>
      </c>
      <c r="AD49" s="691">
        <f t="shared" si="27"/>
        <v>504.3</v>
      </c>
      <c r="AE49" s="691">
        <f t="shared" si="27"/>
        <v>0</v>
      </c>
      <c r="AF49" s="692"/>
      <c r="AG49" s="71">
        <f t="shared" si="8"/>
        <v>129.89000000000033</v>
      </c>
    </row>
    <row r="50" spans="1:33" s="46" customFormat="1" ht="93.75" x14ac:dyDescent="0.3">
      <c r="A50" s="15" t="s">
        <v>33</v>
      </c>
      <c r="B50" s="47">
        <f>H50+J50+L50+N50+P50+R50+T50+V50+X50+Z50+AB50+AD50</f>
        <v>8770.9</v>
      </c>
      <c r="C50" s="32">
        <f>H50+J50+L50+N50+P50+R50</f>
        <v>4935.5</v>
      </c>
      <c r="D50" s="32">
        <f>H50+J50+L50+N50+P50+R50</f>
        <v>4935.5</v>
      </c>
      <c r="E50" s="32">
        <f>I50+K50+M50+O50+Q50+S50</f>
        <v>4805.6099999999997</v>
      </c>
      <c r="F50" s="32">
        <f>E50/B50*100</f>
        <v>54.790386391362347</v>
      </c>
      <c r="G50" s="47">
        <f>E50/C50*100</f>
        <v>97.368250430554141</v>
      </c>
      <c r="H50" s="47">
        <v>1146.0999999999999</v>
      </c>
      <c r="I50" s="692">
        <v>760.22</v>
      </c>
      <c r="J50" s="692">
        <v>746.3</v>
      </c>
      <c r="K50" s="689">
        <v>1037.3499999999999</v>
      </c>
      <c r="L50" s="692">
        <v>833.8</v>
      </c>
      <c r="M50" s="692">
        <v>898.63</v>
      </c>
      <c r="N50" s="692">
        <v>913.5</v>
      </c>
      <c r="O50" s="692">
        <v>599.34</v>
      </c>
      <c r="P50" s="692">
        <v>676.3</v>
      </c>
      <c r="Q50" s="692">
        <v>467.91</v>
      </c>
      <c r="R50" s="692">
        <v>619.5</v>
      </c>
      <c r="S50" s="692">
        <f>1087.05-Q51</f>
        <v>1042.1599999999999</v>
      </c>
      <c r="T50" s="692">
        <v>845.1</v>
      </c>
      <c r="U50" s="692"/>
      <c r="V50" s="692">
        <v>676.3</v>
      </c>
      <c r="W50" s="692"/>
      <c r="X50" s="692">
        <v>534.9</v>
      </c>
      <c r="Y50" s="692"/>
      <c r="Z50" s="692">
        <v>637.20000000000005</v>
      </c>
      <c r="AA50" s="692"/>
      <c r="AB50" s="692">
        <v>637.6</v>
      </c>
      <c r="AC50" s="692"/>
      <c r="AD50" s="692">
        <v>504.3</v>
      </c>
      <c r="AE50" s="692"/>
      <c r="AF50" s="717" t="s">
        <v>512</v>
      </c>
      <c r="AG50" s="71">
        <f t="shared" si="8"/>
        <v>129.89000000000033</v>
      </c>
    </row>
    <row r="51" spans="1:33" s="46" customFormat="1" ht="18.75" x14ac:dyDescent="0.3">
      <c r="A51" s="950" t="s">
        <v>32</v>
      </c>
      <c r="B51" s="47">
        <f>H51+J51+L51+N51+P51+R51+T51+V51+X51+Z51+AB51+AD51</f>
        <v>44.89</v>
      </c>
      <c r="C51" s="32">
        <f>H51+J51+L51+N51+P51</f>
        <v>44.89</v>
      </c>
      <c r="D51" s="32">
        <f>H51+J51+L51+N51+P51</f>
        <v>44.89</v>
      </c>
      <c r="E51" s="32">
        <f>I51+K51+M51+O51+Q51</f>
        <v>44.89</v>
      </c>
      <c r="F51" s="32">
        <f>E51/B51*100</f>
        <v>100</v>
      </c>
      <c r="G51" s="47">
        <f>E51/C51*100</f>
        <v>100</v>
      </c>
      <c r="H51" s="47">
        <v>0</v>
      </c>
      <c r="I51" s="692">
        <v>0</v>
      </c>
      <c r="J51" s="692">
        <v>0</v>
      </c>
      <c r="K51" s="689">
        <v>0</v>
      </c>
      <c r="L51" s="692">
        <v>0</v>
      </c>
      <c r="M51" s="692">
        <v>0</v>
      </c>
      <c r="N51" s="692">
        <v>0</v>
      </c>
      <c r="O51" s="692">
        <v>0</v>
      </c>
      <c r="P51" s="692">
        <v>44.89</v>
      </c>
      <c r="Q51" s="692">
        <v>44.89</v>
      </c>
      <c r="R51" s="692">
        <v>0</v>
      </c>
      <c r="S51" s="692"/>
      <c r="T51" s="692">
        <v>0</v>
      </c>
      <c r="U51" s="692"/>
      <c r="V51" s="692"/>
      <c r="W51" s="692"/>
      <c r="X51" s="692"/>
      <c r="Y51" s="692"/>
      <c r="Z51" s="692"/>
      <c r="AA51" s="692"/>
      <c r="AB51" s="692"/>
      <c r="AC51" s="692"/>
      <c r="AD51" s="692"/>
      <c r="AE51" s="692"/>
      <c r="AF51" s="717"/>
      <c r="AG51" s="71"/>
    </row>
    <row r="52" spans="1:33" ht="112.5" x14ac:dyDescent="0.3">
      <c r="A52" s="51" t="s">
        <v>61</v>
      </c>
      <c r="B52" s="53"/>
      <c r="C52" s="29"/>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c r="AG52" s="71">
        <f t="shared" si="8"/>
        <v>0</v>
      </c>
    </row>
    <row r="53" spans="1:33" ht="18.75" x14ac:dyDescent="0.3">
      <c r="A53" s="19" t="s">
        <v>31</v>
      </c>
      <c r="B53" s="41">
        <f>B54</f>
        <v>37403.800000000003</v>
      </c>
      <c r="C53" s="41">
        <f>C54</f>
        <v>17897.13</v>
      </c>
      <c r="D53" s="41">
        <f>D54</f>
        <v>17897.13</v>
      </c>
      <c r="E53" s="41">
        <f>E54</f>
        <v>16039.05</v>
      </c>
      <c r="F53" s="32">
        <f>E53/B53*100</f>
        <v>42.88080355471903</v>
      </c>
      <c r="G53" s="47">
        <f>E53/C53*100</f>
        <v>89.618000204502053</v>
      </c>
      <c r="H53" s="41">
        <f>H54</f>
        <v>2514.42</v>
      </c>
      <c r="I53" s="41">
        <f>I54</f>
        <v>1209.1099999999999</v>
      </c>
      <c r="J53" s="41">
        <f t="shared" ref="J53:AE53" si="28">J54</f>
        <v>2858.69</v>
      </c>
      <c r="K53" s="41">
        <f t="shared" si="28"/>
        <v>3080.14</v>
      </c>
      <c r="L53" s="41">
        <f t="shared" si="28"/>
        <v>3034.13</v>
      </c>
      <c r="M53" s="41">
        <f t="shared" si="28"/>
        <v>2727.01</v>
      </c>
      <c r="N53" s="41">
        <f t="shared" si="28"/>
        <v>3178.8</v>
      </c>
      <c r="O53" s="41">
        <f t="shared" si="28"/>
        <v>2883.44</v>
      </c>
      <c r="P53" s="41">
        <f t="shared" si="28"/>
        <v>3166.67</v>
      </c>
      <c r="Q53" s="41">
        <f t="shared" si="28"/>
        <v>2880.97</v>
      </c>
      <c r="R53" s="41">
        <f t="shared" si="28"/>
        <v>3144.42</v>
      </c>
      <c r="S53" s="41">
        <f t="shared" si="28"/>
        <v>3258.38</v>
      </c>
      <c r="T53" s="41">
        <f t="shared" si="28"/>
        <v>3751.78</v>
      </c>
      <c r="U53" s="41">
        <f t="shared" si="28"/>
        <v>0</v>
      </c>
      <c r="V53" s="41">
        <f t="shared" si="28"/>
        <v>3146.42</v>
      </c>
      <c r="W53" s="41">
        <f t="shared" si="28"/>
        <v>0</v>
      </c>
      <c r="X53" s="41">
        <f t="shared" si="28"/>
        <v>3196.68</v>
      </c>
      <c r="Y53" s="41">
        <f t="shared" si="28"/>
        <v>0</v>
      </c>
      <c r="Z53" s="41">
        <f t="shared" si="28"/>
        <v>3473.53</v>
      </c>
      <c r="AA53" s="41">
        <f t="shared" si="28"/>
        <v>0</v>
      </c>
      <c r="AB53" s="41">
        <f t="shared" si="28"/>
        <v>3197.1</v>
      </c>
      <c r="AC53" s="41">
        <f t="shared" si="28"/>
        <v>0</v>
      </c>
      <c r="AD53" s="41">
        <f t="shared" si="28"/>
        <v>2741.16</v>
      </c>
      <c r="AE53" s="41">
        <f t="shared" si="28"/>
        <v>0</v>
      </c>
      <c r="AF53" s="29"/>
      <c r="AG53" s="71">
        <f t="shared" si="8"/>
        <v>1858.0800000000017</v>
      </c>
    </row>
    <row r="54" spans="1:33" s="46" customFormat="1" ht="93.75" x14ac:dyDescent="0.3">
      <c r="A54" s="15" t="s">
        <v>33</v>
      </c>
      <c r="B54" s="887">
        <f>H54+J54+L54+N54+P54+R54+T54+V54+X54+Z54+AB54+AD54</f>
        <v>37403.800000000003</v>
      </c>
      <c r="C54" s="47">
        <f>H54+J54+L54+N54+P54+R54</f>
        <v>17897.13</v>
      </c>
      <c r="D54" s="47">
        <f>H54+J54+L54+N54+P54+R54</f>
        <v>17897.13</v>
      </c>
      <c r="E54" s="47">
        <f>I54+K54+M54+O54+Q54+S54</f>
        <v>16039.05</v>
      </c>
      <c r="F54" s="32">
        <f>E54/B54*100</f>
        <v>42.88080355471903</v>
      </c>
      <c r="G54" s="47">
        <f>E54/C54*100</f>
        <v>89.618000204502053</v>
      </c>
      <c r="H54" s="47">
        <v>2514.42</v>
      </c>
      <c r="I54" s="47">
        <v>1209.1099999999999</v>
      </c>
      <c r="J54" s="47">
        <v>2858.69</v>
      </c>
      <c r="K54" s="47">
        <v>3080.14</v>
      </c>
      <c r="L54" s="47">
        <v>3034.13</v>
      </c>
      <c r="M54" s="47">
        <v>2727.01</v>
      </c>
      <c r="N54" s="47">
        <v>3178.8</v>
      </c>
      <c r="O54" s="47">
        <v>2883.44</v>
      </c>
      <c r="P54" s="47">
        <v>3166.67</v>
      </c>
      <c r="Q54" s="47">
        <v>2880.97</v>
      </c>
      <c r="R54" s="47">
        <v>3144.42</v>
      </c>
      <c r="S54" s="47">
        <v>3258.38</v>
      </c>
      <c r="T54" s="47">
        <v>3751.78</v>
      </c>
      <c r="U54" s="47"/>
      <c r="V54" s="47">
        <v>3146.42</v>
      </c>
      <c r="W54" s="47"/>
      <c r="X54" s="47">
        <v>3196.68</v>
      </c>
      <c r="Y54" s="47"/>
      <c r="Z54" s="47">
        <v>3473.53</v>
      </c>
      <c r="AA54" s="47"/>
      <c r="AB54" s="47">
        <v>3197.1</v>
      </c>
      <c r="AC54" s="47"/>
      <c r="AD54" s="47">
        <v>2741.16</v>
      </c>
      <c r="AE54" s="47"/>
      <c r="AF54" s="717" t="s">
        <v>512</v>
      </c>
      <c r="AG54" s="71">
        <f t="shared" si="8"/>
        <v>1858.0800000000017</v>
      </c>
    </row>
    <row r="55" spans="1:33" ht="18.75" x14ac:dyDescent="0.3">
      <c r="A55" s="56" t="s">
        <v>62</v>
      </c>
      <c r="B55" s="29"/>
      <c r="C55" s="29"/>
      <c r="D55" s="29"/>
      <c r="E55" s="29"/>
      <c r="F55" s="29"/>
      <c r="G55" s="29"/>
      <c r="H55" s="29"/>
      <c r="I55" s="47"/>
      <c r="J55" s="47"/>
      <c r="K55" s="47"/>
      <c r="L55" s="47"/>
      <c r="M55" s="47"/>
      <c r="N55" s="47"/>
      <c r="O55" s="29"/>
      <c r="P55" s="29"/>
      <c r="Q55" s="29"/>
      <c r="R55" s="29"/>
      <c r="S55" s="29"/>
      <c r="T55" s="29"/>
      <c r="U55" s="29"/>
      <c r="V55" s="29"/>
      <c r="W55" s="29"/>
      <c r="X55" s="29"/>
      <c r="Y55" s="29"/>
      <c r="Z55" s="29"/>
      <c r="AA55" s="29"/>
      <c r="AB55" s="29"/>
      <c r="AC55" s="29"/>
      <c r="AD55" s="29"/>
      <c r="AE55" s="29"/>
      <c r="AF55" s="29"/>
      <c r="AG55" s="71">
        <f t="shared" si="8"/>
        <v>0</v>
      </c>
    </row>
    <row r="56" spans="1:33" ht="18.75" x14ac:dyDescent="0.3">
      <c r="A56" s="19" t="s">
        <v>31</v>
      </c>
      <c r="B56" s="41">
        <f>B57</f>
        <v>46174.700000000004</v>
      </c>
      <c r="C56" s="41">
        <f>C57</f>
        <v>22832.63</v>
      </c>
      <c r="D56" s="41">
        <f>D57</f>
        <v>22832.63</v>
      </c>
      <c r="E56" s="41">
        <f>E57</f>
        <v>20844.66</v>
      </c>
      <c r="F56" s="32">
        <f>E56/B56*100</f>
        <v>45.143032872980221</v>
      </c>
      <c r="G56" s="47">
        <f>E56/C56*100</f>
        <v>91.293293851825212</v>
      </c>
      <c r="H56" s="41">
        <f t="shared" ref="H56:AE56" si="29">H57</f>
        <v>3660.52</v>
      </c>
      <c r="I56" s="41">
        <f t="shared" si="29"/>
        <v>1969.33</v>
      </c>
      <c r="J56" s="41">
        <f t="shared" si="29"/>
        <v>3604.99</v>
      </c>
      <c r="K56" s="41">
        <f t="shared" si="29"/>
        <v>4117.49</v>
      </c>
      <c r="L56" s="41">
        <f t="shared" si="29"/>
        <v>3867.9300000000003</v>
      </c>
      <c r="M56" s="41">
        <f t="shared" si="29"/>
        <v>3625.6400000000003</v>
      </c>
      <c r="N56" s="41">
        <f t="shared" si="29"/>
        <v>4092.3</v>
      </c>
      <c r="O56" s="41">
        <f t="shared" si="29"/>
        <v>3482.78</v>
      </c>
      <c r="P56" s="41">
        <f t="shared" si="29"/>
        <v>3842.9700000000003</v>
      </c>
      <c r="Q56" s="41">
        <f t="shared" si="29"/>
        <v>3348.8799999999997</v>
      </c>
      <c r="R56" s="41">
        <f t="shared" si="29"/>
        <v>3763.92</v>
      </c>
      <c r="S56" s="41">
        <f t="shared" si="29"/>
        <v>4300.54</v>
      </c>
      <c r="T56" s="41">
        <f t="shared" si="29"/>
        <v>4596.88</v>
      </c>
      <c r="U56" s="41">
        <f t="shared" si="29"/>
        <v>0</v>
      </c>
      <c r="V56" s="41">
        <f t="shared" si="29"/>
        <v>3822.7200000000003</v>
      </c>
      <c r="W56" s="41">
        <f t="shared" si="29"/>
        <v>0</v>
      </c>
      <c r="X56" s="41">
        <f t="shared" si="29"/>
        <v>3731.58</v>
      </c>
      <c r="Y56" s="41">
        <f t="shared" si="29"/>
        <v>0</v>
      </c>
      <c r="Z56" s="41">
        <f t="shared" si="29"/>
        <v>4110.7300000000005</v>
      </c>
      <c r="AA56" s="41">
        <f t="shared" si="29"/>
        <v>0</v>
      </c>
      <c r="AB56" s="41">
        <f t="shared" si="29"/>
        <v>3834.7</v>
      </c>
      <c r="AC56" s="41">
        <f t="shared" si="29"/>
        <v>0</v>
      </c>
      <c r="AD56" s="41">
        <f t="shared" si="29"/>
        <v>3245.46</v>
      </c>
      <c r="AE56" s="41">
        <f t="shared" si="29"/>
        <v>0</v>
      </c>
      <c r="AF56" s="29"/>
      <c r="AG56" s="71">
        <f t="shared" si="8"/>
        <v>1987.9700000000012</v>
      </c>
    </row>
    <row r="57" spans="1:33" ht="18.75" x14ac:dyDescent="0.3">
      <c r="A57" s="15" t="s">
        <v>33</v>
      </c>
      <c r="B57" s="41">
        <f>B50+B54</f>
        <v>46174.700000000004</v>
      </c>
      <c r="C57" s="41">
        <f>C50+C54</f>
        <v>22832.63</v>
      </c>
      <c r="D57" s="41">
        <f>D50+D54</f>
        <v>22832.63</v>
      </c>
      <c r="E57" s="41">
        <f>E50+E54</f>
        <v>20844.66</v>
      </c>
      <c r="F57" s="32">
        <f>E57/B57*100</f>
        <v>45.143032872980221</v>
      </c>
      <c r="G57" s="47">
        <f>E57/C57*100</f>
        <v>91.293293851825212</v>
      </c>
      <c r="H57" s="41">
        <f t="shared" ref="H57:AE57" si="30">H50+H54</f>
        <v>3660.52</v>
      </c>
      <c r="I57" s="41">
        <f t="shared" si="30"/>
        <v>1969.33</v>
      </c>
      <c r="J57" s="41">
        <f t="shared" si="30"/>
        <v>3604.99</v>
      </c>
      <c r="K57" s="41">
        <f t="shared" si="30"/>
        <v>4117.49</v>
      </c>
      <c r="L57" s="41">
        <f t="shared" si="30"/>
        <v>3867.9300000000003</v>
      </c>
      <c r="M57" s="41">
        <f t="shared" si="30"/>
        <v>3625.6400000000003</v>
      </c>
      <c r="N57" s="41">
        <f t="shared" si="30"/>
        <v>4092.3</v>
      </c>
      <c r="O57" s="41">
        <f t="shared" si="30"/>
        <v>3482.78</v>
      </c>
      <c r="P57" s="41">
        <f t="shared" si="30"/>
        <v>3842.9700000000003</v>
      </c>
      <c r="Q57" s="41">
        <f t="shared" si="30"/>
        <v>3348.8799999999997</v>
      </c>
      <c r="R57" s="41">
        <f t="shared" si="30"/>
        <v>3763.92</v>
      </c>
      <c r="S57" s="41">
        <f t="shared" si="30"/>
        <v>4300.54</v>
      </c>
      <c r="T57" s="41">
        <f t="shared" si="30"/>
        <v>4596.88</v>
      </c>
      <c r="U57" s="41">
        <f t="shared" si="30"/>
        <v>0</v>
      </c>
      <c r="V57" s="41">
        <f t="shared" si="30"/>
        <v>3822.7200000000003</v>
      </c>
      <c r="W57" s="41">
        <f t="shared" si="30"/>
        <v>0</v>
      </c>
      <c r="X57" s="41">
        <f t="shared" si="30"/>
        <v>3731.58</v>
      </c>
      <c r="Y57" s="41">
        <f t="shared" si="30"/>
        <v>0</v>
      </c>
      <c r="Z57" s="41">
        <f t="shared" si="30"/>
        <v>4110.7300000000005</v>
      </c>
      <c r="AA57" s="41">
        <f t="shared" si="30"/>
        <v>0</v>
      </c>
      <c r="AB57" s="41">
        <f t="shared" si="30"/>
        <v>3834.7</v>
      </c>
      <c r="AC57" s="41">
        <f t="shared" si="30"/>
        <v>0</v>
      </c>
      <c r="AD57" s="41">
        <f t="shared" si="30"/>
        <v>3245.46</v>
      </c>
      <c r="AE57" s="41">
        <f t="shared" si="30"/>
        <v>0</v>
      </c>
      <c r="AF57" s="29"/>
      <c r="AG57" s="71">
        <f t="shared" si="8"/>
        <v>1987.9700000000012</v>
      </c>
    </row>
    <row r="58" spans="1:33" ht="37.5" x14ac:dyDescent="0.3">
      <c r="A58" s="28" t="s">
        <v>76</v>
      </c>
      <c r="B58" s="29"/>
      <c r="C58" s="29"/>
      <c r="D58" s="2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71">
        <f t="shared" si="8"/>
        <v>0</v>
      </c>
    </row>
    <row r="59" spans="1:33" ht="18.75" x14ac:dyDescent="0.3">
      <c r="A59" s="8" t="s">
        <v>31</v>
      </c>
      <c r="B59" s="41">
        <f>B60</f>
        <v>46174.700000000004</v>
      </c>
      <c r="C59" s="41">
        <f>C60</f>
        <v>22832.63</v>
      </c>
      <c r="D59" s="41">
        <f>D60</f>
        <v>22832.63</v>
      </c>
      <c r="E59" s="41">
        <f>E60</f>
        <v>20844.66</v>
      </c>
      <c r="F59" s="32">
        <f t="shared" ref="F59:F66" si="31">E59/B59*100</f>
        <v>45.143032872980221</v>
      </c>
      <c r="G59" s="47">
        <f>E59/C59*100</f>
        <v>91.293293851825212</v>
      </c>
      <c r="H59" s="41">
        <f t="shared" ref="H59:AE59" si="32">H60</f>
        <v>3660.52</v>
      </c>
      <c r="I59" s="41">
        <f t="shared" si="32"/>
        <v>1969.33</v>
      </c>
      <c r="J59" s="41">
        <f t="shared" si="32"/>
        <v>3604.99</v>
      </c>
      <c r="K59" s="41">
        <f t="shared" si="32"/>
        <v>4117.49</v>
      </c>
      <c r="L59" s="41">
        <f t="shared" si="32"/>
        <v>3867.9300000000003</v>
      </c>
      <c r="M59" s="41">
        <f t="shared" si="32"/>
        <v>2727.01</v>
      </c>
      <c r="N59" s="41">
        <f t="shared" si="32"/>
        <v>4092.3</v>
      </c>
      <c r="O59" s="41">
        <f t="shared" si="32"/>
        <v>3482.78</v>
      </c>
      <c r="P59" s="41">
        <f t="shared" si="32"/>
        <v>3842.9700000000003</v>
      </c>
      <c r="Q59" s="41">
        <f t="shared" si="32"/>
        <v>3348.8799999999997</v>
      </c>
      <c r="R59" s="41">
        <f t="shared" si="32"/>
        <v>3763.92</v>
      </c>
      <c r="S59" s="41">
        <f t="shared" si="32"/>
        <v>4300.54</v>
      </c>
      <c r="T59" s="41">
        <f t="shared" si="32"/>
        <v>4596.88</v>
      </c>
      <c r="U59" s="41">
        <f t="shared" si="32"/>
        <v>0</v>
      </c>
      <c r="V59" s="41">
        <f t="shared" si="32"/>
        <v>3822.7200000000003</v>
      </c>
      <c r="W59" s="41">
        <f t="shared" si="32"/>
        <v>0</v>
      </c>
      <c r="X59" s="41">
        <f t="shared" si="32"/>
        <v>3731.58</v>
      </c>
      <c r="Y59" s="41">
        <f t="shared" si="32"/>
        <v>0</v>
      </c>
      <c r="Z59" s="41">
        <f t="shared" si="32"/>
        <v>4110.7300000000005</v>
      </c>
      <c r="AA59" s="41">
        <f t="shared" si="32"/>
        <v>0</v>
      </c>
      <c r="AB59" s="41">
        <f t="shared" si="32"/>
        <v>3834.7</v>
      </c>
      <c r="AC59" s="41">
        <f t="shared" si="32"/>
        <v>0</v>
      </c>
      <c r="AD59" s="41">
        <f t="shared" si="32"/>
        <v>3245.46</v>
      </c>
      <c r="AE59" s="41">
        <f t="shared" si="32"/>
        <v>0</v>
      </c>
      <c r="AF59" s="29"/>
      <c r="AG59" s="71">
        <f t="shared" si="8"/>
        <v>1987.9700000000012</v>
      </c>
    </row>
    <row r="60" spans="1:33" ht="18.75" x14ac:dyDescent="0.3">
      <c r="A60" s="13" t="s">
        <v>33</v>
      </c>
      <c r="B60" s="41">
        <f>B57</f>
        <v>46174.700000000004</v>
      </c>
      <c r="C60" s="41">
        <f>C57</f>
        <v>22832.63</v>
      </c>
      <c r="D60" s="41">
        <f>D57</f>
        <v>22832.63</v>
      </c>
      <c r="E60" s="41">
        <f>E57</f>
        <v>20844.66</v>
      </c>
      <c r="F60" s="32">
        <f t="shared" si="31"/>
        <v>45.143032872980221</v>
      </c>
      <c r="G60" s="47">
        <f>E60/C60*100</f>
        <v>91.293293851825212</v>
      </c>
      <c r="H60" s="41">
        <f t="shared" ref="H60:AE60" si="33">H57</f>
        <v>3660.52</v>
      </c>
      <c r="I60" s="41">
        <f t="shared" si="33"/>
        <v>1969.33</v>
      </c>
      <c r="J60" s="41">
        <f t="shared" si="33"/>
        <v>3604.99</v>
      </c>
      <c r="K60" s="41">
        <f t="shared" si="33"/>
        <v>4117.49</v>
      </c>
      <c r="L60" s="41">
        <f t="shared" si="33"/>
        <v>3867.9300000000003</v>
      </c>
      <c r="M60" s="41">
        <v>2727.01</v>
      </c>
      <c r="N60" s="41">
        <f t="shared" si="33"/>
        <v>4092.3</v>
      </c>
      <c r="O60" s="41">
        <f t="shared" si="33"/>
        <v>3482.78</v>
      </c>
      <c r="P60" s="41">
        <f t="shared" si="33"/>
        <v>3842.9700000000003</v>
      </c>
      <c r="Q60" s="41">
        <f t="shared" si="33"/>
        <v>3348.8799999999997</v>
      </c>
      <c r="R60" s="41">
        <f t="shared" si="33"/>
        <v>3763.92</v>
      </c>
      <c r="S60" s="41">
        <f t="shared" si="33"/>
        <v>4300.54</v>
      </c>
      <c r="T60" s="41">
        <f t="shared" si="33"/>
        <v>4596.88</v>
      </c>
      <c r="U60" s="41">
        <f t="shared" si="33"/>
        <v>0</v>
      </c>
      <c r="V60" s="41">
        <f t="shared" si="33"/>
        <v>3822.7200000000003</v>
      </c>
      <c r="W60" s="41">
        <f t="shared" si="33"/>
        <v>0</v>
      </c>
      <c r="X60" s="41">
        <f t="shared" si="33"/>
        <v>3731.58</v>
      </c>
      <c r="Y60" s="41">
        <f t="shared" si="33"/>
        <v>0</v>
      </c>
      <c r="Z60" s="41">
        <f t="shared" si="33"/>
        <v>4110.7300000000005</v>
      </c>
      <c r="AA60" s="41">
        <f t="shared" si="33"/>
        <v>0</v>
      </c>
      <c r="AB60" s="41">
        <f t="shared" si="33"/>
        <v>3834.7</v>
      </c>
      <c r="AC60" s="41">
        <f t="shared" si="33"/>
        <v>0</v>
      </c>
      <c r="AD60" s="41">
        <f t="shared" si="33"/>
        <v>3245.46</v>
      </c>
      <c r="AE60" s="41">
        <f t="shared" si="33"/>
        <v>0</v>
      </c>
      <c r="AF60" s="29"/>
      <c r="AG60" s="71">
        <f t="shared" si="8"/>
        <v>1987.9700000000012</v>
      </c>
    </row>
    <row r="61" spans="1:33" ht="37.5" x14ac:dyDescent="0.3">
      <c r="A61" s="56" t="s">
        <v>63</v>
      </c>
      <c r="B61" s="882">
        <f>B62+B64+B63</f>
        <v>54166.340000000004</v>
      </c>
      <c r="C61" s="882">
        <f>C62+C64+C63</f>
        <v>25969.52</v>
      </c>
      <c r="D61" s="882">
        <f>D62+D64+D63</f>
        <v>25969.52</v>
      </c>
      <c r="E61" s="882">
        <f>E62+E64+E63</f>
        <v>23914.55</v>
      </c>
      <c r="F61" s="32">
        <f t="shared" si="31"/>
        <v>44.150204721234623</v>
      </c>
      <c r="G61" s="47">
        <f>E61/C61*100</f>
        <v>92.086992751502521</v>
      </c>
      <c r="H61" s="649">
        <f>H62+H64</f>
        <v>4101.82</v>
      </c>
      <c r="I61" s="41">
        <f t="shared" ref="I61:AE61" si="34">I62+I64</f>
        <v>2410.63</v>
      </c>
      <c r="J61" s="41">
        <f t="shared" si="34"/>
        <v>5194.4599999999991</v>
      </c>
      <c r="K61" s="41">
        <f t="shared" si="34"/>
        <v>5706.96</v>
      </c>
      <c r="L61" s="884">
        <f>L62+L64</f>
        <v>4100.41</v>
      </c>
      <c r="M61" s="41">
        <f t="shared" si="34"/>
        <v>3858.1200000000003</v>
      </c>
      <c r="N61" s="884">
        <f t="shared" si="34"/>
        <v>4327.4800000000005</v>
      </c>
      <c r="O61" s="41">
        <f t="shared" si="34"/>
        <v>3715.26</v>
      </c>
      <c r="P61" s="884">
        <f t="shared" si="34"/>
        <v>4079.84</v>
      </c>
      <c r="Q61" s="41">
        <f t="shared" si="34"/>
        <v>3584.7099999999996</v>
      </c>
      <c r="R61" s="884">
        <f t="shared" si="34"/>
        <v>4120.62</v>
      </c>
      <c r="S61" s="41">
        <f t="shared" si="34"/>
        <v>4593.9799999999996</v>
      </c>
      <c r="T61" s="884">
        <f t="shared" si="34"/>
        <v>5181.74</v>
      </c>
      <c r="U61" s="41">
        <f t="shared" si="34"/>
        <v>0</v>
      </c>
      <c r="V61" s="884">
        <f t="shared" si="34"/>
        <v>4382.6900000000005</v>
      </c>
      <c r="W61" s="41">
        <f t="shared" si="34"/>
        <v>0</v>
      </c>
      <c r="X61" s="884">
        <f t="shared" si="34"/>
        <v>4283.18</v>
      </c>
      <c r="Y61" s="41">
        <f t="shared" si="34"/>
        <v>0</v>
      </c>
      <c r="Z61" s="884">
        <f t="shared" si="34"/>
        <v>4384.3100000000004</v>
      </c>
      <c r="AA61" s="41">
        <f t="shared" si="34"/>
        <v>0</v>
      </c>
      <c r="AB61" s="884">
        <f t="shared" si="34"/>
        <v>4086.47</v>
      </c>
      <c r="AC61" s="41">
        <f t="shared" si="34"/>
        <v>0</v>
      </c>
      <c r="AD61" s="884">
        <f t="shared" si="34"/>
        <v>5878.43</v>
      </c>
      <c r="AE61" s="41">
        <f t="shared" si="34"/>
        <v>0</v>
      </c>
      <c r="AF61" s="29"/>
      <c r="AG61" s="71">
        <f t="shared" si="8"/>
        <v>2054.9700000000012</v>
      </c>
    </row>
    <row r="62" spans="1:33" ht="18.75" x14ac:dyDescent="0.3">
      <c r="A62" s="15" t="s">
        <v>33</v>
      </c>
      <c r="B62" s="41">
        <f>B23+B40+B57</f>
        <v>52764.450000000004</v>
      </c>
      <c r="C62" s="41">
        <f>C23+C40+C57</f>
        <v>24567.63</v>
      </c>
      <c r="D62" s="41">
        <f>D23+D40+D57</f>
        <v>24567.63</v>
      </c>
      <c r="E62" s="41">
        <f>E23+E40+E57</f>
        <v>22512.66</v>
      </c>
      <c r="F62" s="32">
        <f t="shared" si="31"/>
        <v>42.666340689612035</v>
      </c>
      <c r="G62" s="47">
        <f>E62/C62*100</f>
        <v>91.635456899994011</v>
      </c>
      <c r="H62" s="41">
        <f>H23+H40+H57</f>
        <v>4101.82</v>
      </c>
      <c r="I62" s="41">
        <f t="shared" ref="I62:AE62" si="35">I23+I40+I57</f>
        <v>2410.63</v>
      </c>
      <c r="J62" s="41">
        <f t="shared" si="35"/>
        <v>3837.4599999999996</v>
      </c>
      <c r="K62" s="41">
        <f t="shared" si="35"/>
        <v>4349.96</v>
      </c>
      <c r="L62" s="41">
        <f>L23+L40+L57</f>
        <v>4100.41</v>
      </c>
      <c r="M62" s="41">
        <f t="shared" si="35"/>
        <v>3858.1200000000003</v>
      </c>
      <c r="N62" s="41">
        <f t="shared" si="35"/>
        <v>4327.4800000000005</v>
      </c>
      <c r="O62" s="41">
        <f t="shared" si="35"/>
        <v>3715.26</v>
      </c>
      <c r="P62" s="41">
        <f t="shared" si="35"/>
        <v>4079.84</v>
      </c>
      <c r="Q62" s="41">
        <f t="shared" si="35"/>
        <v>3584.7099999999996</v>
      </c>
      <c r="R62" s="41">
        <f t="shared" si="35"/>
        <v>4120.62</v>
      </c>
      <c r="S62" s="41">
        <f t="shared" si="35"/>
        <v>4593.9799999999996</v>
      </c>
      <c r="T62" s="41">
        <f t="shared" si="35"/>
        <v>5181.74</v>
      </c>
      <c r="U62" s="41">
        <f t="shared" si="35"/>
        <v>0</v>
      </c>
      <c r="V62" s="41">
        <f t="shared" si="35"/>
        <v>4382.6900000000005</v>
      </c>
      <c r="W62" s="41">
        <f t="shared" si="35"/>
        <v>0</v>
      </c>
      <c r="X62" s="41">
        <f t="shared" si="35"/>
        <v>4283.18</v>
      </c>
      <c r="Y62" s="41">
        <f t="shared" si="35"/>
        <v>0</v>
      </c>
      <c r="Z62" s="41">
        <f t="shared" si="35"/>
        <v>4384.3100000000004</v>
      </c>
      <c r="AA62" s="41">
        <f t="shared" si="35"/>
        <v>0</v>
      </c>
      <c r="AB62" s="41">
        <f t="shared" si="35"/>
        <v>4086.47</v>
      </c>
      <c r="AC62" s="41">
        <f t="shared" si="35"/>
        <v>0</v>
      </c>
      <c r="AD62" s="41">
        <f t="shared" si="35"/>
        <v>5878.43</v>
      </c>
      <c r="AE62" s="41">
        <f t="shared" si="35"/>
        <v>0</v>
      </c>
      <c r="AF62" s="29"/>
      <c r="AG62" s="71">
        <f t="shared" si="8"/>
        <v>2054.9700000000012</v>
      </c>
    </row>
    <row r="63" spans="1:33" ht="18.75" x14ac:dyDescent="0.3">
      <c r="A63" s="950" t="s">
        <v>32</v>
      </c>
      <c r="B63" s="41">
        <f>B51</f>
        <v>44.89</v>
      </c>
      <c r="C63" s="41">
        <f>C51</f>
        <v>44.89</v>
      </c>
      <c r="D63" s="41">
        <f>D51</f>
        <v>44.89</v>
      </c>
      <c r="E63" s="41">
        <f>E51</f>
        <v>44.89</v>
      </c>
      <c r="F63">
        <f t="shared" si="31"/>
        <v>100</v>
      </c>
      <c r="G63" s="951">
        <f>G51</f>
        <v>100</v>
      </c>
      <c r="H63" s="41"/>
      <c r="I63" s="41"/>
      <c r="J63" s="41"/>
      <c r="K63" s="41"/>
      <c r="L63" s="41"/>
      <c r="M63" s="41"/>
      <c r="N63" s="41"/>
      <c r="O63" s="41"/>
      <c r="P63" s="41"/>
      <c r="Q63" s="41"/>
      <c r="R63" s="41"/>
      <c r="S63" s="41"/>
      <c r="T63" s="41"/>
      <c r="U63" s="41"/>
      <c r="V63" s="41"/>
      <c r="W63" s="41"/>
      <c r="X63" s="41"/>
      <c r="Y63" s="41"/>
      <c r="Z63" s="41"/>
      <c r="AA63" s="41"/>
      <c r="AB63" s="41"/>
      <c r="AC63" s="41"/>
      <c r="AD63" s="41"/>
      <c r="AE63" s="41"/>
      <c r="AF63" s="29"/>
      <c r="AG63" s="71"/>
    </row>
    <row r="64" spans="1:33" ht="18.75" x14ac:dyDescent="0.3">
      <c r="A64" s="14" t="s">
        <v>74</v>
      </c>
      <c r="B64" s="41">
        <f>B41</f>
        <v>1357</v>
      </c>
      <c r="C64" s="41">
        <f>C41</f>
        <v>1357</v>
      </c>
      <c r="D64" s="41">
        <f>D41</f>
        <v>1357</v>
      </c>
      <c r="E64" s="41">
        <f>E41</f>
        <v>1357</v>
      </c>
      <c r="F64" s="32">
        <f t="shared" si="31"/>
        <v>100</v>
      </c>
      <c r="G64" s="47">
        <f>E64/C64*100</f>
        <v>100</v>
      </c>
      <c r="H64" s="41">
        <f>H41</f>
        <v>0</v>
      </c>
      <c r="I64" s="41">
        <f t="shared" ref="I64:AE64" si="36">I41</f>
        <v>0</v>
      </c>
      <c r="J64" s="41">
        <f t="shared" si="36"/>
        <v>1357</v>
      </c>
      <c r="K64" s="41">
        <f t="shared" si="36"/>
        <v>1357</v>
      </c>
      <c r="L64" s="41">
        <f t="shared" si="36"/>
        <v>0</v>
      </c>
      <c r="M64" s="41">
        <f t="shared" si="36"/>
        <v>0</v>
      </c>
      <c r="N64" s="41">
        <f t="shared" si="36"/>
        <v>0</v>
      </c>
      <c r="O64" s="41">
        <f t="shared" si="36"/>
        <v>0</v>
      </c>
      <c r="P64" s="41">
        <f t="shared" si="36"/>
        <v>0</v>
      </c>
      <c r="Q64" s="41">
        <f t="shared" si="36"/>
        <v>0</v>
      </c>
      <c r="R64" s="41">
        <f t="shared" si="36"/>
        <v>0</v>
      </c>
      <c r="S64" s="41">
        <f t="shared" si="36"/>
        <v>0</v>
      </c>
      <c r="T64" s="41">
        <f t="shared" si="36"/>
        <v>0</v>
      </c>
      <c r="U64" s="41">
        <f t="shared" si="36"/>
        <v>0</v>
      </c>
      <c r="V64" s="41">
        <f t="shared" si="36"/>
        <v>0</v>
      </c>
      <c r="W64" s="41">
        <f t="shared" si="36"/>
        <v>0</v>
      </c>
      <c r="X64" s="41">
        <f t="shared" si="36"/>
        <v>0</v>
      </c>
      <c r="Y64" s="41">
        <f t="shared" si="36"/>
        <v>0</v>
      </c>
      <c r="Z64" s="41">
        <f t="shared" si="36"/>
        <v>0</v>
      </c>
      <c r="AA64" s="41">
        <f t="shared" si="36"/>
        <v>0</v>
      </c>
      <c r="AB64" s="41">
        <f t="shared" si="36"/>
        <v>0</v>
      </c>
      <c r="AC64" s="41">
        <f t="shared" si="36"/>
        <v>0</v>
      </c>
      <c r="AD64" s="41">
        <f t="shared" si="36"/>
        <v>0</v>
      </c>
      <c r="AE64" s="41">
        <f t="shared" si="36"/>
        <v>0</v>
      </c>
      <c r="AF64" s="29"/>
      <c r="AG64" s="71">
        <f t="shared" si="8"/>
        <v>0</v>
      </c>
    </row>
    <row r="65" spans="1:33" ht="37.5" x14ac:dyDescent="0.3">
      <c r="A65" s="57" t="s">
        <v>100</v>
      </c>
      <c r="B65" s="41">
        <f>B66+B68+B67</f>
        <v>54166.340000000004</v>
      </c>
      <c r="C65" s="752">
        <f>C66+C68+C67</f>
        <v>25969.52</v>
      </c>
      <c r="D65" s="752">
        <f>D66+D68+D67</f>
        <v>25969.52</v>
      </c>
      <c r="E65" s="752">
        <f>E66+E68+E67</f>
        <v>23914.55</v>
      </c>
      <c r="F65" s="32">
        <f t="shared" si="31"/>
        <v>44.150204721234623</v>
      </c>
      <c r="G65" s="47">
        <f>E65/C65*100</f>
        <v>92.086992751502521</v>
      </c>
      <c r="H65" s="41">
        <f t="shared" ref="H65:AE65" si="37">H66+H68</f>
        <v>4101.82</v>
      </c>
      <c r="I65" s="41">
        <f t="shared" si="37"/>
        <v>2410.63</v>
      </c>
      <c r="J65" s="41">
        <f t="shared" si="37"/>
        <v>5194.4599999999991</v>
      </c>
      <c r="K65" s="41">
        <f t="shared" si="37"/>
        <v>5706.96</v>
      </c>
      <c r="L65" s="41">
        <f t="shared" si="37"/>
        <v>4100.41</v>
      </c>
      <c r="M65" s="41">
        <f t="shared" si="37"/>
        <v>3858.1200000000003</v>
      </c>
      <c r="N65" s="41">
        <f t="shared" si="37"/>
        <v>4327.4800000000005</v>
      </c>
      <c r="O65" s="41">
        <f t="shared" si="37"/>
        <v>3715.26</v>
      </c>
      <c r="P65" s="41">
        <f t="shared" si="37"/>
        <v>4079.84</v>
      </c>
      <c r="Q65" s="41">
        <f t="shared" si="37"/>
        <v>3584.7099999999996</v>
      </c>
      <c r="R65" s="41">
        <f t="shared" si="37"/>
        <v>4120.62</v>
      </c>
      <c r="S65" s="41">
        <f t="shared" si="37"/>
        <v>4593.9799999999996</v>
      </c>
      <c r="T65" s="41">
        <f t="shared" si="37"/>
        <v>5181.74</v>
      </c>
      <c r="U65" s="41">
        <f t="shared" si="37"/>
        <v>0</v>
      </c>
      <c r="V65" s="41">
        <f t="shared" si="37"/>
        <v>4382.6900000000005</v>
      </c>
      <c r="W65" s="41">
        <f t="shared" si="37"/>
        <v>0</v>
      </c>
      <c r="X65" s="41">
        <f t="shared" si="37"/>
        <v>4283.18</v>
      </c>
      <c r="Y65" s="41">
        <f t="shared" si="37"/>
        <v>0</v>
      </c>
      <c r="Z65" s="41">
        <f t="shared" si="37"/>
        <v>4384.3100000000004</v>
      </c>
      <c r="AA65" s="41">
        <f t="shared" si="37"/>
        <v>0</v>
      </c>
      <c r="AB65" s="41">
        <f t="shared" si="37"/>
        <v>4086.47</v>
      </c>
      <c r="AC65" s="41">
        <f t="shared" si="37"/>
        <v>0</v>
      </c>
      <c r="AD65" s="41">
        <f t="shared" si="37"/>
        <v>5878.43</v>
      </c>
      <c r="AE65" s="41">
        <f t="shared" si="37"/>
        <v>0</v>
      </c>
      <c r="AF65" s="29"/>
      <c r="AG65" s="71">
        <f t="shared" si="8"/>
        <v>2054.9700000000012</v>
      </c>
    </row>
    <row r="66" spans="1:33" ht="18.75" x14ac:dyDescent="0.3">
      <c r="A66" s="15" t="s">
        <v>33</v>
      </c>
      <c r="B66" s="41">
        <f>B62</f>
        <v>52764.450000000004</v>
      </c>
      <c r="C66" s="41">
        <f>C62</f>
        <v>24567.63</v>
      </c>
      <c r="D66" s="41">
        <f>D62</f>
        <v>24567.63</v>
      </c>
      <c r="E66" s="41">
        <f>E62</f>
        <v>22512.66</v>
      </c>
      <c r="F66" s="32">
        <f t="shared" si="31"/>
        <v>42.666340689612035</v>
      </c>
      <c r="G66" s="47">
        <f>E66/C66*100</f>
        <v>91.635456899994011</v>
      </c>
      <c r="H66" s="41">
        <f t="shared" ref="H66:AE66" si="38">H62</f>
        <v>4101.82</v>
      </c>
      <c r="I66" s="41">
        <f t="shared" si="38"/>
        <v>2410.63</v>
      </c>
      <c r="J66" s="41">
        <f t="shared" si="38"/>
        <v>3837.4599999999996</v>
      </c>
      <c r="K66" s="41">
        <f t="shared" si="38"/>
        <v>4349.96</v>
      </c>
      <c r="L66" s="41">
        <f t="shared" si="38"/>
        <v>4100.41</v>
      </c>
      <c r="M66" s="41">
        <f t="shared" si="38"/>
        <v>3858.1200000000003</v>
      </c>
      <c r="N66" s="41">
        <f t="shared" si="38"/>
        <v>4327.4800000000005</v>
      </c>
      <c r="O66" s="41">
        <f t="shared" si="38"/>
        <v>3715.26</v>
      </c>
      <c r="P66" s="41">
        <f t="shared" si="38"/>
        <v>4079.84</v>
      </c>
      <c r="Q66" s="41">
        <f t="shared" si="38"/>
        <v>3584.7099999999996</v>
      </c>
      <c r="R66" s="41">
        <f t="shared" si="38"/>
        <v>4120.62</v>
      </c>
      <c r="S66" s="41">
        <f t="shared" si="38"/>
        <v>4593.9799999999996</v>
      </c>
      <c r="T66" s="41">
        <f t="shared" si="38"/>
        <v>5181.74</v>
      </c>
      <c r="U66" s="41">
        <f t="shared" si="38"/>
        <v>0</v>
      </c>
      <c r="V66" s="41">
        <f t="shared" si="38"/>
        <v>4382.6900000000005</v>
      </c>
      <c r="W66" s="41">
        <f t="shared" si="38"/>
        <v>0</v>
      </c>
      <c r="X66" s="41">
        <f t="shared" si="38"/>
        <v>4283.18</v>
      </c>
      <c r="Y66" s="41">
        <f t="shared" si="38"/>
        <v>0</v>
      </c>
      <c r="Z66" s="41">
        <f t="shared" si="38"/>
        <v>4384.3100000000004</v>
      </c>
      <c r="AA66" s="41">
        <f t="shared" si="38"/>
        <v>0</v>
      </c>
      <c r="AB66" s="41">
        <f t="shared" si="38"/>
        <v>4086.47</v>
      </c>
      <c r="AC66" s="41">
        <f t="shared" si="38"/>
        <v>0</v>
      </c>
      <c r="AD66" s="41">
        <f t="shared" si="38"/>
        <v>5878.43</v>
      </c>
      <c r="AE66" s="41">
        <f t="shared" si="38"/>
        <v>0</v>
      </c>
      <c r="AF66" s="29"/>
      <c r="AG66" s="71">
        <f t="shared" si="8"/>
        <v>2054.9700000000012</v>
      </c>
    </row>
    <row r="67" spans="1:33" ht="18.75" x14ac:dyDescent="0.3">
      <c r="A67" s="952" t="s">
        <v>32</v>
      </c>
      <c r="B67" s="41">
        <v>44.89</v>
      </c>
      <c r="C67" s="41">
        <v>44.89</v>
      </c>
      <c r="D67" s="41">
        <v>44.89</v>
      </c>
      <c r="E67" s="41">
        <v>44.89</v>
      </c>
      <c r="F67" s="32">
        <v>100</v>
      </c>
      <c r="G67" s="953">
        <v>100</v>
      </c>
      <c r="H67" s="41"/>
      <c r="I67" s="41"/>
      <c r="J67" s="41"/>
      <c r="K67" s="41"/>
      <c r="L67" s="41"/>
      <c r="M67" s="41"/>
      <c r="N67" s="41"/>
      <c r="O67" s="41"/>
      <c r="P67" s="41"/>
      <c r="Q67" s="41"/>
      <c r="R67" s="41"/>
      <c r="S67" s="41"/>
      <c r="T67" s="41"/>
      <c r="U67" s="41"/>
      <c r="V67" s="41"/>
      <c r="W67" s="41"/>
      <c r="X67" s="41"/>
      <c r="Y67" s="41"/>
      <c r="Z67" s="41"/>
      <c r="AA67" s="41"/>
      <c r="AB67" s="41"/>
      <c r="AC67" s="41"/>
      <c r="AD67" s="41"/>
      <c r="AE67" s="41"/>
      <c r="AF67" s="29"/>
      <c r="AG67" s="71"/>
    </row>
    <row r="68" spans="1:33" ht="18.75" x14ac:dyDescent="0.3">
      <c r="A68" s="14" t="s">
        <v>74</v>
      </c>
      <c r="B68" s="41">
        <f>B64</f>
        <v>1357</v>
      </c>
      <c r="C68" s="41">
        <f>C64</f>
        <v>1357</v>
      </c>
      <c r="D68" s="41">
        <f>D64</f>
        <v>1357</v>
      </c>
      <c r="E68" s="41">
        <f>E64</f>
        <v>1357</v>
      </c>
      <c r="F68" s="32">
        <f>E68/B68*100</f>
        <v>100</v>
      </c>
      <c r="G68" s="47">
        <f>E68/C68*100</f>
        <v>100</v>
      </c>
      <c r="H68" s="41">
        <f t="shared" ref="H68:AE68" si="39">H64</f>
        <v>0</v>
      </c>
      <c r="I68" s="41">
        <f t="shared" si="39"/>
        <v>0</v>
      </c>
      <c r="J68" s="41">
        <f t="shared" si="39"/>
        <v>1357</v>
      </c>
      <c r="K68" s="41">
        <f t="shared" si="39"/>
        <v>1357</v>
      </c>
      <c r="L68" s="41">
        <f t="shared" si="39"/>
        <v>0</v>
      </c>
      <c r="M68" s="41">
        <f t="shared" si="39"/>
        <v>0</v>
      </c>
      <c r="N68" s="41">
        <f t="shared" si="39"/>
        <v>0</v>
      </c>
      <c r="O68" s="41">
        <f t="shared" si="39"/>
        <v>0</v>
      </c>
      <c r="P68" s="41">
        <f t="shared" si="39"/>
        <v>0</v>
      </c>
      <c r="Q68" s="41">
        <f t="shared" si="39"/>
        <v>0</v>
      </c>
      <c r="R68" s="41">
        <f t="shared" si="39"/>
        <v>0</v>
      </c>
      <c r="S68" s="41">
        <f t="shared" si="39"/>
        <v>0</v>
      </c>
      <c r="T68" s="41">
        <f t="shared" si="39"/>
        <v>0</v>
      </c>
      <c r="U68" s="41">
        <f t="shared" si="39"/>
        <v>0</v>
      </c>
      <c r="V68" s="41">
        <f t="shared" si="39"/>
        <v>0</v>
      </c>
      <c r="W68" s="41">
        <f t="shared" si="39"/>
        <v>0</v>
      </c>
      <c r="X68" s="41">
        <f t="shared" si="39"/>
        <v>0</v>
      </c>
      <c r="Y68" s="41">
        <f t="shared" si="39"/>
        <v>0</v>
      </c>
      <c r="Z68" s="41">
        <f t="shared" si="39"/>
        <v>0</v>
      </c>
      <c r="AA68" s="41">
        <f t="shared" si="39"/>
        <v>0</v>
      </c>
      <c r="AB68" s="41">
        <f t="shared" si="39"/>
        <v>0</v>
      </c>
      <c r="AC68" s="41">
        <f t="shared" si="39"/>
        <v>0</v>
      </c>
      <c r="AD68" s="41">
        <f t="shared" si="39"/>
        <v>0</v>
      </c>
      <c r="AE68" s="41">
        <f t="shared" si="39"/>
        <v>0</v>
      </c>
      <c r="AF68" s="29"/>
      <c r="AG68" s="71">
        <f t="shared" si="8"/>
        <v>0</v>
      </c>
    </row>
    <row r="69" spans="1:33" ht="18.75" x14ac:dyDescent="0.3">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row>
    <row r="71" spans="1:33" ht="37.5" x14ac:dyDescent="0.3">
      <c r="A71" s="9" t="s">
        <v>71</v>
      </c>
      <c r="B71" s="26"/>
      <c r="C71" s="26"/>
      <c r="D71" s="23" t="s">
        <v>70</v>
      </c>
    </row>
    <row r="72" spans="1:33" ht="18.75" x14ac:dyDescent="0.3">
      <c r="A72" s="9"/>
      <c r="B72" s="20" t="s">
        <v>68</v>
      </c>
      <c r="C72" s="20"/>
      <c r="D72" s="22"/>
    </row>
    <row r="73" spans="1:33" ht="37.5" x14ac:dyDescent="0.3">
      <c r="A73" s="642" t="s">
        <v>523</v>
      </c>
      <c r="B73" s="642"/>
      <c r="C73" s="642"/>
      <c r="D73" s="643"/>
    </row>
  </sheetData>
  <customSheetViews>
    <customSheetView guid="{7C130984-112A-4861-AA43-E2940708E3DC}" scale="60" state="hidden">
      <pane xSplit="1" ySplit="6" topLeftCell="B31" activePane="bottomRight" state="frozen"/>
      <selection pane="bottomRight" activeCell="A67" sqref="A67:XFD67"/>
      <pageMargins left="0.7" right="0.7" top="0.75" bottom="0.75" header="0.3" footer="0.3"/>
      <pageSetup paperSize="9" orientation="portrait" r:id="rId1"/>
    </customSheetView>
    <customSheetView guid="{4F41B9CC-959D-442C-80B0-1F0DB2C76D27}" scale="60">
      <pane xSplit="1" ySplit="5" topLeftCell="B31" activePane="bottomRight" state="frozen"/>
      <selection pane="bottomRight" activeCell="A67" sqref="A67:XFD67"/>
      <pageMargins left="0.7" right="0.7" top="0.75" bottom="0.75" header="0.3" footer="0.3"/>
      <pageSetup paperSize="9" orientation="portrait" r:id="rId2"/>
    </customSheetView>
    <customSheetView guid="{391AB76E-B386-49C1-800F-016A48AA1A46}" scale="60">
      <pane xSplit="1" ySplit="6" topLeftCell="B31" activePane="bottomRight" state="frozen"/>
      <selection pane="bottomRight" activeCell="A67" sqref="A67:XFD67"/>
      <pageMargins left="0.7" right="0.7" top="0.75" bottom="0.75" header="0.3" footer="0.3"/>
      <pageSetup paperSize="9" orientation="portrait" r:id="rId3"/>
    </customSheetView>
    <customSheetView guid="{D01FA037-9AEC-4167-ADB8-2F327C01ECE6}" scale="60">
      <pane xSplit="1" ySplit="6" topLeftCell="B31" activePane="bottomRight" state="frozen"/>
      <selection pane="bottomRight" activeCell="A67" sqref="A67:XFD67"/>
      <pageMargins left="0.7" right="0.7" top="0.75" bottom="0.75" header="0.3" footer="0.3"/>
      <pageSetup paperSize="9" orientation="portrait" r:id="rId4"/>
    </customSheetView>
    <customSheetView guid="{6A602CB8-B24C-4ED4-B378-B27354BE0A1A}" scale="60">
      <pane xSplit="1" ySplit="6" topLeftCell="B31" activePane="bottomRight" state="frozen"/>
      <selection pane="bottomRight" activeCell="A67" sqref="A67:XFD67"/>
      <pageMargins left="0.7" right="0.7" top="0.75" bottom="0.75" header="0.3" footer="0.3"/>
      <pageSetup paperSize="9" orientation="portrait" r:id="rId5"/>
    </customSheetView>
    <customSheetView guid="{DAA8A688-7558-4B5B-8DBD-E2629BD9E9A8}" scale="60">
      <pane xSplit="1" ySplit="6" topLeftCell="B31" activePane="bottomRight" state="frozen"/>
      <selection pane="bottomRight" activeCell="A67" sqref="A67:XFD67"/>
      <pageMargins left="0.7" right="0.7" top="0.75" bottom="0.75" header="0.3" footer="0.3"/>
      <pageSetup paperSize="9" orientation="portrait" r:id="rId6"/>
    </customSheetView>
    <customSheetView guid="{0C2B9C2A-7B94-41EF-A2E6-F8AC9A67DE25}" scale="60">
      <pane xSplit="1" ySplit="6" topLeftCell="B31" activePane="bottomRight" state="frozen"/>
      <selection pane="bottomRight" activeCell="A67" sqref="A67:XFD67"/>
      <pageMargins left="0.7" right="0.7" top="0.75" bottom="0.75" header="0.3" footer="0.3"/>
      <pageSetup paperSize="9" orientation="portrait" r:id="rId7"/>
    </customSheetView>
    <customSheetView guid="{87218168-6C8E-4D5B-A5E5-DCCC26803AA3}" scale="60">
      <pane xSplit="1" ySplit="6" topLeftCell="B7" activePane="bottomRight" state="frozen"/>
      <selection pane="bottomRight" activeCell="B7" sqref="B7"/>
      <pageMargins left="0.7" right="0.7" top="0.75" bottom="0.75" header="0.3" footer="0.3"/>
      <pageSetup paperSize="9" orientation="portrait" r:id="rId8"/>
    </customSheetView>
    <customSheetView guid="{533DC55B-6AD4-4674-9488-685EF2039F3E}" scale="60">
      <pane xSplit="1" ySplit="6" topLeftCell="B7" activePane="bottomRight" state="frozen"/>
      <selection pane="bottomRight" activeCell="E6" sqref="E6"/>
      <pageMargins left="0.7" right="0.7" top="0.75" bottom="0.75" header="0.3" footer="0.3"/>
      <pageSetup paperSize="9" orientation="portrait" r:id="rId9"/>
    </customSheetView>
    <customSheetView guid="{69DABE6F-6182-4403-A4A2-969F10F1C13A}" scale="60">
      <pane xSplit="1" ySplit="6" topLeftCell="B7" activePane="bottomRight" state="frozen"/>
      <selection pane="bottomRight" activeCell="E6" sqref="E6"/>
      <pageMargins left="0.7" right="0.7" top="0.75" bottom="0.75" header="0.3" footer="0.3"/>
      <pageSetup paperSize="9" orientation="portrait" r:id="rId10"/>
    </customSheetView>
    <customSheetView guid="{84867370-1F3E-4368-AF79-FBCE46FFFE92}" scale="60">
      <pane xSplit="1" ySplit="6" topLeftCell="B49" activePane="bottomRight" state="frozen"/>
      <selection pane="bottomRight" activeCell="B64" sqref="B64"/>
      <pageMargins left="0.7" right="0.7" top="0.75" bottom="0.75" header="0.3" footer="0.3"/>
      <pageSetup paperSize="9" orientation="portrait" r:id="rId11"/>
    </customSheetView>
    <customSheetView guid="{47B983AB-FE5F-4725-860C-A2F29420596D}" scale="60">
      <pane xSplit="1" ySplit="6" topLeftCell="B49" activePane="bottomRight" state="frozen"/>
      <selection pane="bottomRight" activeCell="B64" sqref="B64"/>
      <pageMargins left="0.7" right="0.7" top="0.75" bottom="0.75" header="0.3" footer="0.3"/>
      <pageSetup paperSize="9" orientation="portrait" r:id="rId12"/>
    </customSheetView>
    <customSheetView guid="{959E901C-5DDE-42EE-AE94-AB8976B5E00B}" scale="60">
      <pane xSplit="1" ySplit="6" topLeftCell="B49" activePane="bottomRight" state="frozen"/>
      <selection pane="bottomRight" activeCell="E6" sqref="E6"/>
      <pageMargins left="0.7" right="0.7" top="0.75" bottom="0.75" header="0.3" footer="0.3"/>
      <pageSetup paperSize="9" orientation="portrait" r:id="rId13"/>
    </customSheetView>
    <customSheetView guid="{F679EF4A-C5FD-4B86-B87B-D85968E0F2CA}" scale="60">
      <pane xSplit="1" ySplit="6" topLeftCell="B49" activePane="bottomRight" state="frozen"/>
      <selection pane="bottomRight" activeCell="E6" sqref="E6"/>
      <pageMargins left="0.7" right="0.7" top="0.75" bottom="0.75" header="0.3" footer="0.3"/>
      <pageSetup paperSize="9" orientation="portrait" r:id="rId14"/>
    </customSheetView>
    <customSheetView guid="{009B3074-D8EC-4952-BF50-43CD64449612}" scale="60">
      <pane xSplit="1" ySplit="6" topLeftCell="B7" activePane="bottomRight" state="frozen"/>
      <selection pane="bottomRight" activeCell="W12" sqref="W12"/>
      <pageMargins left="0.7" right="0.7" top="0.75" bottom="0.75" header="0.3" footer="0.3"/>
      <pageSetup paperSize="9" orientation="portrait" r:id="rId15"/>
    </customSheetView>
    <customSheetView guid="{770624BF-07F3-44B6-94C3-4CC447CDD45C}" scale="60">
      <pane xSplit="1" ySplit="6" topLeftCell="G7" activePane="bottomRight" state="frozen"/>
      <selection pane="bottomRight" activeCell="W12" sqref="W12"/>
      <pageMargins left="0.7" right="0.7" top="0.75" bottom="0.75" header="0.3" footer="0.3"/>
      <pageSetup paperSize="9" orientation="portrait" r:id="rId16"/>
    </customSheetView>
    <customSheetView guid="{B82BA08A-1A30-4F4D-A478-74A6BD09EA97}" scale="60">
      <pane xSplit="1" ySplit="6" topLeftCell="G16" activePane="bottomRight" state="frozen"/>
      <selection pane="bottomRight" activeCell="W12" sqref="W12"/>
      <pageMargins left="0.7" right="0.7" top="0.75" bottom="0.75" header="0.3" footer="0.3"/>
      <pageSetup paperSize="9" orientation="portrait" r:id="rId17"/>
    </customSheetView>
    <customSheetView guid="{874882D1-E741-4CCA-BF0D-E72FA60B771D}" scale="60">
      <pane xSplit="1" ySplit="6" topLeftCell="G16" activePane="bottomRight" state="frozen"/>
      <selection pane="bottomRight" activeCell="W12" sqref="W12"/>
      <pageMargins left="0.7" right="0.7" top="0.75" bottom="0.75" header="0.3" footer="0.3"/>
      <pageSetup paperSize="9" orientation="portrait" r:id="rId18"/>
    </customSheetView>
    <customSheetView guid="{C236B307-BD63-48C4-A75F-B3F3717BF55C}" scale="60">
      <pane xSplit="1" ySplit="6" topLeftCell="G16" activePane="bottomRight" state="frozen"/>
      <selection pane="bottomRight" activeCell="W12" sqref="W12"/>
      <pageMargins left="0.7" right="0.7" top="0.75" bottom="0.75" header="0.3" footer="0.3"/>
      <pageSetup paperSize="9" orientation="portrait" r:id="rId19"/>
    </customSheetView>
    <customSheetView guid="{BCD82A82-B724-4763-8580-D765356E09BA}" scale="60">
      <pane xSplit="1" ySplit="6" topLeftCell="B7" activePane="bottomRight" state="frozen"/>
      <selection pane="bottomRight" activeCell="A2" sqref="A2:AE2"/>
      <pageMargins left="0.7" right="0.7" top="0.75" bottom="0.75" header="0.3" footer="0.3"/>
      <pageSetup paperSize="9" orientation="portrait" r:id="rId20"/>
    </customSheetView>
    <customSheetView guid="{B1BF08D1-D416-4B47-ADD0-4F59132DC9E8}" scale="60">
      <pane xSplit="1" ySplit="6" topLeftCell="B49" activePane="bottomRight" state="frozen"/>
      <selection pane="bottomRight" activeCell="E6" sqref="E6"/>
      <pageMargins left="0.7" right="0.7" top="0.75" bottom="0.75" header="0.3" footer="0.3"/>
      <pageSetup paperSize="9" orientation="portrait" r:id="rId21"/>
    </customSheetView>
    <customSheetView guid="{85F4575B-DBC5-482A-9916-255D8F0BC94E}" scale="60">
      <pane xSplit="1" ySplit="6" topLeftCell="B55" activePane="bottomRight" state="frozen"/>
      <selection pane="bottomRight" activeCell="A91" sqref="A91"/>
      <pageMargins left="0.7" right="0.7" top="0.75" bottom="0.75" header="0.3" footer="0.3"/>
      <pageSetup paperSize="9" orientation="portrait" r:id="rId22"/>
    </customSheetView>
    <customSheetView guid="{74870EE6-26B9-40F7-9DC9-260EF16D8959}" scale="60">
      <pane xSplit="1" ySplit="6" topLeftCell="B7" activePane="bottomRight" state="frozen"/>
      <selection pane="bottomRight" activeCell="B7" sqref="B7"/>
      <pageMargins left="0.7" right="0.7" top="0.75" bottom="0.75" header="0.3" footer="0.3"/>
      <pageSetup paperSize="9" orientation="portrait" r:id="rId23"/>
    </customSheetView>
    <customSheetView guid="{E508E171-4ED9-4B07-84DF-DA28C60E1969}" scale="60">
      <pane xSplit="1" ySplit="6" topLeftCell="B7" activePane="bottomRight" state="frozen"/>
      <selection pane="bottomRight" activeCell="B7" sqref="B7"/>
      <pageMargins left="0.7" right="0.7" top="0.75" bottom="0.75" header="0.3" footer="0.3"/>
      <pageSetup paperSize="9" orientation="portrait" r:id="rId24"/>
    </customSheetView>
    <customSheetView guid="{4D0DFB57-2CBA-42F2-9A97-C453A6851FBA}" scale="60">
      <pane xSplit="1" ySplit="6" topLeftCell="B7" activePane="bottomRight" state="frozen"/>
      <selection pane="bottomRight" activeCell="B7" sqref="B7"/>
      <pageMargins left="0.7" right="0.7" top="0.75" bottom="0.75" header="0.3" footer="0.3"/>
      <pageSetup paperSize="9" orientation="portrait" r:id="rId25"/>
    </customSheetView>
    <customSheetView guid="{CE1CCA00-200D-4EAA-9FBE-F8EE7C5F82FE}" scale="60">
      <pane xSplit="1" ySplit="6" topLeftCell="B7" activePane="bottomRight" state="frozen"/>
      <selection pane="bottomRight" activeCell="C14" sqref="C14"/>
      <pageMargins left="0.7" right="0.7" top="0.75" bottom="0.75" header="0.3" footer="0.3"/>
      <pageSetup paperSize="9" orientation="portrait" r:id="rId26"/>
    </customSheetView>
    <customSheetView guid="{442F2C94-DD1B-4A01-8694-513D4D6F3BD9}" scale="60">
      <pane xSplit="1" ySplit="6" topLeftCell="B31" activePane="bottomRight" state="frozen"/>
      <selection pane="bottomRight" activeCell="A67" sqref="A67:XFD67"/>
      <pageMargins left="0.7" right="0.7" top="0.75" bottom="0.75" header="0.3" footer="0.3"/>
      <pageSetup paperSize="9" orientation="portrait" r:id="rId27"/>
    </customSheetView>
    <customSheetView guid="{AC2D5927-4079-4C74-AF69-1BFAC505648F}" scale="60">
      <pane xSplit="1" ySplit="6" topLeftCell="B31" activePane="bottomRight" state="frozen"/>
      <selection pane="bottomRight" activeCell="A67" sqref="A67:XFD67"/>
      <pageMargins left="0.7" right="0.7" top="0.75" bottom="0.75" header="0.3" footer="0.3"/>
      <pageSetup paperSize="9" orientation="portrait" r:id="rId28"/>
    </customSheetView>
    <customSheetView guid="{602C8EDB-B9EF-4C85-B0D5-0558C3A0ABAB}" scale="60">
      <pane xSplit="1" ySplit="6" topLeftCell="B31" activePane="bottomRight" state="frozen"/>
      <selection pane="bottomRight" activeCell="A67" sqref="A67:XFD67"/>
      <pageMargins left="0.7" right="0.7" top="0.75" bottom="0.75" header="0.3" footer="0.3"/>
      <pageSetup paperSize="9" orientation="portrait" r:id="rId29"/>
    </customSheetView>
    <customSheetView guid="{09C3E205-981E-4A4E-BE89-8B7044192060}" scale="60">
      <pane xSplit="1" ySplit="6" topLeftCell="B31" activePane="bottomRight" state="frozen"/>
      <selection pane="bottomRight" activeCell="A67" sqref="A67:XFD67"/>
      <pageMargins left="0.7" right="0.7" top="0.75" bottom="0.75" header="0.3" footer="0.3"/>
      <pageSetup paperSize="9" orientation="portrait" r:id="rId30"/>
    </customSheetView>
  </customSheetViews>
  <mergeCells count="21">
    <mergeCell ref="X3:Y4"/>
    <mergeCell ref="Z3:AA4"/>
    <mergeCell ref="AB3:AC4"/>
    <mergeCell ref="AD3:AE4"/>
    <mergeCell ref="AF3:AF5"/>
    <mergeCell ref="V3:W4"/>
    <mergeCell ref="A1:AF1"/>
    <mergeCell ref="A2:AE2"/>
    <mergeCell ref="A3:A4"/>
    <mergeCell ref="B3:B4"/>
    <mergeCell ref="C3:C4"/>
    <mergeCell ref="D3:D4"/>
    <mergeCell ref="E3:E4"/>
    <mergeCell ref="F3:G4"/>
    <mergeCell ref="H3:I4"/>
    <mergeCell ref="J3:K4"/>
    <mergeCell ref="L3:M4"/>
    <mergeCell ref="N3:O4"/>
    <mergeCell ref="P3:Q4"/>
    <mergeCell ref="R3:S4"/>
    <mergeCell ref="T3:U4"/>
  </mergeCells>
  <hyperlinks>
    <hyperlink ref="A2:AE2" location="Оглавление!A1" display=" &quot;Безопасность жизнедеятельности населения города Когалыма&quot;"/>
  </hyperlinks>
  <pageMargins left="0.7" right="0.7" top="0.75" bottom="0.75" header="0.3" footer="0.3"/>
  <pageSetup paperSize="9" orientation="portrait" r:id="rId31"/>
  <legacyDrawing r:id="rId3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75"/>
  <sheetViews>
    <sheetView zoomScale="55" zoomScaleNormal="55" workbookViewId="0">
      <pane xSplit="1" ySplit="6" topLeftCell="Q40" activePane="bottomRight" state="frozen"/>
      <selection pane="topRight" activeCell="B1" sqref="B1"/>
      <selection pane="bottomLeft" activeCell="A7" sqref="A7"/>
      <selection pane="bottomRight" activeCell="AF51" sqref="AF51"/>
    </sheetView>
  </sheetViews>
  <sheetFormatPr defaultRowHeight="15.75" x14ac:dyDescent="0.25"/>
  <cols>
    <col min="1" max="1" width="46.140625" style="62" customWidth="1"/>
    <col min="2" max="2" width="23.42578125" customWidth="1"/>
    <col min="3" max="3" width="19.42578125" bestFit="1" customWidth="1"/>
    <col min="4" max="4" width="21" customWidth="1"/>
    <col min="5" max="5" width="18" customWidth="1"/>
    <col min="6" max="6" width="16.5703125" bestFit="1" customWidth="1"/>
    <col min="7" max="8" width="17.28515625" bestFit="1" customWidth="1"/>
    <col min="9" max="9" width="19.5703125" customWidth="1"/>
    <col min="10" max="12" width="17.28515625" bestFit="1" customWidth="1"/>
    <col min="13" max="13" width="24.28515625" customWidth="1"/>
    <col min="14" max="14" width="17.28515625" bestFit="1" customWidth="1"/>
    <col min="15" max="15" width="19" customWidth="1"/>
    <col min="16" max="16" width="17.28515625" bestFit="1" customWidth="1"/>
    <col min="17" max="17" width="13.5703125" bestFit="1" customWidth="1"/>
    <col min="18" max="18" width="17.28515625" bestFit="1" customWidth="1"/>
    <col min="19" max="19" width="13.5703125" bestFit="1" customWidth="1"/>
    <col min="20" max="20" width="17.28515625" bestFit="1" customWidth="1"/>
    <col min="21" max="21" width="13.5703125" bestFit="1" customWidth="1"/>
    <col min="22" max="22" width="17.28515625" bestFit="1" customWidth="1"/>
    <col min="23" max="23" width="13.5703125" bestFit="1" customWidth="1"/>
    <col min="24" max="24" width="17.28515625" bestFit="1" customWidth="1"/>
    <col min="25" max="25" width="13.5703125" bestFit="1" customWidth="1"/>
    <col min="26" max="26" width="17.28515625" bestFit="1" customWidth="1"/>
    <col min="27" max="27" width="13.5703125" bestFit="1" customWidth="1"/>
    <col min="28" max="28" width="17.28515625" bestFit="1" customWidth="1"/>
    <col min="29" max="29" width="13.5703125" bestFit="1" customWidth="1"/>
    <col min="30" max="30" width="17" bestFit="1" customWidth="1"/>
    <col min="31" max="31" width="15.42578125" bestFit="1" customWidth="1"/>
    <col min="32" max="32" width="186.28515625" customWidth="1"/>
    <col min="33" max="33" width="9.140625" style="722"/>
  </cols>
  <sheetData>
    <row r="1" spans="1:34" ht="18.75" x14ac:dyDescent="0.25">
      <c r="A1" s="1015" t="s">
        <v>0</v>
      </c>
      <c r="B1" s="1015"/>
      <c r="C1" s="1015"/>
      <c r="D1" s="1015"/>
      <c r="E1" s="1015"/>
      <c r="F1" s="1015"/>
      <c r="G1" s="1015"/>
      <c r="H1" s="1015"/>
      <c r="I1" s="1015"/>
      <c r="J1" s="1015"/>
      <c r="K1" s="1015"/>
      <c r="L1" s="1015"/>
      <c r="M1" s="1015"/>
      <c r="N1" s="1015"/>
      <c r="O1" s="1015"/>
      <c r="P1" s="1015"/>
      <c r="Q1" s="1015"/>
      <c r="R1" s="1015"/>
      <c r="S1" s="1015"/>
      <c r="T1" s="1015"/>
      <c r="U1" s="1015"/>
      <c r="V1" s="1015"/>
      <c r="W1" s="1015"/>
      <c r="X1" s="1015"/>
      <c r="Y1" s="1015"/>
      <c r="Z1" s="1015"/>
      <c r="AA1" s="1015"/>
      <c r="AB1" s="1015"/>
      <c r="AC1" s="1015"/>
      <c r="AD1" s="1015"/>
      <c r="AE1" s="1015"/>
      <c r="AF1" s="1015"/>
    </row>
    <row r="2" spans="1:34" ht="18.75" x14ac:dyDescent="0.25">
      <c r="A2" s="1016" t="s">
        <v>77</v>
      </c>
      <c r="B2" s="1016"/>
      <c r="C2" s="1016"/>
      <c r="D2" s="1016"/>
      <c r="E2" s="1016"/>
      <c r="F2" s="1016"/>
      <c r="G2" s="1016"/>
      <c r="H2" s="1016"/>
      <c r="I2" s="1016"/>
      <c r="J2" s="1016"/>
      <c r="K2" s="1016"/>
      <c r="L2" s="1016"/>
      <c r="M2" s="1016"/>
      <c r="N2" s="1016"/>
      <c r="O2" s="1016"/>
      <c r="P2" s="1016"/>
      <c r="Q2" s="1016"/>
      <c r="R2" s="1016"/>
      <c r="S2" s="1016"/>
      <c r="T2" s="1016"/>
      <c r="U2" s="1016"/>
      <c r="V2" s="1016"/>
      <c r="W2" s="1016"/>
      <c r="X2" s="1016"/>
      <c r="Y2" s="1016"/>
      <c r="Z2" s="1016"/>
      <c r="AA2" s="1016"/>
      <c r="AB2" s="1016"/>
      <c r="AC2" s="1016"/>
      <c r="AD2" s="1016"/>
      <c r="AE2" s="1016"/>
      <c r="AF2" s="1" t="s">
        <v>1</v>
      </c>
    </row>
    <row r="3" spans="1:34" x14ac:dyDescent="0.25">
      <c r="A3" s="1017" t="s">
        <v>2</v>
      </c>
      <c r="B3" s="1019" t="s">
        <v>3</v>
      </c>
      <c r="C3" s="1019" t="s">
        <v>3</v>
      </c>
      <c r="D3" s="1019" t="s">
        <v>4</v>
      </c>
      <c r="E3" s="1021" t="s">
        <v>5</v>
      </c>
      <c r="F3" s="1011" t="s">
        <v>6</v>
      </c>
      <c r="G3" s="1012"/>
      <c r="H3" s="1011" t="s">
        <v>7</v>
      </c>
      <c r="I3" s="1012"/>
      <c r="J3" s="1011" t="s">
        <v>8</v>
      </c>
      <c r="K3" s="1012"/>
      <c r="L3" s="1011" t="s">
        <v>9</v>
      </c>
      <c r="M3" s="1012"/>
      <c r="N3" s="1011" t="s">
        <v>10</v>
      </c>
      <c r="O3" s="1012"/>
      <c r="P3" s="1011" t="s">
        <v>11</v>
      </c>
      <c r="Q3" s="1012"/>
      <c r="R3" s="1011" t="s">
        <v>12</v>
      </c>
      <c r="S3" s="1012"/>
      <c r="T3" s="1011" t="s">
        <v>13</v>
      </c>
      <c r="U3" s="1012"/>
      <c r="V3" s="1011" t="s">
        <v>14</v>
      </c>
      <c r="W3" s="1012"/>
      <c r="X3" s="1011" t="s">
        <v>15</v>
      </c>
      <c r="Y3" s="1012"/>
      <c r="Z3" s="1011" t="s">
        <v>16</v>
      </c>
      <c r="AA3" s="1012"/>
      <c r="AB3" s="1011" t="s">
        <v>17</v>
      </c>
      <c r="AC3" s="1012"/>
      <c r="AD3" s="1011" t="s">
        <v>18</v>
      </c>
      <c r="AE3" s="1012"/>
      <c r="AF3" s="1017" t="s">
        <v>19</v>
      </c>
    </row>
    <row r="4" spans="1:34" ht="42.75" customHeight="1" x14ac:dyDescent="0.25">
      <c r="A4" s="1018"/>
      <c r="B4" s="1020"/>
      <c r="C4" s="1020"/>
      <c r="D4" s="1020"/>
      <c r="E4" s="1022"/>
      <c r="F4" s="1013"/>
      <c r="G4" s="1014"/>
      <c r="H4" s="1013"/>
      <c r="I4" s="1014"/>
      <c r="J4" s="1013"/>
      <c r="K4" s="1014"/>
      <c r="L4" s="1013"/>
      <c r="M4" s="1014"/>
      <c r="N4" s="1013"/>
      <c r="O4" s="1014"/>
      <c r="P4" s="1013"/>
      <c r="Q4" s="1014"/>
      <c r="R4" s="1013"/>
      <c r="S4" s="1014"/>
      <c r="T4" s="1013"/>
      <c r="U4" s="1014"/>
      <c r="V4" s="1013"/>
      <c r="W4" s="1014"/>
      <c r="X4" s="1013"/>
      <c r="Y4" s="1014"/>
      <c r="Z4" s="1013"/>
      <c r="AA4" s="1014"/>
      <c r="AB4" s="1013"/>
      <c r="AC4" s="1014"/>
      <c r="AD4" s="1013"/>
      <c r="AE4" s="1014"/>
      <c r="AF4" s="1018"/>
    </row>
    <row r="5" spans="1:34" ht="56.25" x14ac:dyDescent="0.25">
      <c r="A5" s="59"/>
      <c r="B5" s="3">
        <v>2024</v>
      </c>
      <c r="C5" s="4">
        <v>45413</v>
      </c>
      <c r="D5" s="4">
        <v>45413</v>
      </c>
      <c r="E5" s="4">
        <v>45413</v>
      </c>
      <c r="F5" s="5" t="s">
        <v>20</v>
      </c>
      <c r="G5" s="5" t="s">
        <v>21</v>
      </c>
      <c r="H5" s="5" t="s">
        <v>22</v>
      </c>
      <c r="I5" s="5" t="s">
        <v>23</v>
      </c>
      <c r="J5" s="5" t="s">
        <v>22</v>
      </c>
      <c r="K5" s="5" t="s">
        <v>23</v>
      </c>
      <c r="L5" s="5" t="s">
        <v>22</v>
      </c>
      <c r="M5" s="5" t="s">
        <v>23</v>
      </c>
      <c r="N5" s="5" t="s">
        <v>22</v>
      </c>
      <c r="O5" s="5" t="s">
        <v>23</v>
      </c>
      <c r="P5" s="5" t="s">
        <v>22</v>
      </c>
      <c r="Q5" s="5" t="s">
        <v>23</v>
      </c>
      <c r="R5" s="5" t="s">
        <v>22</v>
      </c>
      <c r="S5" s="5" t="s">
        <v>23</v>
      </c>
      <c r="T5" s="5" t="s">
        <v>22</v>
      </c>
      <c r="U5" s="5" t="s">
        <v>23</v>
      </c>
      <c r="V5" s="5" t="s">
        <v>22</v>
      </c>
      <c r="W5" s="5" t="s">
        <v>23</v>
      </c>
      <c r="X5" s="5" t="s">
        <v>22</v>
      </c>
      <c r="Y5" s="5" t="s">
        <v>23</v>
      </c>
      <c r="Z5" s="5" t="s">
        <v>22</v>
      </c>
      <c r="AA5" s="5" t="s">
        <v>23</v>
      </c>
      <c r="AB5" s="5" t="s">
        <v>22</v>
      </c>
      <c r="AC5" s="5" t="s">
        <v>23</v>
      </c>
      <c r="AD5" s="5" t="s">
        <v>22</v>
      </c>
      <c r="AE5" s="5" t="s">
        <v>23</v>
      </c>
      <c r="AF5" s="1023"/>
    </row>
    <row r="6" spans="1:34" ht="18.75" x14ac:dyDescent="0.25">
      <c r="A6" s="6">
        <v>1</v>
      </c>
      <c r="B6" s="6">
        <v>2</v>
      </c>
      <c r="C6" s="6">
        <v>3</v>
      </c>
      <c r="D6" s="6">
        <v>4</v>
      </c>
      <c r="E6" s="6">
        <v>5</v>
      </c>
      <c r="F6" s="6">
        <v>6</v>
      </c>
      <c r="G6" s="6">
        <v>7</v>
      </c>
      <c r="H6" s="6">
        <v>8</v>
      </c>
      <c r="I6" s="6">
        <v>9</v>
      </c>
      <c r="J6" s="6">
        <v>10</v>
      </c>
      <c r="K6" s="6">
        <v>11</v>
      </c>
      <c r="L6" s="6">
        <v>12</v>
      </c>
      <c r="M6" s="6">
        <v>13</v>
      </c>
      <c r="N6" s="6">
        <v>14</v>
      </c>
      <c r="O6" s="6">
        <v>15</v>
      </c>
      <c r="P6" s="6">
        <v>16</v>
      </c>
      <c r="Q6" s="6">
        <v>17</v>
      </c>
      <c r="R6" s="6">
        <v>18</v>
      </c>
      <c r="S6" s="6">
        <v>19</v>
      </c>
      <c r="T6" s="6">
        <v>20</v>
      </c>
      <c r="U6" s="6">
        <v>21</v>
      </c>
      <c r="V6" s="6">
        <v>22</v>
      </c>
      <c r="W6" s="6">
        <v>23</v>
      </c>
      <c r="X6" s="6">
        <v>24</v>
      </c>
      <c r="Y6" s="6">
        <v>25</v>
      </c>
      <c r="Z6" s="6">
        <v>26</v>
      </c>
      <c r="AA6" s="6">
        <v>27</v>
      </c>
      <c r="AB6" s="6">
        <v>28</v>
      </c>
      <c r="AC6" s="6">
        <v>29</v>
      </c>
      <c r="AD6" s="6">
        <v>30</v>
      </c>
      <c r="AE6" s="6">
        <v>31</v>
      </c>
      <c r="AF6" s="2">
        <v>32</v>
      </c>
    </row>
    <row r="7" spans="1:34" ht="18.75" x14ac:dyDescent="0.25">
      <c r="A7" s="63" t="s">
        <v>78</v>
      </c>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2"/>
    </row>
    <row r="8" spans="1:34" ht="18.75" x14ac:dyDescent="0.25">
      <c r="A8" s="64" t="s">
        <v>54</v>
      </c>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2"/>
    </row>
    <row r="9" spans="1:34" ht="56.25" customHeight="1" x14ac:dyDescent="0.25">
      <c r="A9" s="68" t="s">
        <v>79</v>
      </c>
      <c r="B9" s="838">
        <f>B10</f>
        <v>52809.493000000002</v>
      </c>
      <c r="C9" s="838">
        <f t="shared" ref="C9:E10" si="0">C10</f>
        <v>36271.764999999999</v>
      </c>
      <c r="D9" s="838">
        <f t="shared" si="0"/>
        <v>36271.764999999999</v>
      </c>
      <c r="E9" s="838">
        <f t="shared" si="0"/>
        <v>24084.952000000005</v>
      </c>
      <c r="F9" s="30"/>
      <c r="G9" s="30"/>
      <c r="H9" s="838"/>
      <c r="I9" s="838"/>
      <c r="J9" s="838"/>
      <c r="K9" s="838"/>
      <c r="L9" s="838"/>
      <c r="M9" s="838"/>
      <c r="N9" s="838"/>
      <c r="O9" s="838"/>
      <c r="P9" s="838"/>
      <c r="Q9" s="838"/>
      <c r="R9" s="838"/>
      <c r="S9" s="838"/>
      <c r="T9" s="838"/>
      <c r="U9" s="838"/>
      <c r="V9" s="838"/>
      <c r="W9" s="838"/>
      <c r="X9" s="838"/>
      <c r="Y9" s="838"/>
      <c r="Z9" s="838"/>
      <c r="AA9" s="838"/>
      <c r="AB9" s="838"/>
      <c r="AC9" s="838"/>
      <c r="AD9" s="838"/>
      <c r="AE9" s="838"/>
      <c r="AF9" s="21"/>
      <c r="AG9" s="727"/>
      <c r="AH9" s="46"/>
    </row>
    <row r="10" spans="1:34" ht="18.75" x14ac:dyDescent="0.3">
      <c r="A10" s="13" t="s">
        <v>31</v>
      </c>
      <c r="B10" s="846">
        <f>B11</f>
        <v>52809.493000000002</v>
      </c>
      <c r="C10" s="839">
        <f t="shared" si="0"/>
        <v>36271.764999999999</v>
      </c>
      <c r="D10" s="839">
        <f>D11</f>
        <v>36271.764999999999</v>
      </c>
      <c r="E10" s="839">
        <f>E11</f>
        <v>24084.952000000005</v>
      </c>
      <c r="F10" s="32">
        <f>E10/B10*100</f>
        <v>45.607239592321029</v>
      </c>
      <c r="G10" s="32">
        <f>E10/C10*100</f>
        <v>66.401378592963439</v>
      </c>
      <c r="H10" s="839"/>
      <c r="I10" s="839"/>
      <c r="J10" s="839"/>
      <c r="K10" s="839"/>
      <c r="L10" s="839"/>
      <c r="M10" s="839"/>
      <c r="N10" s="839"/>
      <c r="O10" s="839"/>
      <c r="P10" s="839"/>
      <c r="Q10" s="839"/>
      <c r="R10" s="839"/>
      <c r="S10" s="839"/>
      <c r="T10" s="839"/>
      <c r="U10" s="839"/>
      <c r="V10" s="839"/>
      <c r="W10" s="839"/>
      <c r="X10" s="839"/>
      <c r="Y10" s="839"/>
      <c r="Z10" s="839"/>
      <c r="AA10" s="839"/>
      <c r="AB10" s="839"/>
      <c r="AC10" s="839"/>
      <c r="AD10" s="839"/>
      <c r="AE10" s="839"/>
      <c r="AF10" s="29"/>
      <c r="AG10" s="723"/>
    </row>
    <row r="11" spans="1:34" ht="18.75" x14ac:dyDescent="0.3">
      <c r="A11" s="17" t="s">
        <v>33</v>
      </c>
      <c r="B11" s="839">
        <f>H11+J11+L11+N11+P11+R11+T11+V11+X11+Z11+AB11+AD11</f>
        <v>52809.493000000002</v>
      </c>
      <c r="C11" s="839">
        <f>H11+J11+L11+N11+P11+R11</f>
        <v>36271.764999999999</v>
      </c>
      <c r="D11" s="839">
        <f>H11+J11+L11+N11+P11+R11</f>
        <v>36271.764999999999</v>
      </c>
      <c r="E11" s="842">
        <f>I11+K11+M11+O11+Q11+S11</f>
        <v>24084.952000000005</v>
      </c>
      <c r="F11" s="32">
        <f>E11/B11*100</f>
        <v>45.607239592321029</v>
      </c>
      <c r="G11" s="32">
        <f>E11/C11*100</f>
        <v>66.401378592963439</v>
      </c>
      <c r="H11" s="883">
        <v>7121.37</v>
      </c>
      <c r="I11" s="883">
        <v>4317.3140000000003</v>
      </c>
      <c r="J11" s="883">
        <v>5416.6620000000003</v>
      </c>
      <c r="K11" s="883">
        <v>5461.0829999999996</v>
      </c>
      <c r="L11" s="883">
        <v>4821.6400000000003</v>
      </c>
      <c r="M11" s="883">
        <v>3395.2550000000001</v>
      </c>
      <c r="N11" s="883">
        <v>13059.099</v>
      </c>
      <c r="O11" s="883">
        <v>4998.1279999999997</v>
      </c>
      <c r="P11" s="883">
        <v>3110.4140000000002</v>
      </c>
      <c r="Q11" s="883">
        <v>3146.828</v>
      </c>
      <c r="R11" s="883">
        <v>2742.58</v>
      </c>
      <c r="S11" s="883">
        <v>2766.3440000000001</v>
      </c>
      <c r="T11" s="883">
        <v>2850.2550000000001</v>
      </c>
      <c r="U11" s="883">
        <v>0</v>
      </c>
      <c r="V11" s="883">
        <v>2309.23</v>
      </c>
      <c r="W11" s="883">
        <v>0</v>
      </c>
      <c r="X11" s="883">
        <v>2292.2179999999998</v>
      </c>
      <c r="Y11" s="883">
        <v>0</v>
      </c>
      <c r="Z11" s="883">
        <v>3478.2260000000001</v>
      </c>
      <c r="AA11" s="883">
        <v>0</v>
      </c>
      <c r="AB11" s="883">
        <v>2353.192</v>
      </c>
      <c r="AC11" s="883">
        <v>0</v>
      </c>
      <c r="AD11" s="883">
        <v>3254.607</v>
      </c>
      <c r="AE11" s="883">
        <v>0</v>
      </c>
      <c r="AF11" s="820" t="s">
        <v>533</v>
      </c>
      <c r="AG11" s="723"/>
    </row>
    <row r="12" spans="1:34" ht="18.75" x14ac:dyDescent="0.3">
      <c r="A12" s="54" t="s">
        <v>53</v>
      </c>
      <c r="B12" s="111"/>
      <c r="C12" s="111"/>
      <c r="D12" s="111"/>
      <c r="E12" s="111"/>
      <c r="F12" s="29"/>
      <c r="G12" s="29"/>
      <c r="H12" s="111"/>
      <c r="I12" s="111"/>
      <c r="J12" s="111"/>
      <c r="K12" s="111"/>
      <c r="L12" s="111"/>
      <c r="M12" s="111"/>
      <c r="N12" s="111"/>
      <c r="O12" s="111"/>
      <c r="P12" s="111"/>
      <c r="Q12" s="111"/>
      <c r="R12" s="111"/>
      <c r="S12" s="111"/>
      <c r="T12" s="111"/>
      <c r="U12" s="111"/>
      <c r="V12" s="111"/>
      <c r="W12" s="111"/>
      <c r="X12" s="111"/>
      <c r="Y12" s="111"/>
      <c r="Z12" s="111"/>
      <c r="AA12" s="111"/>
      <c r="AB12" s="111"/>
      <c r="AC12" s="111"/>
      <c r="AD12" s="111"/>
      <c r="AE12" s="111"/>
      <c r="AF12" s="820"/>
      <c r="AG12" s="723"/>
    </row>
    <row r="13" spans="1:34" ht="18.75" x14ac:dyDescent="0.3">
      <c r="A13" s="13" t="s">
        <v>31</v>
      </c>
      <c r="B13" s="111">
        <f>B14</f>
        <v>52809.493000000002</v>
      </c>
      <c r="C13" s="111">
        <f>C14</f>
        <v>36271.764999999999</v>
      </c>
      <c r="D13" s="111">
        <f>D14</f>
        <v>36271.764999999999</v>
      </c>
      <c r="E13" s="111">
        <f>E14</f>
        <v>24084.952000000005</v>
      </c>
      <c r="F13" s="32">
        <f>E13/B13*100</f>
        <v>45.607239592321029</v>
      </c>
      <c r="G13" s="32">
        <f>E13/C13*100</f>
        <v>66.401378592963439</v>
      </c>
      <c r="H13" s="111">
        <f>H14</f>
        <v>7121.37</v>
      </c>
      <c r="I13" s="111">
        <f t="shared" ref="I13:AE13" si="1">I14</f>
        <v>4317.3140000000003</v>
      </c>
      <c r="J13" s="111">
        <f t="shared" si="1"/>
        <v>5416.6620000000003</v>
      </c>
      <c r="K13" s="111">
        <f t="shared" si="1"/>
        <v>5461.0829999999996</v>
      </c>
      <c r="L13" s="111">
        <f t="shared" si="1"/>
        <v>4821.6400000000003</v>
      </c>
      <c r="M13" s="111">
        <f t="shared" si="1"/>
        <v>3395.2550000000001</v>
      </c>
      <c r="N13" s="111">
        <f t="shared" si="1"/>
        <v>13059.099</v>
      </c>
      <c r="O13" s="111">
        <f t="shared" si="1"/>
        <v>4998.1279999999997</v>
      </c>
      <c r="P13" s="111">
        <f t="shared" si="1"/>
        <v>3110.4140000000002</v>
      </c>
      <c r="Q13" s="111">
        <f t="shared" si="1"/>
        <v>3146.828</v>
      </c>
      <c r="R13" s="111">
        <f t="shared" si="1"/>
        <v>2742.58</v>
      </c>
      <c r="S13" s="111">
        <f t="shared" si="1"/>
        <v>2766.3440000000001</v>
      </c>
      <c r="T13" s="111">
        <f t="shared" si="1"/>
        <v>2850.2550000000001</v>
      </c>
      <c r="U13" s="111">
        <f t="shared" si="1"/>
        <v>0</v>
      </c>
      <c r="V13" s="111">
        <f t="shared" si="1"/>
        <v>2309.23</v>
      </c>
      <c r="W13" s="111">
        <f t="shared" si="1"/>
        <v>0</v>
      </c>
      <c r="X13" s="111">
        <f t="shared" si="1"/>
        <v>2292.2179999999998</v>
      </c>
      <c r="Y13" s="111">
        <f t="shared" si="1"/>
        <v>0</v>
      </c>
      <c r="Z13" s="111">
        <f t="shared" si="1"/>
        <v>3478.2260000000001</v>
      </c>
      <c r="AA13" s="111">
        <f t="shared" si="1"/>
        <v>0</v>
      </c>
      <c r="AB13" s="111">
        <f t="shared" si="1"/>
        <v>2353.192</v>
      </c>
      <c r="AC13" s="111">
        <f t="shared" si="1"/>
        <v>0</v>
      </c>
      <c r="AD13" s="111">
        <f t="shared" si="1"/>
        <v>3254.607</v>
      </c>
      <c r="AE13" s="111">
        <f t="shared" si="1"/>
        <v>0</v>
      </c>
      <c r="AF13" s="820"/>
      <c r="AG13" s="723"/>
    </row>
    <row r="14" spans="1:34" ht="18.75" x14ac:dyDescent="0.3">
      <c r="A14" s="13" t="s">
        <v>33</v>
      </c>
      <c r="B14" s="111">
        <f>B11</f>
        <v>52809.493000000002</v>
      </c>
      <c r="C14" s="111">
        <f>C11</f>
        <v>36271.764999999999</v>
      </c>
      <c r="D14" s="111">
        <f>D11</f>
        <v>36271.764999999999</v>
      </c>
      <c r="E14" s="111">
        <f>E11</f>
        <v>24084.952000000005</v>
      </c>
      <c r="F14" s="32">
        <f>E14/B14*100</f>
        <v>45.607239592321029</v>
      </c>
      <c r="G14" s="32">
        <f>E14/C14*100</f>
        <v>66.401378592963439</v>
      </c>
      <c r="H14" s="111">
        <f>H11</f>
        <v>7121.37</v>
      </c>
      <c r="I14" s="111">
        <f t="shared" ref="I14:AE14" si="2">I11</f>
        <v>4317.3140000000003</v>
      </c>
      <c r="J14" s="111">
        <f t="shared" si="2"/>
        <v>5416.6620000000003</v>
      </c>
      <c r="K14" s="111">
        <f t="shared" si="2"/>
        <v>5461.0829999999996</v>
      </c>
      <c r="L14" s="111">
        <f t="shared" si="2"/>
        <v>4821.6400000000003</v>
      </c>
      <c r="M14" s="111">
        <f t="shared" si="2"/>
        <v>3395.2550000000001</v>
      </c>
      <c r="N14" s="111">
        <f t="shared" si="2"/>
        <v>13059.099</v>
      </c>
      <c r="O14" s="111">
        <f t="shared" si="2"/>
        <v>4998.1279999999997</v>
      </c>
      <c r="P14" s="111">
        <f t="shared" si="2"/>
        <v>3110.4140000000002</v>
      </c>
      <c r="Q14" s="111">
        <f t="shared" si="2"/>
        <v>3146.828</v>
      </c>
      <c r="R14" s="111">
        <f t="shared" si="2"/>
        <v>2742.58</v>
      </c>
      <c r="S14" s="111">
        <f t="shared" si="2"/>
        <v>2766.3440000000001</v>
      </c>
      <c r="T14" s="111">
        <f t="shared" si="2"/>
        <v>2850.2550000000001</v>
      </c>
      <c r="U14" s="111">
        <f t="shared" si="2"/>
        <v>0</v>
      </c>
      <c r="V14" s="111">
        <f t="shared" si="2"/>
        <v>2309.23</v>
      </c>
      <c r="W14" s="111">
        <f t="shared" si="2"/>
        <v>0</v>
      </c>
      <c r="X14" s="111">
        <f t="shared" si="2"/>
        <v>2292.2179999999998</v>
      </c>
      <c r="Y14" s="111">
        <f t="shared" si="2"/>
        <v>0</v>
      </c>
      <c r="Z14" s="111">
        <f t="shared" si="2"/>
        <v>3478.2260000000001</v>
      </c>
      <c r="AA14" s="111">
        <f t="shared" si="2"/>
        <v>0</v>
      </c>
      <c r="AB14" s="111">
        <f t="shared" si="2"/>
        <v>2353.192</v>
      </c>
      <c r="AC14" s="111">
        <f t="shared" si="2"/>
        <v>0</v>
      </c>
      <c r="AD14" s="111">
        <f t="shared" si="2"/>
        <v>3254.607</v>
      </c>
      <c r="AE14" s="111">
        <f t="shared" si="2"/>
        <v>0</v>
      </c>
      <c r="AF14" s="820"/>
      <c r="AG14" s="723"/>
    </row>
    <row r="15" spans="1:34" ht="37.5" x14ac:dyDescent="0.3">
      <c r="A15" s="28" t="s">
        <v>72</v>
      </c>
      <c r="B15" s="111"/>
      <c r="C15" s="111"/>
      <c r="D15" s="111"/>
      <c r="E15" s="111"/>
      <c r="F15" s="29"/>
      <c r="G15" s="29"/>
      <c r="H15" s="111"/>
      <c r="I15" s="111"/>
      <c r="J15" s="111"/>
      <c r="K15" s="111"/>
      <c r="L15" s="111"/>
      <c r="M15" s="111"/>
      <c r="N15" s="111"/>
      <c r="O15" s="111"/>
      <c r="P15" s="111"/>
      <c r="Q15" s="111"/>
      <c r="R15" s="111"/>
      <c r="S15" s="111"/>
      <c r="T15" s="111"/>
      <c r="U15" s="111"/>
      <c r="V15" s="111"/>
      <c r="W15" s="111"/>
      <c r="X15" s="111"/>
      <c r="Y15" s="111"/>
      <c r="Z15" s="111"/>
      <c r="AA15" s="111"/>
      <c r="AB15" s="111"/>
      <c r="AC15" s="111"/>
      <c r="AD15" s="111"/>
      <c r="AE15" s="111"/>
      <c r="AF15" s="29"/>
      <c r="AG15" s="723"/>
    </row>
    <row r="16" spans="1:34" ht="18.75" x14ac:dyDescent="0.3">
      <c r="A16" s="8" t="s">
        <v>31</v>
      </c>
      <c r="B16" s="111">
        <f>B17</f>
        <v>52809.493000000002</v>
      </c>
      <c r="C16" s="111">
        <f>C17</f>
        <v>36271.764999999999</v>
      </c>
      <c r="D16" s="111">
        <f>D17</f>
        <v>36271.764999999999</v>
      </c>
      <c r="E16" s="111">
        <f>E17</f>
        <v>24084.952000000005</v>
      </c>
      <c r="F16" s="32">
        <f>E16/B16*100</f>
        <v>45.607239592321029</v>
      </c>
      <c r="G16" s="32">
        <f>E16/C16*100</f>
        <v>66.401378592963439</v>
      </c>
      <c r="H16" s="111">
        <f>H17</f>
        <v>7121.37</v>
      </c>
      <c r="I16" s="111">
        <f t="shared" ref="I16:AE16" si="3">I17</f>
        <v>4317.3140000000003</v>
      </c>
      <c r="J16" s="111">
        <f t="shared" si="3"/>
        <v>5416.6620000000003</v>
      </c>
      <c r="K16" s="111">
        <f t="shared" si="3"/>
        <v>5461.0829999999996</v>
      </c>
      <c r="L16" s="111">
        <f t="shared" si="3"/>
        <v>4821.6400000000003</v>
      </c>
      <c r="M16" s="111">
        <f t="shared" si="3"/>
        <v>3395.2550000000001</v>
      </c>
      <c r="N16" s="111">
        <f t="shared" si="3"/>
        <v>13059.099</v>
      </c>
      <c r="O16" s="111">
        <f t="shared" si="3"/>
        <v>4998.1279999999997</v>
      </c>
      <c r="P16" s="111">
        <f t="shared" si="3"/>
        <v>3110.4140000000002</v>
      </c>
      <c r="Q16" s="111">
        <f t="shared" si="3"/>
        <v>3146.828</v>
      </c>
      <c r="R16" s="111">
        <f t="shared" si="3"/>
        <v>2742.58</v>
      </c>
      <c r="S16" s="111">
        <f t="shared" si="3"/>
        <v>2766.3440000000001</v>
      </c>
      <c r="T16" s="111">
        <f t="shared" si="3"/>
        <v>2850.2550000000001</v>
      </c>
      <c r="U16" s="111">
        <f t="shared" si="3"/>
        <v>0</v>
      </c>
      <c r="V16" s="111">
        <f t="shared" si="3"/>
        <v>2309.23</v>
      </c>
      <c r="W16" s="111">
        <f t="shared" si="3"/>
        <v>0</v>
      </c>
      <c r="X16" s="111">
        <f t="shared" si="3"/>
        <v>2292.2179999999998</v>
      </c>
      <c r="Y16" s="111">
        <f t="shared" si="3"/>
        <v>0</v>
      </c>
      <c r="Z16" s="111">
        <f t="shared" si="3"/>
        <v>3478.2260000000001</v>
      </c>
      <c r="AA16" s="111">
        <f t="shared" si="3"/>
        <v>0</v>
      </c>
      <c r="AB16" s="111">
        <f t="shared" si="3"/>
        <v>2353.192</v>
      </c>
      <c r="AC16" s="111">
        <f t="shared" si="3"/>
        <v>0</v>
      </c>
      <c r="AD16" s="111">
        <f t="shared" si="3"/>
        <v>3254.607</v>
      </c>
      <c r="AE16" s="111">
        <f t="shared" si="3"/>
        <v>0</v>
      </c>
      <c r="AF16" s="29"/>
      <c r="AG16" s="723"/>
    </row>
    <row r="17" spans="1:34" ht="18.75" x14ac:dyDescent="0.3">
      <c r="A17" s="13" t="s">
        <v>33</v>
      </c>
      <c r="B17" s="111">
        <f>B14</f>
        <v>52809.493000000002</v>
      </c>
      <c r="C17" s="111">
        <f>C14</f>
        <v>36271.764999999999</v>
      </c>
      <c r="D17" s="111">
        <f>D14</f>
        <v>36271.764999999999</v>
      </c>
      <c r="E17" s="111">
        <f>E14</f>
        <v>24084.952000000005</v>
      </c>
      <c r="F17" s="32">
        <f>E17/B17*100</f>
        <v>45.607239592321029</v>
      </c>
      <c r="G17" s="32">
        <f>E17/C17*100</f>
        <v>66.401378592963439</v>
      </c>
      <c r="H17" s="111">
        <f>H14</f>
        <v>7121.37</v>
      </c>
      <c r="I17" s="111">
        <f t="shared" ref="I17:AE17" si="4">I14</f>
        <v>4317.3140000000003</v>
      </c>
      <c r="J17" s="111">
        <f t="shared" si="4"/>
        <v>5416.6620000000003</v>
      </c>
      <c r="K17" s="111">
        <f t="shared" si="4"/>
        <v>5461.0829999999996</v>
      </c>
      <c r="L17" s="111">
        <f t="shared" si="4"/>
        <v>4821.6400000000003</v>
      </c>
      <c r="M17" s="111">
        <f t="shared" si="4"/>
        <v>3395.2550000000001</v>
      </c>
      <c r="N17" s="111">
        <f t="shared" si="4"/>
        <v>13059.099</v>
      </c>
      <c r="O17" s="111">
        <f t="shared" si="4"/>
        <v>4998.1279999999997</v>
      </c>
      <c r="P17" s="111">
        <f t="shared" si="4"/>
        <v>3110.4140000000002</v>
      </c>
      <c r="Q17" s="111">
        <f t="shared" si="4"/>
        <v>3146.828</v>
      </c>
      <c r="R17" s="111">
        <f t="shared" si="4"/>
        <v>2742.58</v>
      </c>
      <c r="S17" s="111">
        <f t="shared" si="4"/>
        <v>2766.3440000000001</v>
      </c>
      <c r="T17" s="111">
        <f t="shared" si="4"/>
        <v>2850.2550000000001</v>
      </c>
      <c r="U17" s="111">
        <f t="shared" si="4"/>
        <v>0</v>
      </c>
      <c r="V17" s="111">
        <f t="shared" si="4"/>
        <v>2309.23</v>
      </c>
      <c r="W17" s="111">
        <f t="shared" si="4"/>
        <v>0</v>
      </c>
      <c r="X17" s="111">
        <f t="shared" si="4"/>
        <v>2292.2179999999998</v>
      </c>
      <c r="Y17" s="111">
        <f t="shared" si="4"/>
        <v>0</v>
      </c>
      <c r="Z17" s="111">
        <f t="shared" si="4"/>
        <v>3478.2260000000001</v>
      </c>
      <c r="AA17" s="111">
        <f t="shared" si="4"/>
        <v>0</v>
      </c>
      <c r="AB17" s="111">
        <f t="shared" si="4"/>
        <v>2353.192</v>
      </c>
      <c r="AC17" s="111">
        <f t="shared" si="4"/>
        <v>0</v>
      </c>
      <c r="AD17" s="111">
        <f t="shared" si="4"/>
        <v>3254.607</v>
      </c>
      <c r="AE17" s="111">
        <f t="shared" si="4"/>
        <v>0</v>
      </c>
      <c r="AF17" s="29"/>
      <c r="AG17" s="723"/>
    </row>
    <row r="18" spans="1:34" ht="18.75" x14ac:dyDescent="0.3">
      <c r="A18" s="60" t="s">
        <v>80</v>
      </c>
      <c r="B18" s="111"/>
      <c r="C18" s="111"/>
      <c r="D18" s="111"/>
      <c r="E18" s="111"/>
      <c r="F18" s="29"/>
      <c r="G18" s="29"/>
      <c r="H18" s="111"/>
      <c r="I18" s="111"/>
      <c r="J18" s="111"/>
      <c r="K18" s="111"/>
      <c r="L18" s="111"/>
      <c r="M18" s="111"/>
      <c r="N18" s="111"/>
      <c r="O18" s="111"/>
      <c r="P18" s="111"/>
      <c r="Q18" s="111"/>
      <c r="R18" s="111"/>
      <c r="S18" s="111"/>
      <c r="T18" s="111"/>
      <c r="U18" s="111"/>
      <c r="V18" s="111"/>
      <c r="W18" s="111"/>
      <c r="X18" s="111"/>
      <c r="Y18" s="111"/>
      <c r="Z18" s="111"/>
      <c r="AA18" s="111"/>
      <c r="AB18" s="111"/>
      <c r="AC18" s="111"/>
      <c r="AD18" s="111"/>
      <c r="AE18" s="111"/>
      <c r="AF18" s="29"/>
      <c r="AG18" s="723"/>
    </row>
    <row r="19" spans="1:34" ht="18.75" x14ac:dyDescent="0.3">
      <c r="A19" s="52" t="s">
        <v>54</v>
      </c>
      <c r="B19" s="111"/>
      <c r="C19" s="111"/>
      <c r="D19" s="111"/>
      <c r="E19" s="111"/>
      <c r="F19" s="29"/>
      <c r="G19" s="29"/>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29"/>
      <c r="AG19" s="723"/>
    </row>
    <row r="20" spans="1:34" ht="75" x14ac:dyDescent="0.3">
      <c r="A20" s="69" t="s">
        <v>81</v>
      </c>
      <c r="B20" s="111"/>
      <c r="C20" s="111"/>
      <c r="D20" s="111"/>
      <c r="E20" s="111"/>
      <c r="F20" s="41"/>
      <c r="G20" s="29"/>
      <c r="H20" s="111"/>
      <c r="I20" s="111"/>
      <c r="J20" s="111"/>
      <c r="K20" s="111"/>
      <c r="L20" s="111"/>
      <c r="M20" s="111"/>
      <c r="N20" s="111"/>
      <c r="O20" s="111"/>
      <c r="P20" s="111"/>
      <c r="Q20" s="111"/>
      <c r="R20" s="111"/>
      <c r="S20" s="111"/>
      <c r="T20" s="111"/>
      <c r="U20" s="111"/>
      <c r="V20" s="111"/>
      <c r="W20" s="111"/>
      <c r="X20" s="111"/>
      <c r="Y20" s="111"/>
      <c r="Z20" s="111"/>
      <c r="AA20" s="111"/>
      <c r="AB20" s="111"/>
      <c r="AC20" s="111"/>
      <c r="AD20" s="111"/>
      <c r="AE20" s="111"/>
      <c r="AF20" s="29"/>
      <c r="AG20" s="723"/>
    </row>
    <row r="21" spans="1:34" ht="18.75" x14ac:dyDescent="0.3">
      <c r="A21" s="13" t="s">
        <v>31</v>
      </c>
      <c r="B21" s="846">
        <f>B22</f>
        <v>303206.89600000001</v>
      </c>
      <c r="C21" s="839">
        <f>C22</f>
        <v>140352.899</v>
      </c>
      <c r="D21" s="839">
        <f>D22</f>
        <v>125513.30899999999</v>
      </c>
      <c r="E21" s="839">
        <f>E22</f>
        <v>131888.20199999999</v>
      </c>
      <c r="F21" s="32">
        <f>E21/B21*100</f>
        <v>43.4977580457141</v>
      </c>
      <c r="G21" s="32">
        <f>E21/C21*100</f>
        <v>93.968990266456828</v>
      </c>
      <c r="H21" s="839">
        <f>H22</f>
        <v>21721.720999999998</v>
      </c>
      <c r="I21" s="839">
        <f t="shared" ref="I21:AE21" si="5">I22</f>
        <v>17924.219000000001</v>
      </c>
      <c r="J21" s="839">
        <f t="shared" si="5"/>
        <v>30109.53</v>
      </c>
      <c r="K21" s="839">
        <f t="shared" si="5"/>
        <v>29266.189000000002</v>
      </c>
      <c r="L21" s="839">
        <f t="shared" si="5"/>
        <v>23693.165000000001</v>
      </c>
      <c r="M21" s="839">
        <f t="shared" si="5"/>
        <v>21758.616999999998</v>
      </c>
      <c r="N21" s="839">
        <f t="shared" si="5"/>
        <v>27926.390000000003</v>
      </c>
      <c r="O21" s="839">
        <f t="shared" si="5"/>
        <v>25990.671999999999</v>
      </c>
      <c r="P21" s="839">
        <f t="shared" si="5"/>
        <v>23995.38</v>
      </c>
      <c r="Q21" s="839">
        <f t="shared" si="5"/>
        <v>23249.977999999999</v>
      </c>
      <c r="R21" s="839">
        <f t="shared" si="5"/>
        <v>27916.826999999997</v>
      </c>
      <c r="S21" s="839">
        <f t="shared" si="5"/>
        <v>25449.1</v>
      </c>
      <c r="T21" s="839">
        <f t="shared" si="5"/>
        <v>31896.144</v>
      </c>
      <c r="U21" s="839">
        <f t="shared" si="5"/>
        <v>0</v>
      </c>
      <c r="V21" s="839">
        <f t="shared" si="5"/>
        <v>23660.352999999999</v>
      </c>
      <c r="W21" s="839">
        <f t="shared" si="5"/>
        <v>0</v>
      </c>
      <c r="X21" s="839">
        <f t="shared" si="5"/>
        <v>19967.650999999998</v>
      </c>
      <c r="Y21" s="839">
        <f t="shared" si="5"/>
        <v>0</v>
      </c>
      <c r="Z21" s="839">
        <f t="shared" si="5"/>
        <v>23331.582999999999</v>
      </c>
      <c r="AA21" s="839">
        <f t="shared" si="5"/>
        <v>0</v>
      </c>
      <c r="AB21" s="839">
        <f t="shared" si="5"/>
        <v>21917.88</v>
      </c>
      <c r="AC21" s="839">
        <f t="shared" si="5"/>
        <v>0</v>
      </c>
      <c r="AD21" s="839">
        <f t="shared" si="5"/>
        <v>27070.272000000001</v>
      </c>
      <c r="AE21" s="839">
        <f t="shared" si="5"/>
        <v>0</v>
      </c>
      <c r="AF21" s="29"/>
      <c r="AG21" s="723"/>
    </row>
    <row r="22" spans="1:34" ht="18.75" x14ac:dyDescent="0.3">
      <c r="A22" s="13" t="s">
        <v>33</v>
      </c>
      <c r="B22" s="839">
        <f>B25+B28+B37+B40</f>
        <v>303206.89600000001</v>
      </c>
      <c r="C22" s="839">
        <f>C25+C28+C37+C40</f>
        <v>140352.899</v>
      </c>
      <c r="D22" s="839">
        <f>D24+D27+D36+D39</f>
        <v>125513.30899999999</v>
      </c>
      <c r="E22" s="839">
        <f>E25+E28+E37+E40</f>
        <v>131888.20199999999</v>
      </c>
      <c r="F22" s="32">
        <f>E22/B22*100</f>
        <v>43.4977580457141</v>
      </c>
      <c r="G22" s="32">
        <f>E22/C22*100</f>
        <v>93.968990266456828</v>
      </c>
      <c r="H22" s="839">
        <f>H25+H28+H37+H40</f>
        <v>21721.720999999998</v>
      </c>
      <c r="I22" s="839">
        <f>I25+I28+I37+I40</f>
        <v>17924.219000000001</v>
      </c>
      <c r="J22" s="839">
        <f t="shared" ref="J22:AE22" si="6">J25+J28+J37+J40</f>
        <v>30109.53</v>
      </c>
      <c r="K22" s="839">
        <f t="shared" si="6"/>
        <v>29266.189000000002</v>
      </c>
      <c r="L22" s="839">
        <f t="shared" si="6"/>
        <v>23693.165000000001</v>
      </c>
      <c r="M22" s="839">
        <f t="shared" si="6"/>
        <v>21758.616999999998</v>
      </c>
      <c r="N22" s="839">
        <f t="shared" si="6"/>
        <v>27926.390000000003</v>
      </c>
      <c r="O22" s="839">
        <f t="shared" si="6"/>
        <v>25990.671999999999</v>
      </c>
      <c r="P22" s="839">
        <f t="shared" si="6"/>
        <v>23995.38</v>
      </c>
      <c r="Q22" s="839">
        <f t="shared" si="6"/>
        <v>23249.977999999999</v>
      </c>
      <c r="R22" s="839">
        <f t="shared" si="6"/>
        <v>27916.826999999997</v>
      </c>
      <c r="S22" s="839">
        <f t="shared" si="6"/>
        <v>25449.1</v>
      </c>
      <c r="T22" s="839">
        <f t="shared" si="6"/>
        <v>31896.144</v>
      </c>
      <c r="U22" s="839">
        <f t="shared" si="6"/>
        <v>0</v>
      </c>
      <c r="V22" s="839">
        <f t="shared" si="6"/>
        <v>23660.352999999999</v>
      </c>
      <c r="W22" s="839">
        <f t="shared" si="6"/>
        <v>0</v>
      </c>
      <c r="X22" s="839">
        <f t="shared" si="6"/>
        <v>19967.650999999998</v>
      </c>
      <c r="Y22" s="839">
        <f t="shared" si="6"/>
        <v>0</v>
      </c>
      <c r="Z22" s="839">
        <f t="shared" si="6"/>
        <v>23331.582999999999</v>
      </c>
      <c r="AA22" s="839">
        <f t="shared" si="6"/>
        <v>0</v>
      </c>
      <c r="AB22" s="839">
        <f t="shared" si="6"/>
        <v>21917.88</v>
      </c>
      <c r="AC22" s="839">
        <f t="shared" si="6"/>
        <v>0</v>
      </c>
      <c r="AD22" s="839">
        <f t="shared" si="6"/>
        <v>27070.272000000001</v>
      </c>
      <c r="AE22" s="839">
        <f t="shared" si="6"/>
        <v>0</v>
      </c>
      <c r="AF22" s="29"/>
      <c r="AG22" s="723"/>
    </row>
    <row r="23" spans="1:34" ht="75" x14ac:dyDescent="0.3">
      <c r="A23" s="51" t="s">
        <v>86</v>
      </c>
      <c r="B23" s="111"/>
      <c r="C23" s="111"/>
      <c r="D23" s="111"/>
      <c r="E23" s="111"/>
      <c r="F23" s="29"/>
      <c r="G23" s="29"/>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29"/>
      <c r="AG23" s="723"/>
    </row>
    <row r="24" spans="1:34" ht="18.75" x14ac:dyDescent="0.3">
      <c r="A24" s="13" t="s">
        <v>31</v>
      </c>
      <c r="B24" s="846">
        <f>B25</f>
        <v>41065.894999999997</v>
      </c>
      <c r="C24" s="839">
        <f>C25</f>
        <v>22056.462</v>
      </c>
      <c r="D24" s="839">
        <f>D25</f>
        <v>22056.462</v>
      </c>
      <c r="E24" s="839">
        <f>E25</f>
        <v>19629.612000000001</v>
      </c>
      <c r="F24" s="32">
        <f>E24/B24*100</f>
        <v>47.800278065289952</v>
      </c>
      <c r="G24" s="32">
        <f>E24/C24*100</f>
        <v>88.997102073759621</v>
      </c>
      <c r="H24" s="111"/>
      <c r="I24" s="111"/>
      <c r="J24" s="111"/>
      <c r="K24" s="111"/>
      <c r="L24" s="111"/>
      <c r="M24" s="111"/>
      <c r="N24" s="111"/>
      <c r="O24" s="111"/>
      <c r="P24" s="111"/>
      <c r="Q24" s="111"/>
      <c r="R24" s="111"/>
      <c r="S24" s="111"/>
      <c r="T24" s="111"/>
      <c r="U24" s="111"/>
      <c r="V24" s="111"/>
      <c r="W24" s="111"/>
      <c r="X24" s="111"/>
      <c r="Y24" s="111"/>
      <c r="Z24" s="111"/>
      <c r="AA24" s="111"/>
      <c r="AB24" s="111"/>
      <c r="AC24" s="111"/>
      <c r="AD24" s="111"/>
      <c r="AE24" s="111"/>
      <c r="AF24" s="29"/>
      <c r="AG24" s="723"/>
    </row>
    <row r="25" spans="1:34" ht="18.75" x14ac:dyDescent="0.3">
      <c r="A25" s="13" t="s">
        <v>33</v>
      </c>
      <c r="B25" s="839">
        <f>H25+J25+L25+N25+P25+R25+T25+V25+X25+Z25+AB25+AD25</f>
        <v>41065.894999999997</v>
      </c>
      <c r="C25" s="842">
        <f>H25+J25+L25+N25+P25+R25</f>
        <v>22056.462</v>
      </c>
      <c r="D25" s="842">
        <f>H25+J25+L25+N25+P25+R25</f>
        <v>22056.462</v>
      </c>
      <c r="E25" s="842">
        <f>I25+K25+M25+O25+Q25+S25</f>
        <v>19629.612000000001</v>
      </c>
      <c r="F25" s="32">
        <f>E25/B25*100</f>
        <v>47.800278065289952</v>
      </c>
      <c r="G25" s="32">
        <f>E25/C25*100</f>
        <v>88.997102073759621</v>
      </c>
      <c r="H25" s="883">
        <v>4622.8789999999999</v>
      </c>
      <c r="I25" s="883">
        <v>2728.5149999999999</v>
      </c>
      <c r="J25" s="883">
        <v>4534.2060000000001</v>
      </c>
      <c r="K25" s="883">
        <v>4153.1279999999997</v>
      </c>
      <c r="L25" s="883">
        <v>3372.5479999999998</v>
      </c>
      <c r="M25" s="883">
        <v>3487.1109999999999</v>
      </c>
      <c r="N25" s="883">
        <v>3143.3739999999998</v>
      </c>
      <c r="O25" s="883">
        <v>2969.4969999999998</v>
      </c>
      <c r="P25" s="883">
        <v>3379.6260000000002</v>
      </c>
      <c r="Q25" s="883">
        <v>2729.9</v>
      </c>
      <c r="R25" s="883">
        <v>3003.8290000000002</v>
      </c>
      <c r="S25" s="883">
        <v>3561.4609999999998</v>
      </c>
      <c r="T25" s="883">
        <v>3484.1570000000002</v>
      </c>
      <c r="U25" s="883">
        <v>0</v>
      </c>
      <c r="V25" s="883">
        <v>2348.4830000000002</v>
      </c>
      <c r="W25" s="883">
        <v>0</v>
      </c>
      <c r="X25" s="883">
        <v>2811.6039999999998</v>
      </c>
      <c r="Y25" s="883">
        <v>0</v>
      </c>
      <c r="Z25" s="883">
        <v>2422.62</v>
      </c>
      <c r="AA25" s="883">
        <v>0</v>
      </c>
      <c r="AB25" s="883">
        <v>2563.098</v>
      </c>
      <c r="AC25" s="883">
        <v>0</v>
      </c>
      <c r="AD25" s="883">
        <v>5379.4709999999995</v>
      </c>
      <c r="AE25" s="883">
        <v>0</v>
      </c>
      <c r="AF25" s="816" t="s">
        <v>487</v>
      </c>
      <c r="AG25" s="723"/>
      <c r="AH25" s="46"/>
    </row>
    <row r="26" spans="1:34" ht="75" x14ac:dyDescent="0.3">
      <c r="A26" s="48" t="s">
        <v>87</v>
      </c>
      <c r="B26" s="111"/>
      <c r="C26" s="111"/>
      <c r="D26" s="111"/>
      <c r="E26" s="111"/>
      <c r="F26" s="29"/>
      <c r="G26" s="29"/>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817"/>
      <c r="AG26" s="723"/>
    </row>
    <row r="27" spans="1:34" ht="18.75" x14ac:dyDescent="0.3">
      <c r="A27" s="13" t="s">
        <v>31</v>
      </c>
      <c r="B27" s="845">
        <f>B28</f>
        <v>79218.89</v>
      </c>
      <c r="C27" s="111">
        <f>C28</f>
        <v>43550.307000000001</v>
      </c>
      <c r="D27" s="111">
        <f>D28</f>
        <v>28710.716999999997</v>
      </c>
      <c r="E27" s="111">
        <f>E28</f>
        <v>43550.312999999995</v>
      </c>
      <c r="F27" s="32">
        <f>E27/B27*100</f>
        <v>54.974656928416941</v>
      </c>
      <c r="G27" s="47">
        <f>E27/C27*100</f>
        <v>100.00001377717038</v>
      </c>
      <c r="H27" s="111">
        <f>H28</f>
        <v>6250.19</v>
      </c>
      <c r="I27" s="111">
        <f t="shared" ref="I27:AE27" si="7">I28</f>
        <v>6250.1940000000004</v>
      </c>
      <c r="J27" s="111">
        <f t="shared" si="7"/>
        <v>7648.817</v>
      </c>
      <c r="K27" s="111">
        <f t="shared" si="7"/>
        <v>7648.817</v>
      </c>
      <c r="L27" s="111">
        <f t="shared" si="7"/>
        <v>7329.79</v>
      </c>
      <c r="M27" s="111">
        <f t="shared" si="7"/>
        <v>7329.7910000000002</v>
      </c>
      <c r="N27" s="111">
        <f t="shared" si="7"/>
        <v>7481.92</v>
      </c>
      <c r="O27" s="111">
        <f t="shared" si="7"/>
        <v>7481.9189999999999</v>
      </c>
      <c r="P27" s="111">
        <f t="shared" si="7"/>
        <v>7307.25</v>
      </c>
      <c r="Q27" s="111">
        <f t="shared" si="7"/>
        <v>7307.25</v>
      </c>
      <c r="R27" s="111">
        <f t="shared" si="7"/>
        <v>7532.34</v>
      </c>
      <c r="S27" s="111">
        <f t="shared" si="7"/>
        <v>7532.3419999999996</v>
      </c>
      <c r="T27" s="111">
        <f t="shared" si="7"/>
        <v>7421.77</v>
      </c>
      <c r="U27" s="111">
        <f t="shared" si="7"/>
        <v>0</v>
      </c>
      <c r="V27" s="111">
        <f t="shared" si="7"/>
        <v>6571.1930000000002</v>
      </c>
      <c r="W27" s="111">
        <f t="shared" si="7"/>
        <v>0</v>
      </c>
      <c r="X27" s="111">
        <f t="shared" si="7"/>
        <v>5816.335</v>
      </c>
      <c r="Y27" s="111">
        <f t="shared" si="7"/>
        <v>0</v>
      </c>
      <c r="Z27" s="111">
        <f t="shared" si="7"/>
        <v>5605.5739999999996</v>
      </c>
      <c r="AA27" s="111">
        <f t="shared" si="7"/>
        <v>0</v>
      </c>
      <c r="AB27" s="111">
        <f t="shared" si="7"/>
        <v>5157.3819999999996</v>
      </c>
      <c r="AC27" s="111">
        <f t="shared" si="7"/>
        <v>0</v>
      </c>
      <c r="AD27" s="111">
        <f t="shared" si="7"/>
        <v>5096.3289999999997</v>
      </c>
      <c r="AE27" s="111">
        <f t="shared" si="7"/>
        <v>0</v>
      </c>
      <c r="AF27" s="817"/>
      <c r="AG27" s="723"/>
    </row>
    <row r="28" spans="1:34" ht="18.75" x14ac:dyDescent="0.3">
      <c r="A28" s="14" t="s">
        <v>93</v>
      </c>
      <c r="B28" s="839">
        <f>B31+B34</f>
        <v>79218.89</v>
      </c>
      <c r="C28" s="839">
        <f>C31+C34</f>
        <v>43550.307000000001</v>
      </c>
      <c r="D28" s="839">
        <f>H28+J28+L28+N28</f>
        <v>28710.716999999997</v>
      </c>
      <c r="E28" s="839">
        <f>E31+E34</f>
        <v>43550.312999999995</v>
      </c>
      <c r="F28" s="32">
        <f>E28/B28*100</f>
        <v>54.974656928416941</v>
      </c>
      <c r="G28" s="47">
        <f>E28/C28*100</f>
        <v>100.00001377717038</v>
      </c>
      <c r="H28" s="839">
        <f>H31+H34</f>
        <v>6250.19</v>
      </c>
      <c r="I28" s="839">
        <f>I31+I34</f>
        <v>6250.1940000000004</v>
      </c>
      <c r="J28" s="839">
        <f t="shared" ref="J28:AE28" si="8">J31+J34</f>
        <v>7648.817</v>
      </c>
      <c r="K28" s="839">
        <f t="shared" si="8"/>
        <v>7648.817</v>
      </c>
      <c r="L28" s="839">
        <f t="shared" si="8"/>
        <v>7329.79</v>
      </c>
      <c r="M28" s="839">
        <f t="shared" si="8"/>
        <v>7329.7910000000002</v>
      </c>
      <c r="N28" s="839">
        <f t="shared" si="8"/>
        <v>7481.92</v>
      </c>
      <c r="O28" s="839">
        <f t="shared" si="8"/>
        <v>7481.9189999999999</v>
      </c>
      <c r="P28" s="839">
        <f t="shared" si="8"/>
        <v>7307.25</v>
      </c>
      <c r="Q28" s="839">
        <f t="shared" si="8"/>
        <v>7307.25</v>
      </c>
      <c r="R28" s="839">
        <f t="shared" si="8"/>
        <v>7532.34</v>
      </c>
      <c r="S28" s="839">
        <f t="shared" si="8"/>
        <v>7532.3419999999996</v>
      </c>
      <c r="T28" s="839">
        <f t="shared" si="8"/>
        <v>7421.77</v>
      </c>
      <c r="U28" s="839">
        <f t="shared" si="8"/>
        <v>0</v>
      </c>
      <c r="V28" s="839">
        <f t="shared" si="8"/>
        <v>6571.1930000000002</v>
      </c>
      <c r="W28" s="839">
        <f t="shared" si="8"/>
        <v>0</v>
      </c>
      <c r="X28" s="839">
        <f t="shared" si="8"/>
        <v>5816.335</v>
      </c>
      <c r="Y28" s="839">
        <f t="shared" si="8"/>
        <v>0</v>
      </c>
      <c r="Z28" s="839">
        <f t="shared" si="8"/>
        <v>5605.5739999999996</v>
      </c>
      <c r="AA28" s="839">
        <f t="shared" si="8"/>
        <v>0</v>
      </c>
      <c r="AB28" s="839">
        <f t="shared" si="8"/>
        <v>5157.3819999999996</v>
      </c>
      <c r="AC28" s="839">
        <f t="shared" si="8"/>
        <v>0</v>
      </c>
      <c r="AD28" s="839">
        <f t="shared" si="8"/>
        <v>5096.3289999999997</v>
      </c>
      <c r="AE28" s="839">
        <f t="shared" si="8"/>
        <v>0</v>
      </c>
      <c r="AF28" s="818"/>
      <c r="AG28" s="723"/>
    </row>
    <row r="29" spans="1:34" ht="409.5" x14ac:dyDescent="0.3">
      <c r="A29" s="14" t="s">
        <v>88</v>
      </c>
      <c r="B29" s="839"/>
      <c r="C29" s="842"/>
      <c r="D29" s="842"/>
      <c r="E29" s="842"/>
      <c r="F29" s="32"/>
      <c r="G29" s="47"/>
      <c r="H29" s="839"/>
      <c r="I29" s="839"/>
      <c r="J29" s="839"/>
      <c r="K29" s="839"/>
      <c r="L29" s="839"/>
      <c r="M29" s="839"/>
      <c r="N29" s="839"/>
      <c r="O29" s="839"/>
      <c r="P29" s="839"/>
      <c r="Q29" s="839"/>
      <c r="R29" s="839"/>
      <c r="S29" s="839"/>
      <c r="T29" s="839"/>
      <c r="U29" s="839"/>
      <c r="V29" s="839"/>
      <c r="W29" s="839"/>
      <c r="X29" s="839"/>
      <c r="Y29" s="839"/>
      <c r="Z29" s="839"/>
      <c r="AA29" s="839"/>
      <c r="AB29" s="839"/>
      <c r="AC29" s="839"/>
      <c r="AD29" s="839"/>
      <c r="AE29" s="839"/>
      <c r="AF29" s="966" t="s">
        <v>621</v>
      </c>
      <c r="AG29" s="723"/>
    </row>
    <row r="30" spans="1:34" ht="18.75" x14ac:dyDescent="0.3">
      <c r="A30" s="13" t="s">
        <v>31</v>
      </c>
      <c r="B30" s="842">
        <f>B31</f>
        <v>77762.89</v>
      </c>
      <c r="C30" s="842">
        <f>C31</f>
        <v>43550.307000000001</v>
      </c>
      <c r="D30" s="842">
        <f>D31</f>
        <v>43550.307000000001</v>
      </c>
      <c r="E30" s="842">
        <f>E31</f>
        <v>43550.312999999995</v>
      </c>
      <c r="F30" s="32">
        <f>E30/B30*100</f>
        <v>56.003979533168071</v>
      </c>
      <c r="G30" s="47">
        <f>E30/C30*100</f>
        <v>100.00001377717038</v>
      </c>
      <c r="H30" s="839">
        <f>H31</f>
        <v>6250.19</v>
      </c>
      <c r="I30" s="839">
        <f t="shared" ref="I30:AE30" si="9">I31</f>
        <v>6250.1940000000004</v>
      </c>
      <c r="J30" s="839">
        <f t="shared" si="9"/>
        <v>7648.817</v>
      </c>
      <c r="K30" s="839">
        <f t="shared" si="9"/>
        <v>7648.817</v>
      </c>
      <c r="L30" s="839">
        <f t="shared" si="9"/>
        <v>7329.79</v>
      </c>
      <c r="M30" s="839">
        <f t="shared" si="9"/>
        <v>7329.7910000000002</v>
      </c>
      <c r="N30" s="839">
        <f t="shared" si="9"/>
        <v>7481.92</v>
      </c>
      <c r="O30" s="839">
        <f t="shared" si="9"/>
        <v>7481.9189999999999</v>
      </c>
      <c r="P30" s="839">
        <f t="shared" si="9"/>
        <v>7307.25</v>
      </c>
      <c r="Q30" s="839">
        <f t="shared" si="9"/>
        <v>7307.25</v>
      </c>
      <c r="R30" s="839">
        <f t="shared" si="9"/>
        <v>7532.34</v>
      </c>
      <c r="S30" s="839">
        <f t="shared" si="9"/>
        <v>7532.3419999999996</v>
      </c>
      <c r="T30" s="839">
        <f t="shared" si="9"/>
        <v>7421.77</v>
      </c>
      <c r="U30" s="839">
        <f t="shared" si="9"/>
        <v>0</v>
      </c>
      <c r="V30" s="839">
        <f t="shared" si="9"/>
        <v>6571.1930000000002</v>
      </c>
      <c r="W30" s="839">
        <f t="shared" si="9"/>
        <v>0</v>
      </c>
      <c r="X30" s="839">
        <f t="shared" si="9"/>
        <v>4360.335</v>
      </c>
      <c r="Y30" s="839">
        <f t="shared" si="9"/>
        <v>0</v>
      </c>
      <c r="Z30" s="839">
        <f t="shared" si="9"/>
        <v>5605.5739999999996</v>
      </c>
      <c r="AA30" s="839">
        <f t="shared" si="9"/>
        <v>0</v>
      </c>
      <c r="AB30" s="839">
        <f t="shared" si="9"/>
        <v>5157.3819999999996</v>
      </c>
      <c r="AC30" s="839">
        <f t="shared" si="9"/>
        <v>0</v>
      </c>
      <c r="AD30" s="839">
        <f t="shared" si="9"/>
        <v>5096.3289999999997</v>
      </c>
      <c r="AE30" s="839">
        <f t="shared" si="9"/>
        <v>0</v>
      </c>
      <c r="AF30" s="967"/>
      <c r="AG30" s="723"/>
    </row>
    <row r="31" spans="1:34" s="658" customFormat="1" ht="18.75" x14ac:dyDescent="0.3">
      <c r="A31" s="13" t="s">
        <v>33</v>
      </c>
      <c r="B31" s="842">
        <f>H31+J31+L31+N31+P31+R31+T31+V31+X31+Z31+AB31+AD31</f>
        <v>77762.89</v>
      </c>
      <c r="C31" s="842">
        <f>H31+J31+L31+N31+P31+R31</f>
        <v>43550.307000000001</v>
      </c>
      <c r="D31" s="842">
        <f>H31+J31+L31+N31+P31+R31</f>
        <v>43550.307000000001</v>
      </c>
      <c r="E31" s="842">
        <f>I31+K31+M31+O31+Q31+S31</f>
        <v>43550.312999999995</v>
      </c>
      <c r="F31" s="47">
        <f>D31/B31*100</f>
        <v>56.00397181740545</v>
      </c>
      <c r="G31" s="47">
        <f>E31/C31*100</f>
        <v>100.00001377717038</v>
      </c>
      <c r="H31" s="883">
        <v>6250.19</v>
      </c>
      <c r="I31" s="883">
        <v>6250.1940000000004</v>
      </c>
      <c r="J31" s="883">
        <v>7648.817</v>
      </c>
      <c r="K31" s="883">
        <v>7648.817</v>
      </c>
      <c r="L31" s="883">
        <v>7329.79</v>
      </c>
      <c r="M31" s="883">
        <v>7329.7910000000002</v>
      </c>
      <c r="N31" s="883">
        <v>7481.92</v>
      </c>
      <c r="O31" s="883">
        <v>7481.9189999999999</v>
      </c>
      <c r="P31" s="883">
        <v>7307.25</v>
      </c>
      <c r="Q31" s="883">
        <v>7307.25</v>
      </c>
      <c r="R31" s="883">
        <v>7532.34</v>
      </c>
      <c r="S31" s="883">
        <v>7532.3419999999996</v>
      </c>
      <c r="T31" s="883">
        <v>7421.77</v>
      </c>
      <c r="U31" s="883"/>
      <c r="V31" s="883">
        <v>6571.1930000000002</v>
      </c>
      <c r="W31" s="883"/>
      <c r="X31" s="883">
        <v>4360.335</v>
      </c>
      <c r="Y31" s="883"/>
      <c r="Z31" s="883">
        <v>5605.5739999999996</v>
      </c>
      <c r="AA31" s="883"/>
      <c r="AB31" s="883">
        <v>5157.3819999999996</v>
      </c>
      <c r="AC31" s="883"/>
      <c r="AD31" s="883">
        <v>5096.3289999999997</v>
      </c>
      <c r="AE31" s="883"/>
      <c r="AF31" s="967"/>
      <c r="AG31" s="724"/>
      <c r="AH31" s="726"/>
    </row>
    <row r="32" spans="1:34" ht="168.75" x14ac:dyDescent="0.3">
      <c r="A32" s="13" t="s">
        <v>89</v>
      </c>
      <c r="B32" s="839"/>
      <c r="C32" s="842"/>
      <c r="D32" s="842"/>
      <c r="E32" s="842"/>
      <c r="F32" s="32"/>
      <c r="G32" s="47"/>
      <c r="H32" s="839"/>
      <c r="I32" s="839"/>
      <c r="J32" s="839"/>
      <c r="K32" s="839"/>
      <c r="L32" s="839"/>
      <c r="M32" s="839"/>
      <c r="N32" s="839"/>
      <c r="O32" s="839"/>
      <c r="P32" s="839"/>
      <c r="Q32" s="839"/>
      <c r="R32" s="839"/>
      <c r="S32" s="839"/>
      <c r="T32" s="839"/>
      <c r="U32" s="839"/>
      <c r="V32" s="839"/>
      <c r="W32" s="839"/>
      <c r="X32" s="839"/>
      <c r="Y32" s="839"/>
      <c r="Z32" s="839"/>
      <c r="AA32" s="839"/>
      <c r="AB32" s="839"/>
      <c r="AC32" s="839"/>
      <c r="AD32" s="839"/>
      <c r="AE32" s="839"/>
      <c r="AF32" s="968"/>
      <c r="AG32" s="723"/>
    </row>
    <row r="33" spans="1:33" ht="18.75" x14ac:dyDescent="0.3">
      <c r="A33" s="13" t="s">
        <v>31</v>
      </c>
      <c r="B33" s="842">
        <f>B34</f>
        <v>1456</v>
      </c>
      <c r="C33" s="842">
        <f>C34</f>
        <v>0</v>
      </c>
      <c r="D33" s="842">
        <f>D34</f>
        <v>0</v>
      </c>
      <c r="E33" s="842">
        <f>E34</f>
        <v>0</v>
      </c>
      <c r="F33" s="32">
        <f>E33/B33*100</f>
        <v>0</v>
      </c>
      <c r="G33" s="47" t="e">
        <f>E33/C33*100</f>
        <v>#DIV/0!</v>
      </c>
      <c r="H33" s="839"/>
      <c r="I33" s="839"/>
      <c r="J33" s="839"/>
      <c r="K33" s="839"/>
      <c r="L33" s="839"/>
      <c r="M33" s="839"/>
      <c r="N33" s="839"/>
      <c r="O33" s="839"/>
      <c r="P33" s="839"/>
      <c r="Q33" s="839"/>
      <c r="R33" s="839"/>
      <c r="S33" s="839"/>
      <c r="T33" s="839"/>
      <c r="U33" s="839"/>
      <c r="V33" s="839"/>
      <c r="W33" s="839"/>
      <c r="X33" s="839"/>
      <c r="Y33" s="839"/>
      <c r="Z33" s="839"/>
      <c r="AA33" s="839"/>
      <c r="AB33" s="839"/>
      <c r="AC33" s="839"/>
      <c r="AD33" s="839"/>
      <c r="AE33" s="839"/>
      <c r="AF33" s="47"/>
      <c r="AG33" s="723"/>
    </row>
    <row r="34" spans="1:33" ht="18.75" x14ac:dyDescent="0.3">
      <c r="A34" s="13" t="s">
        <v>33</v>
      </c>
      <c r="B34" s="842">
        <f>H34+J34+L34+N34+P34+R34+T34+V34+X34+Z34+AB34+AD34</f>
        <v>1456</v>
      </c>
      <c r="C34" s="842">
        <f>H34</f>
        <v>0</v>
      </c>
      <c r="D34" s="842"/>
      <c r="E34" s="842">
        <f>I34</f>
        <v>0</v>
      </c>
      <c r="F34" s="47">
        <f>D34/B34*100</f>
        <v>0</v>
      </c>
      <c r="G34" s="47" t="e">
        <f>E34/C34*100</f>
        <v>#DIV/0!</v>
      </c>
      <c r="H34" s="839">
        <v>0</v>
      </c>
      <c r="I34" s="839"/>
      <c r="J34" s="839">
        <v>0</v>
      </c>
      <c r="K34" s="839"/>
      <c r="L34" s="839">
        <v>0</v>
      </c>
      <c r="M34" s="839"/>
      <c r="N34" s="839">
        <v>0</v>
      </c>
      <c r="O34" s="839"/>
      <c r="P34" s="839">
        <v>0</v>
      </c>
      <c r="Q34" s="839"/>
      <c r="R34" s="839">
        <v>0</v>
      </c>
      <c r="S34" s="839"/>
      <c r="T34" s="839">
        <v>0</v>
      </c>
      <c r="U34" s="839"/>
      <c r="V34" s="839">
        <v>0</v>
      </c>
      <c r="W34" s="839"/>
      <c r="X34" s="839">
        <v>1456</v>
      </c>
      <c r="Y34" s="839"/>
      <c r="Z34" s="839">
        <v>0</v>
      </c>
      <c r="AA34" s="839"/>
      <c r="AB34" s="839">
        <v>0</v>
      </c>
      <c r="AC34" s="839"/>
      <c r="AD34" s="839">
        <v>0</v>
      </c>
      <c r="AE34" s="839"/>
      <c r="AF34" s="47"/>
      <c r="AG34" s="723"/>
    </row>
    <row r="35" spans="1:33" ht="56.25" x14ac:dyDescent="0.3">
      <c r="A35" s="48" t="s">
        <v>90</v>
      </c>
      <c r="B35" s="839"/>
      <c r="C35" s="842"/>
      <c r="D35" s="842"/>
      <c r="E35" s="842"/>
      <c r="F35" s="32"/>
      <c r="G35" s="47"/>
      <c r="H35" s="839"/>
      <c r="I35" s="839"/>
      <c r="J35" s="839"/>
      <c r="K35" s="839"/>
      <c r="L35" s="839"/>
      <c r="M35" s="839"/>
      <c r="N35" s="839"/>
      <c r="O35" s="839"/>
      <c r="P35" s="839"/>
      <c r="Q35" s="839"/>
      <c r="R35" s="839"/>
      <c r="S35" s="839"/>
      <c r="T35" s="839"/>
      <c r="U35" s="839"/>
      <c r="V35" s="839"/>
      <c r="W35" s="839"/>
      <c r="X35" s="839"/>
      <c r="Y35" s="839"/>
      <c r="Z35" s="839"/>
      <c r="AA35" s="839"/>
      <c r="AB35" s="839"/>
      <c r="AC35" s="839"/>
      <c r="AD35" s="839"/>
      <c r="AE35" s="839"/>
      <c r="AF35" s="47"/>
      <c r="AG35" s="723"/>
    </row>
    <row r="36" spans="1:33" ht="18.75" x14ac:dyDescent="0.3">
      <c r="A36" s="13" t="s">
        <v>31</v>
      </c>
      <c r="B36" s="847">
        <f>B37</f>
        <v>155026.43299999999</v>
      </c>
      <c r="C36" s="842">
        <f>C37</f>
        <v>61034.83</v>
      </c>
      <c r="D36" s="842">
        <f>C36</f>
        <v>61034.83</v>
      </c>
      <c r="E36" s="842">
        <f>E37</f>
        <v>56985.290999999997</v>
      </c>
      <c r="F36" s="32">
        <f>E36/B36*100</f>
        <v>36.758435253425461</v>
      </c>
      <c r="G36" s="47">
        <f>E36/C36*100</f>
        <v>93.365199837535386</v>
      </c>
      <c r="H36" s="839">
        <f>H37</f>
        <v>9322.1929999999993</v>
      </c>
      <c r="I36" s="839">
        <f t="shared" ref="I36:AE36" si="10">I37</f>
        <v>8417.2170000000006</v>
      </c>
      <c r="J36" s="839">
        <f t="shared" si="10"/>
        <v>15651.73</v>
      </c>
      <c r="K36" s="839">
        <f t="shared" si="10"/>
        <v>15007.847</v>
      </c>
      <c r="L36" s="839">
        <f t="shared" si="10"/>
        <v>10534.123</v>
      </c>
      <c r="M36" s="839">
        <f t="shared" si="10"/>
        <v>9181.9920000000002</v>
      </c>
      <c r="N36" s="839">
        <f t="shared" si="10"/>
        <v>14923.394</v>
      </c>
      <c r="O36" s="839">
        <f t="shared" si="10"/>
        <v>13393.883</v>
      </c>
      <c r="P36" s="839">
        <f t="shared" si="10"/>
        <v>10603.39</v>
      </c>
      <c r="Q36" s="839">
        <f t="shared" si="10"/>
        <v>10984.352000000001</v>
      </c>
      <c r="R36" s="839">
        <f>R37</f>
        <v>15010.114</v>
      </c>
      <c r="S36" s="839">
        <f t="shared" si="10"/>
        <v>11750.573</v>
      </c>
      <c r="T36" s="839">
        <f t="shared" si="10"/>
        <v>18656.772000000001</v>
      </c>
      <c r="U36" s="839">
        <f t="shared" si="10"/>
        <v>0</v>
      </c>
      <c r="V36" s="839">
        <f t="shared" si="10"/>
        <v>12519.42</v>
      </c>
      <c r="W36" s="839">
        <f t="shared" si="10"/>
        <v>0</v>
      </c>
      <c r="X36" s="839">
        <f t="shared" si="10"/>
        <v>9121.1129999999994</v>
      </c>
      <c r="Y36" s="839">
        <f t="shared" si="10"/>
        <v>0</v>
      </c>
      <c r="Z36" s="839">
        <f t="shared" si="10"/>
        <v>13074.12</v>
      </c>
      <c r="AA36" s="839">
        <f t="shared" si="10"/>
        <v>0</v>
      </c>
      <c r="AB36" s="839">
        <f t="shared" si="10"/>
        <v>11958.134</v>
      </c>
      <c r="AC36" s="839">
        <f t="shared" si="10"/>
        <v>0</v>
      </c>
      <c r="AD36" s="839">
        <f t="shared" si="10"/>
        <v>13651.93</v>
      </c>
      <c r="AE36" s="839">
        <f t="shared" si="10"/>
        <v>0</v>
      </c>
      <c r="AF36" s="47"/>
      <c r="AG36" s="723"/>
    </row>
    <row r="37" spans="1:33" ht="246" customHeight="1" x14ac:dyDescent="0.3">
      <c r="A37" s="13" t="s">
        <v>33</v>
      </c>
      <c r="B37" s="842">
        <f>H37+J37+L37+N37+P37+R37+T37+V37+X37+Z37+AB37+AD37</f>
        <v>155026.43299999999</v>
      </c>
      <c r="C37" s="842">
        <f>H37+J37+L37+N37+P37</f>
        <v>61034.83</v>
      </c>
      <c r="D37" s="842">
        <f>C37</f>
        <v>61034.83</v>
      </c>
      <c r="E37" s="842">
        <f>I37+K37+M37+O37+Q37</f>
        <v>56985.290999999997</v>
      </c>
      <c r="F37" s="32">
        <f>D37/B37*100</f>
        <v>39.370595593849472</v>
      </c>
      <c r="G37" s="47">
        <f>E37/C37*100</f>
        <v>93.365199837535386</v>
      </c>
      <c r="H37" s="960">
        <v>9322.1929999999993</v>
      </c>
      <c r="I37" s="960">
        <v>8417.2170000000006</v>
      </c>
      <c r="J37" s="960">
        <v>15651.73</v>
      </c>
      <c r="K37" s="960">
        <v>15007.847</v>
      </c>
      <c r="L37" s="960">
        <v>10534.123</v>
      </c>
      <c r="M37" s="960">
        <v>9181.9920000000002</v>
      </c>
      <c r="N37" s="960">
        <v>14923.394</v>
      </c>
      <c r="O37" s="960">
        <v>13393.883</v>
      </c>
      <c r="P37" s="960">
        <v>10603.39</v>
      </c>
      <c r="Q37" s="960">
        <v>10984.352000000001</v>
      </c>
      <c r="R37" s="960">
        <v>15010.114</v>
      </c>
      <c r="S37" s="960">
        <v>11750.573</v>
      </c>
      <c r="T37" s="960">
        <v>18656.772000000001</v>
      </c>
      <c r="U37" s="960">
        <v>0</v>
      </c>
      <c r="V37" s="960">
        <v>12519.42</v>
      </c>
      <c r="W37" s="960">
        <v>0</v>
      </c>
      <c r="X37" s="960">
        <v>9121.1129999999994</v>
      </c>
      <c r="Y37" s="960">
        <v>0</v>
      </c>
      <c r="Z37" s="960">
        <v>13074.12</v>
      </c>
      <c r="AA37" s="960">
        <v>0</v>
      </c>
      <c r="AB37" s="960">
        <v>11958.134</v>
      </c>
      <c r="AC37" s="960">
        <v>0</v>
      </c>
      <c r="AD37" s="960">
        <v>13651.93</v>
      </c>
      <c r="AE37" s="960">
        <v>0</v>
      </c>
      <c r="AF37" s="961" t="s">
        <v>620</v>
      </c>
      <c r="AG37" s="723"/>
    </row>
    <row r="38" spans="1:33" ht="112.5" x14ac:dyDescent="0.3">
      <c r="A38" s="48" t="s">
        <v>91</v>
      </c>
      <c r="B38" s="839"/>
      <c r="C38" s="842"/>
      <c r="D38" s="842"/>
      <c r="E38" s="842"/>
      <c r="F38" s="32"/>
      <c r="G38" s="47"/>
      <c r="H38" s="839"/>
      <c r="I38" s="839"/>
      <c r="J38" s="839"/>
      <c r="K38" s="839"/>
      <c r="L38" s="839"/>
      <c r="M38" s="839"/>
      <c r="N38" s="839"/>
      <c r="O38" s="839"/>
      <c r="P38" s="839"/>
      <c r="Q38" s="839"/>
      <c r="R38" s="839"/>
      <c r="S38" s="839"/>
      <c r="T38" s="839"/>
      <c r="U38" s="839"/>
      <c r="V38" s="839"/>
      <c r="W38" s="839"/>
      <c r="X38" s="839"/>
      <c r="Y38" s="839"/>
      <c r="Z38" s="839"/>
      <c r="AA38" s="839"/>
      <c r="AB38" s="839"/>
      <c r="AC38" s="839"/>
      <c r="AD38" s="839"/>
      <c r="AE38" s="839"/>
      <c r="AF38" s="964"/>
      <c r="AG38" s="723"/>
    </row>
    <row r="39" spans="1:33" ht="18.75" x14ac:dyDescent="0.3">
      <c r="A39" s="13" t="s">
        <v>31</v>
      </c>
      <c r="B39" s="847">
        <f>B40</f>
        <v>27895.678000000004</v>
      </c>
      <c r="C39" s="842">
        <f>C40</f>
        <v>13711.3</v>
      </c>
      <c r="D39" s="842">
        <f>C39</f>
        <v>13711.3</v>
      </c>
      <c r="E39" s="842">
        <f>E40</f>
        <v>11722.986000000001</v>
      </c>
      <c r="F39" s="32">
        <f>E39/B39*100</f>
        <v>42.024380981168477</v>
      </c>
      <c r="G39" s="47">
        <f>E39/C39*100</f>
        <v>85.498720033840712</v>
      </c>
      <c r="H39" s="839">
        <f>H40</f>
        <v>1526.4590000000001</v>
      </c>
      <c r="I39" s="839">
        <f t="shared" ref="I39:AE39" si="11">I40</f>
        <v>528.29300000000001</v>
      </c>
      <c r="J39" s="839">
        <f t="shared" si="11"/>
        <v>2274.777</v>
      </c>
      <c r="K39" s="839">
        <f t="shared" si="11"/>
        <v>2456.3969999999999</v>
      </c>
      <c r="L39" s="839">
        <f t="shared" si="11"/>
        <v>2456.7040000000002</v>
      </c>
      <c r="M39" s="839">
        <f t="shared" si="11"/>
        <v>1759.723</v>
      </c>
      <c r="N39" s="839">
        <f t="shared" si="11"/>
        <v>2377.7020000000002</v>
      </c>
      <c r="O39" s="839">
        <f t="shared" si="11"/>
        <v>2145.373</v>
      </c>
      <c r="P39" s="839">
        <f t="shared" si="11"/>
        <v>2705.114</v>
      </c>
      <c r="Q39" s="839">
        <f t="shared" si="11"/>
        <v>2228.4760000000001</v>
      </c>
      <c r="R39" s="839">
        <f t="shared" si="11"/>
        <v>2370.5439999999999</v>
      </c>
      <c r="S39" s="839">
        <f t="shared" si="11"/>
        <v>2604.7240000000002</v>
      </c>
      <c r="T39" s="839">
        <f t="shared" si="11"/>
        <v>2333.4450000000002</v>
      </c>
      <c r="U39" s="839">
        <f t="shared" si="11"/>
        <v>0</v>
      </c>
      <c r="V39" s="839">
        <f t="shared" si="11"/>
        <v>2221.2570000000001</v>
      </c>
      <c r="W39" s="839">
        <f t="shared" si="11"/>
        <v>0</v>
      </c>
      <c r="X39" s="839">
        <f t="shared" si="11"/>
        <v>2218.5990000000002</v>
      </c>
      <c r="Y39" s="839">
        <f t="shared" si="11"/>
        <v>0</v>
      </c>
      <c r="Z39" s="839">
        <f t="shared" si="11"/>
        <v>2229.2689999999998</v>
      </c>
      <c r="AA39" s="839">
        <f t="shared" si="11"/>
        <v>0</v>
      </c>
      <c r="AB39" s="839">
        <f t="shared" si="11"/>
        <v>2239.2660000000001</v>
      </c>
      <c r="AC39" s="839">
        <f t="shared" si="11"/>
        <v>0</v>
      </c>
      <c r="AD39" s="839">
        <f t="shared" si="11"/>
        <v>2942.5419999999999</v>
      </c>
      <c r="AE39" s="839">
        <f t="shared" si="11"/>
        <v>0</v>
      </c>
      <c r="AF39" s="964"/>
      <c r="AG39" s="723"/>
    </row>
    <row r="40" spans="1:33" ht="18.75" x14ac:dyDescent="0.3">
      <c r="A40" s="13" t="s">
        <v>33</v>
      </c>
      <c r="B40" s="842">
        <f>H40+J40+L40+N40+P40+R40+T40+V40+X40+Z40+AB40+AD40</f>
        <v>27895.678000000004</v>
      </c>
      <c r="C40" s="842">
        <f>H40+J40+L40+N40+P40+R40</f>
        <v>13711.3</v>
      </c>
      <c r="D40" s="842">
        <f>C40</f>
        <v>13711.3</v>
      </c>
      <c r="E40" s="842">
        <f>I40+K40+M40+O40+Q40+S40</f>
        <v>11722.986000000001</v>
      </c>
      <c r="F40" s="32">
        <f>D40/B40*100</f>
        <v>49.152058609222536</v>
      </c>
      <c r="G40" s="47">
        <f>E40/C40*100</f>
        <v>85.498720033840712</v>
      </c>
      <c r="H40" s="883">
        <v>1526.4590000000001</v>
      </c>
      <c r="I40" s="883">
        <v>528.29300000000001</v>
      </c>
      <c r="J40" s="883">
        <v>2274.777</v>
      </c>
      <c r="K40" s="883">
        <v>2456.3969999999999</v>
      </c>
      <c r="L40" s="883">
        <v>2456.7040000000002</v>
      </c>
      <c r="M40" s="883">
        <v>1759.723</v>
      </c>
      <c r="N40" s="883">
        <v>2377.7020000000002</v>
      </c>
      <c r="O40" s="883">
        <v>2145.373</v>
      </c>
      <c r="P40" s="883">
        <v>2705.114</v>
      </c>
      <c r="Q40" s="883">
        <v>2228.4760000000001</v>
      </c>
      <c r="R40" s="883">
        <v>2370.5439999999999</v>
      </c>
      <c r="S40" s="883">
        <v>2604.7240000000002</v>
      </c>
      <c r="T40" s="883">
        <v>2333.4450000000002</v>
      </c>
      <c r="U40" s="883">
        <v>0</v>
      </c>
      <c r="V40" s="883">
        <v>2221.2570000000001</v>
      </c>
      <c r="W40" s="883">
        <v>0</v>
      </c>
      <c r="X40" s="883">
        <v>2218.5990000000002</v>
      </c>
      <c r="Y40" s="883">
        <v>0</v>
      </c>
      <c r="Z40" s="883">
        <v>2229.2689999999998</v>
      </c>
      <c r="AA40" s="883">
        <v>0</v>
      </c>
      <c r="AB40" s="883">
        <v>2239.2660000000001</v>
      </c>
      <c r="AC40" s="883">
        <v>0</v>
      </c>
      <c r="AD40" s="883">
        <v>2942.5419999999999</v>
      </c>
      <c r="AE40" s="883">
        <v>0</v>
      </c>
      <c r="AF40" s="964"/>
      <c r="AG40" s="723"/>
    </row>
    <row r="41" spans="1:33" ht="18.75" x14ac:dyDescent="0.3">
      <c r="A41" s="56" t="s">
        <v>35</v>
      </c>
      <c r="B41" s="839"/>
      <c r="C41" s="842"/>
      <c r="D41" s="842"/>
      <c r="E41" s="842"/>
      <c r="F41" s="47"/>
      <c r="G41" s="47"/>
      <c r="H41" s="839"/>
      <c r="I41" s="839"/>
      <c r="J41" s="839"/>
      <c r="K41" s="839"/>
      <c r="L41" s="839"/>
      <c r="M41" s="839"/>
      <c r="N41" s="839"/>
      <c r="O41" s="839"/>
      <c r="P41" s="839"/>
      <c r="Q41" s="839"/>
      <c r="R41" s="839"/>
      <c r="S41" s="839"/>
      <c r="T41" s="839"/>
      <c r="U41" s="839"/>
      <c r="V41" s="839"/>
      <c r="W41" s="839"/>
      <c r="X41" s="839"/>
      <c r="Y41" s="839"/>
      <c r="Z41" s="839"/>
      <c r="AA41" s="839"/>
      <c r="AB41" s="839"/>
      <c r="AC41" s="839"/>
      <c r="AD41" s="839"/>
      <c r="AE41" s="839"/>
      <c r="AF41" s="965"/>
      <c r="AG41" s="723"/>
    </row>
    <row r="42" spans="1:33" ht="18.75" x14ac:dyDescent="0.3">
      <c r="A42" s="13" t="s">
        <v>31</v>
      </c>
      <c r="B42" s="839">
        <f>B43</f>
        <v>303206.89600000001</v>
      </c>
      <c r="C42" s="839">
        <f>C43</f>
        <v>140352.899</v>
      </c>
      <c r="D42" s="839">
        <f>D43</f>
        <v>125513.30899999999</v>
      </c>
      <c r="E42" s="839">
        <f>E43</f>
        <v>131888.20199999999</v>
      </c>
      <c r="F42" s="47">
        <f>D42/B42*100</f>
        <v>41.395268595738003</v>
      </c>
      <c r="G42" s="47">
        <f>E42/C42*100</f>
        <v>93.968990266456828</v>
      </c>
      <c r="H42" s="839">
        <f t="shared" ref="H42:AE42" si="12">H43</f>
        <v>21721.720999999998</v>
      </c>
      <c r="I42" s="839">
        <f t="shared" si="12"/>
        <v>17924.219000000001</v>
      </c>
      <c r="J42" s="839">
        <f t="shared" si="12"/>
        <v>30109.53</v>
      </c>
      <c r="K42" s="839">
        <f t="shared" si="12"/>
        <v>29266.189000000002</v>
      </c>
      <c r="L42" s="839">
        <f t="shared" si="12"/>
        <v>23693.165000000001</v>
      </c>
      <c r="M42" s="839">
        <f t="shared" si="12"/>
        <v>21758.616999999998</v>
      </c>
      <c r="N42" s="839">
        <f t="shared" si="12"/>
        <v>27926.390000000003</v>
      </c>
      <c r="O42" s="839">
        <f t="shared" si="12"/>
        <v>25990.671999999999</v>
      </c>
      <c r="P42" s="839">
        <f t="shared" si="12"/>
        <v>23995.38</v>
      </c>
      <c r="Q42" s="839">
        <f t="shared" si="12"/>
        <v>23249.977999999999</v>
      </c>
      <c r="R42" s="839">
        <f t="shared" si="12"/>
        <v>27916.826999999997</v>
      </c>
      <c r="S42" s="839">
        <f t="shared" si="12"/>
        <v>25449.1</v>
      </c>
      <c r="T42" s="839">
        <f t="shared" si="12"/>
        <v>31896.144</v>
      </c>
      <c r="U42" s="839">
        <f t="shared" si="12"/>
        <v>0</v>
      </c>
      <c r="V42" s="839">
        <f t="shared" si="12"/>
        <v>23660.352999999999</v>
      </c>
      <c r="W42" s="839">
        <f t="shared" si="12"/>
        <v>0</v>
      </c>
      <c r="X42" s="839">
        <f t="shared" si="12"/>
        <v>19967.650999999998</v>
      </c>
      <c r="Y42" s="839">
        <f t="shared" si="12"/>
        <v>0</v>
      </c>
      <c r="Z42" s="839">
        <f t="shared" si="12"/>
        <v>23331.582999999999</v>
      </c>
      <c r="AA42" s="839">
        <f t="shared" si="12"/>
        <v>0</v>
      </c>
      <c r="AB42" s="839">
        <f t="shared" si="12"/>
        <v>21917.88</v>
      </c>
      <c r="AC42" s="839">
        <f t="shared" si="12"/>
        <v>0</v>
      </c>
      <c r="AD42" s="839">
        <f t="shared" si="12"/>
        <v>27070.272000000001</v>
      </c>
      <c r="AE42" s="839">
        <f t="shared" si="12"/>
        <v>0</v>
      </c>
      <c r="AF42" s="819"/>
      <c r="AG42" s="723"/>
    </row>
    <row r="43" spans="1:33" ht="18.75" x14ac:dyDescent="0.3">
      <c r="A43" s="13" t="s">
        <v>33</v>
      </c>
      <c r="B43" s="839">
        <f>B22</f>
        <v>303206.89600000001</v>
      </c>
      <c r="C43" s="839">
        <f>C22</f>
        <v>140352.899</v>
      </c>
      <c r="D43" s="839">
        <f>D22</f>
        <v>125513.30899999999</v>
      </c>
      <c r="E43" s="839">
        <f>E22</f>
        <v>131888.20199999999</v>
      </c>
      <c r="F43" s="47">
        <f>D43/B43*100</f>
        <v>41.395268595738003</v>
      </c>
      <c r="G43" s="47">
        <f>E43/C43*100</f>
        <v>93.968990266456828</v>
      </c>
      <c r="H43" s="839">
        <f>H22</f>
        <v>21721.720999999998</v>
      </c>
      <c r="I43" s="839">
        <f>I22</f>
        <v>17924.219000000001</v>
      </c>
      <c r="J43" s="839">
        <f t="shared" ref="J43:AE43" si="13">J22</f>
        <v>30109.53</v>
      </c>
      <c r="K43" s="839">
        <f t="shared" si="13"/>
        <v>29266.189000000002</v>
      </c>
      <c r="L43" s="839">
        <f t="shared" si="13"/>
        <v>23693.165000000001</v>
      </c>
      <c r="M43" s="839">
        <f t="shared" si="13"/>
        <v>21758.616999999998</v>
      </c>
      <c r="N43" s="839">
        <f t="shared" si="13"/>
        <v>27926.390000000003</v>
      </c>
      <c r="O43" s="839">
        <f t="shared" si="13"/>
        <v>25990.671999999999</v>
      </c>
      <c r="P43" s="839">
        <f t="shared" si="13"/>
        <v>23995.38</v>
      </c>
      <c r="Q43" s="839">
        <f t="shared" si="13"/>
        <v>23249.977999999999</v>
      </c>
      <c r="R43" s="839">
        <f t="shared" si="13"/>
        <v>27916.826999999997</v>
      </c>
      <c r="S43" s="839">
        <f t="shared" si="13"/>
        <v>25449.1</v>
      </c>
      <c r="T43" s="839">
        <f t="shared" si="13"/>
        <v>31896.144</v>
      </c>
      <c r="U43" s="839">
        <f t="shared" si="13"/>
        <v>0</v>
      </c>
      <c r="V43" s="839">
        <f t="shared" si="13"/>
        <v>23660.352999999999</v>
      </c>
      <c r="W43" s="839">
        <f t="shared" si="13"/>
        <v>0</v>
      </c>
      <c r="X43" s="839">
        <f t="shared" si="13"/>
        <v>19967.650999999998</v>
      </c>
      <c r="Y43" s="839">
        <f t="shared" si="13"/>
        <v>0</v>
      </c>
      <c r="Z43" s="839">
        <f t="shared" si="13"/>
        <v>23331.582999999999</v>
      </c>
      <c r="AA43" s="839">
        <f t="shared" si="13"/>
        <v>0</v>
      </c>
      <c r="AB43" s="839">
        <f t="shared" si="13"/>
        <v>21917.88</v>
      </c>
      <c r="AC43" s="839">
        <f t="shared" si="13"/>
        <v>0</v>
      </c>
      <c r="AD43" s="839">
        <f t="shared" si="13"/>
        <v>27070.272000000001</v>
      </c>
      <c r="AE43" s="839">
        <f t="shared" si="13"/>
        <v>0</v>
      </c>
      <c r="AF43" s="818"/>
      <c r="AG43" s="723"/>
    </row>
    <row r="44" spans="1:33" ht="37.5" x14ac:dyDescent="0.3">
      <c r="A44" s="28" t="s">
        <v>73</v>
      </c>
      <c r="B44" s="520"/>
      <c r="C44" s="520"/>
      <c r="D44" s="520"/>
      <c r="E44" s="520"/>
      <c r="F44" s="29"/>
      <c r="G44" s="29"/>
      <c r="H44" s="111"/>
      <c r="I44" s="111"/>
      <c r="J44" s="111"/>
      <c r="K44" s="111"/>
      <c r="L44" s="111"/>
      <c r="M44" s="111"/>
      <c r="N44" s="111"/>
      <c r="O44" s="111"/>
      <c r="P44" s="111"/>
      <c r="Q44" s="111"/>
      <c r="R44" s="111"/>
      <c r="S44" s="111"/>
      <c r="T44" s="111"/>
      <c r="U44" s="111"/>
      <c r="V44" s="111"/>
      <c r="W44" s="111"/>
      <c r="X44" s="111"/>
      <c r="Y44" s="111"/>
      <c r="Z44" s="111"/>
      <c r="AA44" s="111"/>
      <c r="AB44" s="111"/>
      <c r="AC44" s="111"/>
      <c r="AD44" s="111"/>
      <c r="AE44" s="111"/>
      <c r="AF44" s="817"/>
      <c r="AG44" s="723"/>
    </row>
    <row r="45" spans="1:33" ht="18.75" x14ac:dyDescent="0.3">
      <c r="A45" s="8" t="s">
        <v>31</v>
      </c>
      <c r="B45" s="520">
        <f>B46</f>
        <v>303206.89600000001</v>
      </c>
      <c r="C45" s="520">
        <f>C46</f>
        <v>140352.899</v>
      </c>
      <c r="D45" s="520">
        <f>D46</f>
        <v>125513.30899999999</v>
      </c>
      <c r="E45" s="520">
        <f>E46</f>
        <v>131888.20199999999</v>
      </c>
      <c r="F45" s="32">
        <f>E45/B45*100</f>
        <v>43.4977580457141</v>
      </c>
      <c r="G45" s="47">
        <f>E45/C45*100</f>
        <v>93.968990266456828</v>
      </c>
      <c r="H45" s="111">
        <f t="shared" ref="H45:AE45" si="14">H46</f>
        <v>21721.720999999998</v>
      </c>
      <c r="I45" s="111">
        <f t="shared" si="14"/>
        <v>17924.219000000001</v>
      </c>
      <c r="J45" s="111">
        <f t="shared" si="14"/>
        <v>30109.53</v>
      </c>
      <c r="K45" s="111">
        <f t="shared" si="14"/>
        <v>29266.189000000002</v>
      </c>
      <c r="L45" s="111">
        <f t="shared" si="14"/>
        <v>23693.165000000001</v>
      </c>
      <c r="M45" s="111">
        <f t="shared" si="14"/>
        <v>21758.616999999998</v>
      </c>
      <c r="N45" s="111">
        <f t="shared" si="14"/>
        <v>27926.390000000003</v>
      </c>
      <c r="O45" s="111">
        <f t="shared" si="14"/>
        <v>25990.671999999999</v>
      </c>
      <c r="P45" s="111">
        <f t="shared" si="14"/>
        <v>23995.38</v>
      </c>
      <c r="Q45" s="111">
        <f t="shared" si="14"/>
        <v>23249.977999999999</v>
      </c>
      <c r="R45" s="111">
        <f t="shared" si="14"/>
        <v>27916.826999999997</v>
      </c>
      <c r="S45" s="111">
        <f t="shared" si="14"/>
        <v>25449.1</v>
      </c>
      <c r="T45" s="111">
        <f t="shared" si="14"/>
        <v>31896.144</v>
      </c>
      <c r="U45" s="111">
        <f t="shared" si="14"/>
        <v>0</v>
      </c>
      <c r="V45" s="111">
        <f t="shared" si="14"/>
        <v>23660.352999999999</v>
      </c>
      <c r="W45" s="111">
        <f t="shared" si="14"/>
        <v>0</v>
      </c>
      <c r="X45" s="111">
        <f t="shared" si="14"/>
        <v>19967.650999999998</v>
      </c>
      <c r="Y45" s="111">
        <f t="shared" si="14"/>
        <v>0</v>
      </c>
      <c r="Z45" s="111">
        <f t="shared" si="14"/>
        <v>23331.582999999999</v>
      </c>
      <c r="AA45" s="111">
        <f t="shared" si="14"/>
        <v>0</v>
      </c>
      <c r="AB45" s="111">
        <f t="shared" si="14"/>
        <v>21917.88</v>
      </c>
      <c r="AC45" s="111">
        <f t="shared" si="14"/>
        <v>0</v>
      </c>
      <c r="AD45" s="111">
        <f t="shared" si="14"/>
        <v>27070.272000000001</v>
      </c>
      <c r="AE45" s="111">
        <f t="shared" si="14"/>
        <v>0</v>
      </c>
      <c r="AF45" s="29"/>
      <c r="AG45" s="723"/>
    </row>
    <row r="46" spans="1:33" ht="18.75" x14ac:dyDescent="0.3">
      <c r="A46" s="13" t="s">
        <v>33</v>
      </c>
      <c r="B46" s="520">
        <f>B43</f>
        <v>303206.89600000001</v>
      </c>
      <c r="C46" s="520">
        <f>C43</f>
        <v>140352.899</v>
      </c>
      <c r="D46" s="520">
        <f>D43</f>
        <v>125513.30899999999</v>
      </c>
      <c r="E46" s="520">
        <f>E43</f>
        <v>131888.20199999999</v>
      </c>
      <c r="F46" s="32">
        <f>E46/B46*100</f>
        <v>43.4977580457141</v>
      </c>
      <c r="G46" s="47">
        <f>E46/C46*100</f>
        <v>93.968990266456828</v>
      </c>
      <c r="H46" s="111">
        <f t="shared" ref="H46:AE46" si="15">H43</f>
        <v>21721.720999999998</v>
      </c>
      <c r="I46" s="111">
        <f>I43</f>
        <v>17924.219000000001</v>
      </c>
      <c r="J46" s="111">
        <f t="shared" si="15"/>
        <v>30109.53</v>
      </c>
      <c r="K46" s="111">
        <f t="shared" si="15"/>
        <v>29266.189000000002</v>
      </c>
      <c r="L46" s="111">
        <f t="shared" si="15"/>
        <v>23693.165000000001</v>
      </c>
      <c r="M46" s="111">
        <f t="shared" si="15"/>
        <v>21758.616999999998</v>
      </c>
      <c r="N46" s="111">
        <f t="shared" si="15"/>
        <v>27926.390000000003</v>
      </c>
      <c r="O46" s="111">
        <f t="shared" si="15"/>
        <v>25990.671999999999</v>
      </c>
      <c r="P46" s="111">
        <f t="shared" si="15"/>
        <v>23995.38</v>
      </c>
      <c r="Q46" s="111">
        <f t="shared" si="15"/>
        <v>23249.977999999999</v>
      </c>
      <c r="R46" s="111">
        <f t="shared" si="15"/>
        <v>27916.826999999997</v>
      </c>
      <c r="S46" s="111">
        <f t="shared" si="15"/>
        <v>25449.1</v>
      </c>
      <c r="T46" s="111">
        <f t="shared" si="15"/>
        <v>31896.144</v>
      </c>
      <c r="U46" s="111">
        <f t="shared" si="15"/>
        <v>0</v>
      </c>
      <c r="V46" s="111">
        <f t="shared" si="15"/>
        <v>23660.352999999999</v>
      </c>
      <c r="W46" s="111">
        <f t="shared" si="15"/>
        <v>0</v>
      </c>
      <c r="X46" s="111">
        <f t="shared" si="15"/>
        <v>19967.650999999998</v>
      </c>
      <c r="Y46" s="111">
        <f t="shared" si="15"/>
        <v>0</v>
      </c>
      <c r="Z46" s="111">
        <f t="shared" si="15"/>
        <v>23331.582999999999</v>
      </c>
      <c r="AA46" s="111">
        <f t="shared" si="15"/>
        <v>0</v>
      </c>
      <c r="AB46" s="111">
        <f t="shared" si="15"/>
        <v>21917.88</v>
      </c>
      <c r="AC46" s="111">
        <f t="shared" si="15"/>
        <v>0</v>
      </c>
      <c r="AD46" s="111">
        <f t="shared" si="15"/>
        <v>27070.272000000001</v>
      </c>
      <c r="AE46" s="111">
        <f t="shared" si="15"/>
        <v>0</v>
      </c>
      <c r="AF46" s="29"/>
      <c r="AG46" s="723"/>
    </row>
    <row r="47" spans="1:33" ht="18.75" x14ac:dyDescent="0.3">
      <c r="A47" s="60" t="s">
        <v>82</v>
      </c>
      <c r="B47" s="520"/>
      <c r="C47" s="520"/>
      <c r="D47" s="520"/>
      <c r="E47" s="520"/>
      <c r="F47" s="29"/>
      <c r="G47" s="29"/>
      <c r="H47" s="111"/>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c r="AF47" s="29"/>
      <c r="AG47" s="723"/>
    </row>
    <row r="48" spans="1:33" ht="18.75" x14ac:dyDescent="0.3">
      <c r="A48" s="52" t="s">
        <v>54</v>
      </c>
      <c r="B48" s="520"/>
      <c r="C48" s="520"/>
      <c r="D48" s="520"/>
      <c r="E48" s="520"/>
      <c r="F48" s="29"/>
      <c r="G48" s="29"/>
      <c r="H48" s="111"/>
      <c r="I48" s="111"/>
      <c r="J48" s="111"/>
      <c r="K48" s="111"/>
      <c r="L48" s="111"/>
      <c r="M48" s="111"/>
      <c r="N48" s="111"/>
      <c r="O48" s="111"/>
      <c r="P48" s="111"/>
      <c r="Q48" s="111"/>
      <c r="R48" s="111"/>
      <c r="S48" s="111"/>
      <c r="T48" s="111"/>
      <c r="U48" s="111"/>
      <c r="V48" s="111"/>
      <c r="W48" s="111"/>
      <c r="X48" s="111"/>
      <c r="Y48" s="111"/>
      <c r="Z48" s="111"/>
      <c r="AA48" s="111"/>
      <c r="AB48" s="111"/>
      <c r="AC48" s="111"/>
      <c r="AD48" s="111"/>
      <c r="AE48" s="111"/>
      <c r="AF48" s="29"/>
      <c r="AG48" s="723"/>
    </row>
    <row r="49" spans="1:33" ht="75" x14ac:dyDescent="0.3">
      <c r="A49" s="68" t="s">
        <v>83</v>
      </c>
      <c r="B49" s="843"/>
      <c r="C49" s="520"/>
      <c r="D49" s="520"/>
      <c r="E49" s="520"/>
      <c r="F49" s="29"/>
      <c r="G49" s="29"/>
      <c r="H49" s="111"/>
      <c r="I49" s="111"/>
      <c r="J49" s="111"/>
      <c r="K49" s="111"/>
      <c r="L49" s="111"/>
      <c r="M49" s="111"/>
      <c r="N49" s="111"/>
      <c r="O49" s="111"/>
      <c r="P49" s="111"/>
      <c r="Q49" s="111"/>
      <c r="R49" s="111"/>
      <c r="S49" s="111"/>
      <c r="T49" s="111"/>
      <c r="U49" s="111"/>
      <c r="V49" s="111"/>
      <c r="W49" s="111"/>
      <c r="X49" s="111"/>
      <c r="Y49" s="111"/>
      <c r="Z49" s="111"/>
      <c r="AA49" s="111"/>
      <c r="AB49" s="111"/>
      <c r="AC49" s="111"/>
      <c r="AD49" s="111"/>
      <c r="AE49" s="111"/>
      <c r="AF49" s="29"/>
      <c r="AG49" s="723"/>
    </row>
    <row r="50" spans="1:33" ht="18.75" x14ac:dyDescent="0.3">
      <c r="A50" s="18" t="s">
        <v>31</v>
      </c>
      <c r="B50" s="520">
        <f>B51</f>
        <v>80701.989000000001</v>
      </c>
      <c r="C50" s="520">
        <f>C51</f>
        <v>5658.49</v>
      </c>
      <c r="D50" s="520">
        <f>D51</f>
        <v>5658.49</v>
      </c>
      <c r="E50" s="520">
        <f>E51</f>
        <v>5658.49</v>
      </c>
      <c r="F50" s="32">
        <f>E50/B50*100</f>
        <v>7.0115867900108375</v>
      </c>
      <c r="G50" s="47">
        <f>E50/C50*100</f>
        <v>100</v>
      </c>
      <c r="H50" s="111">
        <f>H51</f>
        <v>0</v>
      </c>
      <c r="I50" s="111">
        <f t="shared" ref="I50:AE50" si="16">I51</f>
        <v>0</v>
      </c>
      <c r="J50" s="111">
        <f t="shared" si="16"/>
        <v>5532.5</v>
      </c>
      <c r="K50" s="111">
        <f t="shared" si="16"/>
        <v>5532.5</v>
      </c>
      <c r="L50" s="111">
        <f t="shared" si="16"/>
        <v>125.99</v>
      </c>
      <c r="M50" s="111">
        <f t="shared" si="16"/>
        <v>125.99</v>
      </c>
      <c r="N50" s="111">
        <f t="shared" si="16"/>
        <v>0</v>
      </c>
      <c r="O50" s="111">
        <f t="shared" si="16"/>
        <v>0</v>
      </c>
      <c r="P50" s="111">
        <f t="shared" si="16"/>
        <v>0</v>
      </c>
      <c r="Q50" s="111">
        <f t="shared" si="16"/>
        <v>0</v>
      </c>
      <c r="R50" s="111">
        <f t="shared" si="16"/>
        <v>0</v>
      </c>
      <c r="S50" s="111">
        <f t="shared" si="16"/>
        <v>0</v>
      </c>
      <c r="T50" s="111">
        <f t="shared" si="16"/>
        <v>15000</v>
      </c>
      <c r="U50" s="111">
        <f t="shared" si="16"/>
        <v>0</v>
      </c>
      <c r="V50" s="111">
        <f t="shared" si="16"/>
        <v>0</v>
      </c>
      <c r="W50" s="111">
        <f t="shared" si="16"/>
        <v>0</v>
      </c>
      <c r="X50" s="111">
        <f t="shared" si="16"/>
        <v>0</v>
      </c>
      <c r="Y50" s="111">
        <f t="shared" si="16"/>
        <v>0</v>
      </c>
      <c r="Z50" s="111">
        <f t="shared" si="16"/>
        <v>15293.1</v>
      </c>
      <c r="AA50" s="111">
        <f t="shared" si="16"/>
        <v>0</v>
      </c>
      <c r="AB50" s="111">
        <f t="shared" si="16"/>
        <v>6959.0209999999997</v>
      </c>
      <c r="AC50" s="111">
        <f t="shared" si="16"/>
        <v>0</v>
      </c>
      <c r="AD50" s="111">
        <f t="shared" si="16"/>
        <v>37791.377999999997</v>
      </c>
      <c r="AE50" s="111">
        <f t="shared" si="16"/>
        <v>0</v>
      </c>
      <c r="AF50" s="29"/>
      <c r="AG50" s="723"/>
    </row>
    <row r="51" spans="1:33" s="46" customFormat="1" ht="338.25" customHeight="1" x14ac:dyDescent="0.3">
      <c r="A51" s="765" t="s">
        <v>33</v>
      </c>
      <c r="B51" s="839">
        <f>H51+J51+L51+N51+P51+R51+T51+V51+X51+Z51+AB51+AD51</f>
        <v>80701.989000000001</v>
      </c>
      <c r="C51" s="842">
        <f>H51+J51+L51+N51+P51+R51</f>
        <v>5658.49</v>
      </c>
      <c r="D51" s="842">
        <f>C51</f>
        <v>5658.49</v>
      </c>
      <c r="E51" s="842">
        <f>I51+K51+M51+O51+Q51+S51</f>
        <v>5658.49</v>
      </c>
      <c r="F51" s="32">
        <f>E51/B51*100</f>
        <v>7.0115867900108375</v>
      </c>
      <c r="G51" s="47">
        <f>E51/C51*100</f>
        <v>100</v>
      </c>
      <c r="H51" s="839">
        <v>0</v>
      </c>
      <c r="I51" s="111">
        <v>0</v>
      </c>
      <c r="J51" s="111">
        <v>5532.5</v>
      </c>
      <c r="K51" s="111">
        <v>5532.5</v>
      </c>
      <c r="L51" s="111">
        <v>125.99</v>
      </c>
      <c r="M51" s="111">
        <v>125.99</v>
      </c>
      <c r="N51" s="111">
        <v>0</v>
      </c>
      <c r="O51" s="111">
        <v>0</v>
      </c>
      <c r="P51" s="111">
        <v>0</v>
      </c>
      <c r="Q51" s="111">
        <v>0</v>
      </c>
      <c r="R51" s="111">
        <v>0</v>
      </c>
      <c r="S51" s="111">
        <v>0</v>
      </c>
      <c r="T51" s="111">
        <v>15000</v>
      </c>
      <c r="U51" s="111">
        <v>0</v>
      </c>
      <c r="V51" s="111">
        <v>0</v>
      </c>
      <c r="W51" s="111">
        <v>0</v>
      </c>
      <c r="X51" s="111">
        <v>0</v>
      </c>
      <c r="Y51" s="111">
        <v>0</v>
      </c>
      <c r="Z51" s="840">
        <v>15293.1</v>
      </c>
      <c r="AA51" s="840">
        <v>0</v>
      </c>
      <c r="AB51" s="840">
        <v>6959.0209999999997</v>
      </c>
      <c r="AC51" s="840">
        <v>0</v>
      </c>
      <c r="AD51" s="840">
        <v>37791.377999999997</v>
      </c>
      <c r="AE51" s="840">
        <v>0</v>
      </c>
      <c r="AF51" s="961" t="s">
        <v>619</v>
      </c>
      <c r="AG51" s="725"/>
    </row>
    <row r="52" spans="1:33" ht="18.75" x14ac:dyDescent="0.3">
      <c r="A52" s="813" t="s">
        <v>62</v>
      </c>
      <c r="B52" s="520"/>
      <c r="C52" s="520"/>
      <c r="D52" s="520"/>
      <c r="E52" s="520"/>
      <c r="F52" s="29"/>
      <c r="G52" s="29"/>
      <c r="H52" s="111"/>
      <c r="I52" s="839"/>
      <c r="J52" s="839"/>
      <c r="K52" s="839"/>
      <c r="L52" s="839"/>
      <c r="M52" s="839"/>
      <c r="N52" s="839"/>
      <c r="O52" s="111"/>
      <c r="P52" s="111"/>
      <c r="Q52" s="111"/>
      <c r="R52" s="111"/>
      <c r="S52" s="111"/>
      <c r="T52" s="111"/>
      <c r="U52" s="111"/>
      <c r="V52" s="111"/>
      <c r="W52" s="111"/>
      <c r="X52" s="111"/>
      <c r="Y52" s="111"/>
      <c r="Z52" s="111"/>
      <c r="AA52" s="111"/>
      <c r="AB52" s="111"/>
      <c r="AC52" s="111"/>
      <c r="AD52" s="111"/>
      <c r="AE52" s="111"/>
      <c r="AF52" s="962"/>
      <c r="AG52" s="723"/>
    </row>
    <row r="53" spans="1:33" ht="18.75" x14ac:dyDescent="0.3">
      <c r="A53" s="19" t="s">
        <v>31</v>
      </c>
      <c r="B53" s="111">
        <f>B54</f>
        <v>80701.989000000001</v>
      </c>
      <c r="C53" s="111">
        <f>C54</f>
        <v>5658.49</v>
      </c>
      <c r="D53" s="111">
        <f>D54</f>
        <v>5658.49</v>
      </c>
      <c r="E53" s="111">
        <f>E54</f>
        <v>5658.49</v>
      </c>
      <c r="F53" s="32">
        <f>E53/B53*100</f>
        <v>7.0115867900108375</v>
      </c>
      <c r="G53" s="47">
        <f>E53/C53*100</f>
        <v>100</v>
      </c>
      <c r="H53" s="111">
        <f>H54</f>
        <v>0</v>
      </c>
      <c r="I53" s="111">
        <f t="shared" ref="I53:AE53" si="17">I54</f>
        <v>0</v>
      </c>
      <c r="J53" s="111">
        <f t="shared" si="17"/>
        <v>0</v>
      </c>
      <c r="K53" s="111">
        <f t="shared" si="17"/>
        <v>0</v>
      </c>
      <c r="L53" s="111">
        <f t="shared" si="17"/>
        <v>0</v>
      </c>
      <c r="M53" s="111">
        <f t="shared" si="17"/>
        <v>0</v>
      </c>
      <c r="N53" s="111">
        <f t="shared" si="17"/>
        <v>0</v>
      </c>
      <c r="O53" s="111">
        <f t="shared" si="17"/>
        <v>0</v>
      </c>
      <c r="P53" s="111">
        <f t="shared" si="17"/>
        <v>0</v>
      </c>
      <c r="Q53" s="111">
        <f t="shared" si="17"/>
        <v>0</v>
      </c>
      <c r="R53" s="111">
        <f t="shared" si="17"/>
        <v>0</v>
      </c>
      <c r="S53" s="111">
        <f t="shared" si="17"/>
        <v>0</v>
      </c>
      <c r="T53" s="111">
        <f t="shared" si="17"/>
        <v>0</v>
      </c>
      <c r="U53" s="111">
        <f t="shared" si="17"/>
        <v>0</v>
      </c>
      <c r="V53" s="111">
        <f t="shared" si="17"/>
        <v>0</v>
      </c>
      <c r="W53" s="111">
        <f t="shared" si="17"/>
        <v>0</v>
      </c>
      <c r="X53" s="111">
        <f t="shared" si="17"/>
        <v>0</v>
      </c>
      <c r="Y53" s="111">
        <f t="shared" si="17"/>
        <v>0</v>
      </c>
      <c r="Z53" s="111">
        <f t="shared" si="17"/>
        <v>10381.9</v>
      </c>
      <c r="AA53" s="111">
        <f t="shared" si="17"/>
        <v>0</v>
      </c>
      <c r="AB53" s="111">
        <f t="shared" si="17"/>
        <v>0</v>
      </c>
      <c r="AC53" s="111">
        <f t="shared" si="17"/>
        <v>0</v>
      </c>
      <c r="AD53" s="111">
        <f t="shared" si="17"/>
        <v>3850.2</v>
      </c>
      <c r="AE53" s="111">
        <f t="shared" si="17"/>
        <v>0</v>
      </c>
      <c r="AF53" s="962"/>
      <c r="AG53" s="723"/>
    </row>
    <row r="54" spans="1:33" ht="18.75" x14ac:dyDescent="0.3">
      <c r="A54" s="15" t="s">
        <v>33</v>
      </c>
      <c r="B54" s="111">
        <f>B51</f>
        <v>80701.989000000001</v>
      </c>
      <c r="C54" s="111">
        <f>C51</f>
        <v>5658.49</v>
      </c>
      <c r="D54" s="111">
        <f>D51</f>
        <v>5658.49</v>
      </c>
      <c r="E54" s="111">
        <f>E51</f>
        <v>5658.49</v>
      </c>
      <c r="F54" s="32">
        <f>E54/B54*100</f>
        <v>7.0115867900108375</v>
      </c>
      <c r="G54" s="47">
        <f>E54/C54*100</f>
        <v>100</v>
      </c>
      <c r="H54" s="841">
        <v>0</v>
      </c>
      <c r="I54" s="841">
        <v>0</v>
      </c>
      <c r="J54" s="841">
        <v>0</v>
      </c>
      <c r="K54" s="841">
        <v>0</v>
      </c>
      <c r="L54" s="841">
        <v>0</v>
      </c>
      <c r="M54" s="841">
        <v>0</v>
      </c>
      <c r="N54" s="841">
        <v>0</v>
      </c>
      <c r="O54" s="841">
        <v>0</v>
      </c>
      <c r="P54" s="841">
        <v>0</v>
      </c>
      <c r="Q54" s="841">
        <v>0</v>
      </c>
      <c r="R54" s="841">
        <v>0</v>
      </c>
      <c r="S54" s="841">
        <v>0</v>
      </c>
      <c r="T54" s="841">
        <v>0</v>
      </c>
      <c r="U54" s="841">
        <v>0</v>
      </c>
      <c r="V54" s="841">
        <v>0</v>
      </c>
      <c r="W54" s="841">
        <v>0</v>
      </c>
      <c r="X54" s="841">
        <v>0</v>
      </c>
      <c r="Y54" s="841">
        <v>0</v>
      </c>
      <c r="Z54" s="841">
        <v>10381.9</v>
      </c>
      <c r="AA54" s="841">
        <v>0</v>
      </c>
      <c r="AB54" s="841">
        <v>0</v>
      </c>
      <c r="AC54" s="841">
        <v>0</v>
      </c>
      <c r="AD54" s="841">
        <v>3850.2</v>
      </c>
      <c r="AE54" s="841">
        <v>0</v>
      </c>
      <c r="AF54" s="962"/>
      <c r="AG54" s="723"/>
    </row>
    <row r="55" spans="1:33" ht="37.5" x14ac:dyDescent="0.3">
      <c r="A55" s="28" t="s">
        <v>76</v>
      </c>
      <c r="B55" s="111"/>
      <c r="C55" s="111"/>
      <c r="D55" s="111"/>
      <c r="E55" s="111"/>
      <c r="F55" s="29"/>
      <c r="G55" s="29"/>
      <c r="H55" s="111"/>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c r="AF55" s="963"/>
      <c r="AG55" s="723"/>
    </row>
    <row r="56" spans="1:33" ht="18.75" x14ac:dyDescent="0.3">
      <c r="A56" s="8" t="s">
        <v>31</v>
      </c>
      <c r="B56" s="111">
        <f>B57</f>
        <v>80701.989000000001</v>
      </c>
      <c r="C56" s="111">
        <f>C57</f>
        <v>5658.49</v>
      </c>
      <c r="D56" s="111">
        <f>D57</f>
        <v>5658.49</v>
      </c>
      <c r="E56" s="111">
        <f>E57</f>
        <v>5658.49</v>
      </c>
      <c r="F56" s="32">
        <f>E56/B56*100</f>
        <v>7.0115867900108375</v>
      </c>
      <c r="G56" s="47">
        <f>E56/C56*100</f>
        <v>100</v>
      </c>
      <c r="H56" s="111">
        <f>H57</f>
        <v>0</v>
      </c>
      <c r="I56" s="111">
        <f t="shared" ref="I56:AE56" si="18">I57</f>
        <v>0</v>
      </c>
      <c r="J56" s="111">
        <f t="shared" si="18"/>
        <v>0</v>
      </c>
      <c r="K56" s="111">
        <f t="shared" si="18"/>
        <v>0</v>
      </c>
      <c r="L56" s="111">
        <f t="shared" si="18"/>
        <v>0</v>
      </c>
      <c r="M56" s="111">
        <f t="shared" si="18"/>
        <v>0</v>
      </c>
      <c r="N56" s="111">
        <f t="shared" si="18"/>
        <v>0</v>
      </c>
      <c r="O56" s="111">
        <f t="shared" si="18"/>
        <v>0</v>
      </c>
      <c r="P56" s="111">
        <f t="shared" si="18"/>
        <v>0</v>
      </c>
      <c r="Q56" s="111">
        <f t="shared" si="18"/>
        <v>0</v>
      </c>
      <c r="R56" s="111">
        <f t="shared" si="18"/>
        <v>0</v>
      </c>
      <c r="S56" s="111">
        <f t="shared" si="18"/>
        <v>0</v>
      </c>
      <c r="T56" s="111">
        <f t="shared" si="18"/>
        <v>0</v>
      </c>
      <c r="U56" s="111">
        <f t="shared" si="18"/>
        <v>0</v>
      </c>
      <c r="V56" s="111">
        <f t="shared" si="18"/>
        <v>0</v>
      </c>
      <c r="W56" s="111">
        <f t="shared" si="18"/>
        <v>0</v>
      </c>
      <c r="X56" s="111">
        <f t="shared" si="18"/>
        <v>0</v>
      </c>
      <c r="Y56" s="111">
        <f t="shared" si="18"/>
        <v>0</v>
      </c>
      <c r="Z56" s="111">
        <f t="shared" si="18"/>
        <v>10381.9</v>
      </c>
      <c r="AA56" s="111">
        <f t="shared" si="18"/>
        <v>0</v>
      </c>
      <c r="AB56" s="111">
        <f t="shared" si="18"/>
        <v>0</v>
      </c>
      <c r="AC56" s="111">
        <f t="shared" si="18"/>
        <v>0</v>
      </c>
      <c r="AD56" s="111">
        <f t="shared" si="18"/>
        <v>3850.2</v>
      </c>
      <c r="AE56" s="111">
        <f t="shared" si="18"/>
        <v>0</v>
      </c>
      <c r="AF56" s="29"/>
      <c r="AG56" s="723"/>
    </row>
    <row r="57" spans="1:33" ht="18.75" x14ac:dyDescent="0.3">
      <c r="A57" s="13" t="s">
        <v>33</v>
      </c>
      <c r="B57" s="111">
        <f>B54</f>
        <v>80701.989000000001</v>
      </c>
      <c r="C57" s="111">
        <f>C54</f>
        <v>5658.49</v>
      </c>
      <c r="D57" s="111">
        <f>D54</f>
        <v>5658.49</v>
      </c>
      <c r="E57" s="111">
        <f>E54</f>
        <v>5658.49</v>
      </c>
      <c r="F57" s="32">
        <f>E57/B57*100</f>
        <v>7.0115867900108375</v>
      </c>
      <c r="G57" s="47">
        <f>E57/C57*100</f>
        <v>100</v>
      </c>
      <c r="H57" s="111">
        <f>H54</f>
        <v>0</v>
      </c>
      <c r="I57" s="111">
        <f t="shared" ref="I57:AE57" si="19">I54</f>
        <v>0</v>
      </c>
      <c r="J57" s="111">
        <f t="shared" si="19"/>
        <v>0</v>
      </c>
      <c r="K57" s="111">
        <f t="shared" si="19"/>
        <v>0</v>
      </c>
      <c r="L57" s="111">
        <f t="shared" si="19"/>
        <v>0</v>
      </c>
      <c r="M57" s="111">
        <f t="shared" si="19"/>
        <v>0</v>
      </c>
      <c r="N57" s="111">
        <f t="shared" si="19"/>
        <v>0</v>
      </c>
      <c r="O57" s="111">
        <f t="shared" si="19"/>
        <v>0</v>
      </c>
      <c r="P57" s="111">
        <f t="shared" si="19"/>
        <v>0</v>
      </c>
      <c r="Q57" s="111">
        <f t="shared" si="19"/>
        <v>0</v>
      </c>
      <c r="R57" s="111">
        <f t="shared" si="19"/>
        <v>0</v>
      </c>
      <c r="S57" s="111">
        <f t="shared" si="19"/>
        <v>0</v>
      </c>
      <c r="T57" s="111">
        <f t="shared" si="19"/>
        <v>0</v>
      </c>
      <c r="U57" s="111">
        <f t="shared" si="19"/>
        <v>0</v>
      </c>
      <c r="V57" s="111">
        <f t="shared" si="19"/>
        <v>0</v>
      </c>
      <c r="W57" s="111">
        <f t="shared" si="19"/>
        <v>0</v>
      </c>
      <c r="X57" s="111">
        <f t="shared" si="19"/>
        <v>0</v>
      </c>
      <c r="Y57" s="111">
        <f t="shared" si="19"/>
        <v>0</v>
      </c>
      <c r="Z57" s="111">
        <f t="shared" si="19"/>
        <v>10381.9</v>
      </c>
      <c r="AA57" s="111">
        <f t="shared" si="19"/>
        <v>0</v>
      </c>
      <c r="AB57" s="111">
        <f t="shared" si="19"/>
        <v>0</v>
      </c>
      <c r="AC57" s="111">
        <f t="shared" si="19"/>
        <v>0</v>
      </c>
      <c r="AD57" s="111">
        <f t="shared" si="19"/>
        <v>3850.2</v>
      </c>
      <c r="AE57" s="111">
        <f t="shared" si="19"/>
        <v>0</v>
      </c>
      <c r="AF57" s="29"/>
      <c r="AG57" s="723"/>
    </row>
    <row r="58" spans="1:33" ht="18.75" x14ac:dyDescent="0.3">
      <c r="A58" s="60" t="s">
        <v>126</v>
      </c>
      <c r="B58" s="111"/>
      <c r="C58" s="111"/>
      <c r="D58" s="111"/>
      <c r="E58" s="111"/>
      <c r="F58" s="32"/>
      <c r="G58" s="47"/>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c r="AE58" s="111"/>
      <c r="AF58" s="29"/>
      <c r="AG58" s="723"/>
    </row>
    <row r="59" spans="1:33" ht="168.75" x14ac:dyDescent="0.3">
      <c r="A59" s="13" t="s">
        <v>84</v>
      </c>
      <c r="B59" s="111"/>
      <c r="C59" s="111"/>
      <c r="D59" s="111"/>
      <c r="E59" s="111"/>
      <c r="F59" s="32"/>
      <c r="G59" s="47"/>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c r="AF59" s="29"/>
      <c r="AG59" s="723"/>
    </row>
    <row r="60" spans="1:33" ht="18.75" x14ac:dyDescent="0.3">
      <c r="A60" s="19" t="s">
        <v>31</v>
      </c>
      <c r="B60" s="842">
        <f>B61</f>
        <v>360.9</v>
      </c>
      <c r="C60" s="842">
        <f>C61</f>
        <v>0</v>
      </c>
      <c r="D60" s="842">
        <f>D61</f>
        <v>0</v>
      </c>
      <c r="E60" s="842">
        <f>E61</f>
        <v>0</v>
      </c>
      <c r="F60" s="32">
        <f>E60/B60*100</f>
        <v>0</v>
      </c>
      <c r="G60" s="47" t="e">
        <f>E60/C60*100</f>
        <v>#DIV/0!</v>
      </c>
      <c r="H60" s="842">
        <f>H61</f>
        <v>0</v>
      </c>
      <c r="I60" s="842">
        <f t="shared" ref="I60:AE60" si="20">I61</f>
        <v>0</v>
      </c>
      <c r="J60" s="842">
        <f t="shared" si="20"/>
        <v>0</v>
      </c>
      <c r="K60" s="842">
        <f t="shared" si="20"/>
        <v>0</v>
      </c>
      <c r="L60" s="842">
        <f t="shared" si="20"/>
        <v>0</v>
      </c>
      <c r="M60" s="842">
        <f t="shared" si="20"/>
        <v>0</v>
      </c>
      <c r="N60" s="842">
        <f t="shared" si="20"/>
        <v>0</v>
      </c>
      <c r="O60" s="842">
        <f t="shared" si="20"/>
        <v>0</v>
      </c>
      <c r="P60" s="842">
        <f t="shared" si="20"/>
        <v>0</v>
      </c>
      <c r="Q60" s="842">
        <f t="shared" si="20"/>
        <v>0</v>
      </c>
      <c r="R60" s="842">
        <f t="shared" si="20"/>
        <v>0</v>
      </c>
      <c r="S60" s="842">
        <f t="shared" si="20"/>
        <v>0</v>
      </c>
      <c r="T60" s="842">
        <f t="shared" si="20"/>
        <v>0</v>
      </c>
      <c r="U60" s="842">
        <f t="shared" si="20"/>
        <v>0</v>
      </c>
      <c r="V60" s="842">
        <f t="shared" si="20"/>
        <v>0</v>
      </c>
      <c r="W60" s="842">
        <f t="shared" si="20"/>
        <v>0</v>
      </c>
      <c r="X60" s="842">
        <f t="shared" si="20"/>
        <v>0</v>
      </c>
      <c r="Y60" s="842">
        <f t="shared" si="20"/>
        <v>0</v>
      </c>
      <c r="Z60" s="842">
        <f t="shared" si="20"/>
        <v>0</v>
      </c>
      <c r="AA60" s="842">
        <f t="shared" si="20"/>
        <v>0</v>
      </c>
      <c r="AB60" s="842">
        <f t="shared" si="20"/>
        <v>0</v>
      </c>
      <c r="AC60" s="842">
        <f t="shared" si="20"/>
        <v>0</v>
      </c>
      <c r="AD60" s="842">
        <f t="shared" si="20"/>
        <v>360.9</v>
      </c>
      <c r="AE60" s="842">
        <f t="shared" si="20"/>
        <v>0</v>
      </c>
      <c r="AF60" s="29"/>
      <c r="AG60" s="723"/>
    </row>
    <row r="61" spans="1:33" ht="18.75" x14ac:dyDescent="0.3">
      <c r="A61" s="15" t="s">
        <v>33</v>
      </c>
      <c r="B61" s="842">
        <f>H61+J61+L61+N61+P61+R61+T61+V61+X61+Z61+AB61+AD61</f>
        <v>360.9</v>
      </c>
      <c r="C61" s="842">
        <f>H61</f>
        <v>0</v>
      </c>
      <c r="D61" s="842"/>
      <c r="E61" s="842">
        <f>I61</f>
        <v>0</v>
      </c>
      <c r="F61" s="47">
        <f>D61/B61*100</f>
        <v>0</v>
      </c>
      <c r="G61" s="47" t="e">
        <f>E61/C61*100</f>
        <v>#DIV/0!</v>
      </c>
      <c r="H61" s="842"/>
      <c r="I61" s="111"/>
      <c r="J61" s="111"/>
      <c r="K61" s="111"/>
      <c r="L61" s="111"/>
      <c r="M61" s="111"/>
      <c r="N61" s="111"/>
      <c r="O61" s="111"/>
      <c r="P61" s="111"/>
      <c r="Q61" s="111"/>
      <c r="R61" s="111"/>
      <c r="S61" s="111"/>
      <c r="T61" s="111"/>
      <c r="U61" s="111"/>
      <c r="V61" s="111"/>
      <c r="W61" s="111"/>
      <c r="X61" s="111"/>
      <c r="Y61" s="111"/>
      <c r="Z61" s="111"/>
      <c r="AA61" s="111"/>
      <c r="AB61" s="111"/>
      <c r="AC61" s="111"/>
      <c r="AD61" s="111">
        <v>360.9</v>
      </c>
      <c r="AE61" s="111"/>
      <c r="AF61" s="29"/>
      <c r="AG61" s="723"/>
    </row>
    <row r="62" spans="1:33" ht="18.75" x14ac:dyDescent="0.3">
      <c r="A62" s="56" t="s">
        <v>85</v>
      </c>
      <c r="B62" s="111"/>
      <c r="C62" s="111"/>
      <c r="D62" s="111"/>
      <c r="E62" s="111"/>
      <c r="F62" s="32"/>
      <c r="G62" s="47"/>
      <c r="H62" s="111"/>
      <c r="I62" s="111"/>
      <c r="J62" s="111"/>
      <c r="K62" s="111"/>
      <c r="L62" s="111"/>
      <c r="M62" s="111"/>
      <c r="N62" s="111"/>
      <c r="O62" s="111"/>
      <c r="P62" s="111"/>
      <c r="Q62" s="111"/>
      <c r="R62" s="111"/>
      <c r="S62" s="111"/>
      <c r="T62" s="111"/>
      <c r="U62" s="111"/>
      <c r="V62" s="111"/>
      <c r="W62" s="111"/>
      <c r="X62" s="111"/>
      <c r="Y62" s="111"/>
      <c r="Z62" s="111"/>
      <c r="AA62" s="111"/>
      <c r="AB62" s="111"/>
      <c r="AC62" s="111"/>
      <c r="AD62" s="111"/>
      <c r="AE62" s="111"/>
      <c r="AF62" s="29"/>
      <c r="AG62" s="723"/>
    </row>
    <row r="63" spans="1:33" ht="18.75" x14ac:dyDescent="0.3">
      <c r="A63" s="19" t="s">
        <v>31</v>
      </c>
      <c r="B63" s="111">
        <f>B64</f>
        <v>360.9</v>
      </c>
      <c r="C63" s="842">
        <f>C64</f>
        <v>0</v>
      </c>
      <c r="D63" s="842">
        <f>D64</f>
        <v>0</v>
      </c>
      <c r="E63" s="842">
        <f>E64</f>
        <v>0</v>
      </c>
      <c r="F63" s="32">
        <f>E63/B63*100</f>
        <v>0</v>
      </c>
      <c r="G63" s="47" t="e">
        <f>E63/C63*100</f>
        <v>#DIV/0!</v>
      </c>
      <c r="H63" s="111">
        <f>H64</f>
        <v>0</v>
      </c>
      <c r="I63" s="111">
        <f t="shared" ref="I63:AE63" si="21">I64</f>
        <v>0</v>
      </c>
      <c r="J63" s="111">
        <f t="shared" si="21"/>
        <v>0</v>
      </c>
      <c r="K63" s="111">
        <f t="shared" si="21"/>
        <v>0</v>
      </c>
      <c r="L63" s="111">
        <f t="shared" si="21"/>
        <v>0</v>
      </c>
      <c r="M63" s="111">
        <f t="shared" si="21"/>
        <v>0</v>
      </c>
      <c r="N63" s="111">
        <f t="shared" si="21"/>
        <v>0</v>
      </c>
      <c r="O63" s="111">
        <f t="shared" si="21"/>
        <v>0</v>
      </c>
      <c r="P63" s="111">
        <f t="shared" si="21"/>
        <v>0</v>
      </c>
      <c r="Q63" s="111">
        <f t="shared" si="21"/>
        <v>0</v>
      </c>
      <c r="R63" s="111">
        <f t="shared" si="21"/>
        <v>0</v>
      </c>
      <c r="S63" s="111">
        <f t="shared" si="21"/>
        <v>0</v>
      </c>
      <c r="T63" s="111">
        <f t="shared" si="21"/>
        <v>0</v>
      </c>
      <c r="U63" s="111">
        <f t="shared" si="21"/>
        <v>0</v>
      </c>
      <c r="V63" s="111">
        <f t="shared" si="21"/>
        <v>0</v>
      </c>
      <c r="W63" s="111">
        <f t="shared" si="21"/>
        <v>0</v>
      </c>
      <c r="X63" s="111">
        <f t="shared" si="21"/>
        <v>0</v>
      </c>
      <c r="Y63" s="111">
        <f t="shared" si="21"/>
        <v>0</v>
      </c>
      <c r="Z63" s="111">
        <f t="shared" si="21"/>
        <v>0</v>
      </c>
      <c r="AA63" s="111">
        <f t="shared" si="21"/>
        <v>0</v>
      </c>
      <c r="AB63" s="111">
        <f t="shared" si="21"/>
        <v>0</v>
      </c>
      <c r="AC63" s="111">
        <f t="shared" si="21"/>
        <v>0</v>
      </c>
      <c r="AD63" s="111">
        <f t="shared" si="21"/>
        <v>360.9</v>
      </c>
      <c r="AE63" s="111">
        <f t="shared" si="21"/>
        <v>0</v>
      </c>
      <c r="AF63" s="29"/>
      <c r="AG63" s="723"/>
    </row>
    <row r="64" spans="1:33" ht="18.75" x14ac:dyDescent="0.3">
      <c r="A64" s="15" t="s">
        <v>33</v>
      </c>
      <c r="B64" s="520">
        <f>B61</f>
        <v>360.9</v>
      </c>
      <c r="C64" s="842">
        <f>H64</f>
        <v>0</v>
      </c>
      <c r="D64" s="842"/>
      <c r="E64" s="842">
        <f>I64</f>
        <v>0</v>
      </c>
      <c r="F64" s="844">
        <f>E64/B64*100</f>
        <v>0</v>
      </c>
      <c r="G64" s="47" t="e">
        <f>E64/C64*100</f>
        <v>#DIV/0!</v>
      </c>
      <c r="H64" s="111">
        <f>H61</f>
        <v>0</v>
      </c>
      <c r="I64" s="111">
        <f>I65</f>
        <v>0</v>
      </c>
      <c r="J64" s="111">
        <f t="shared" ref="J64:AE64" si="22">J61</f>
        <v>0</v>
      </c>
      <c r="K64" s="111">
        <f t="shared" si="22"/>
        <v>0</v>
      </c>
      <c r="L64" s="111">
        <f t="shared" si="22"/>
        <v>0</v>
      </c>
      <c r="M64" s="111">
        <f t="shared" si="22"/>
        <v>0</v>
      </c>
      <c r="N64" s="111">
        <f t="shared" si="22"/>
        <v>0</v>
      </c>
      <c r="O64" s="111">
        <f t="shared" si="22"/>
        <v>0</v>
      </c>
      <c r="P64" s="111">
        <f t="shared" si="22"/>
        <v>0</v>
      </c>
      <c r="Q64" s="111">
        <f t="shared" si="22"/>
        <v>0</v>
      </c>
      <c r="R64" s="111">
        <f t="shared" si="22"/>
        <v>0</v>
      </c>
      <c r="S64" s="111">
        <f t="shared" si="22"/>
        <v>0</v>
      </c>
      <c r="T64" s="111">
        <f t="shared" si="22"/>
        <v>0</v>
      </c>
      <c r="U64" s="111">
        <f t="shared" si="22"/>
        <v>0</v>
      </c>
      <c r="V64" s="111">
        <f t="shared" si="22"/>
        <v>0</v>
      </c>
      <c r="W64" s="111">
        <f t="shared" si="22"/>
        <v>0</v>
      </c>
      <c r="X64" s="111">
        <f t="shared" si="22"/>
        <v>0</v>
      </c>
      <c r="Y64" s="111">
        <f t="shared" si="22"/>
        <v>0</v>
      </c>
      <c r="Z64" s="111">
        <f t="shared" si="22"/>
        <v>0</v>
      </c>
      <c r="AA64" s="111">
        <f t="shared" si="22"/>
        <v>0</v>
      </c>
      <c r="AB64" s="111">
        <f t="shared" si="22"/>
        <v>0</v>
      </c>
      <c r="AC64" s="111">
        <f t="shared" si="22"/>
        <v>0</v>
      </c>
      <c r="AD64" s="111">
        <f t="shared" si="22"/>
        <v>360.9</v>
      </c>
      <c r="AE64" s="111">
        <f t="shared" si="22"/>
        <v>0</v>
      </c>
      <c r="AF64" s="29"/>
      <c r="AG64" s="723"/>
    </row>
    <row r="65" spans="1:33" ht="37.5" x14ac:dyDescent="0.3">
      <c r="A65" s="28" t="s">
        <v>92</v>
      </c>
      <c r="B65" s="111"/>
      <c r="C65" s="111"/>
      <c r="D65" s="111"/>
      <c r="E65" s="111"/>
      <c r="F65" s="32"/>
      <c r="G65" s="47"/>
      <c r="H65" s="111"/>
      <c r="I65" s="111"/>
      <c r="J65" s="111"/>
      <c r="K65" s="111"/>
      <c r="L65" s="111"/>
      <c r="M65" s="111"/>
      <c r="N65" s="111"/>
      <c r="O65" s="111"/>
      <c r="P65" s="111"/>
      <c r="Q65" s="111"/>
      <c r="R65" s="111"/>
      <c r="S65" s="111"/>
      <c r="T65" s="111"/>
      <c r="U65" s="111"/>
      <c r="V65" s="111"/>
      <c r="W65" s="111"/>
      <c r="X65" s="111"/>
      <c r="Y65" s="111"/>
      <c r="Z65" s="111"/>
      <c r="AA65" s="111"/>
      <c r="AB65" s="111"/>
      <c r="AC65" s="111"/>
      <c r="AD65" s="111"/>
      <c r="AE65" s="111"/>
      <c r="AF65" s="29"/>
      <c r="AG65" s="723"/>
    </row>
    <row r="66" spans="1:33" ht="18.75" x14ac:dyDescent="0.3">
      <c r="A66" s="8" t="s">
        <v>31</v>
      </c>
      <c r="B66" s="111">
        <f>B67</f>
        <v>360.9</v>
      </c>
      <c r="C66" s="842">
        <f>C67</f>
        <v>0</v>
      </c>
      <c r="D66" s="842">
        <f>D67</f>
        <v>0</v>
      </c>
      <c r="E66" s="842">
        <f>E67</f>
        <v>0</v>
      </c>
      <c r="F66" s="32">
        <f>E66/B66*100</f>
        <v>0</v>
      </c>
      <c r="G66" s="47" t="e">
        <f t="shared" ref="G66:G71" si="23">E66/C66*100</f>
        <v>#DIV/0!</v>
      </c>
      <c r="H66" s="111">
        <f>H67</f>
        <v>0</v>
      </c>
      <c r="I66" s="111">
        <f t="shared" ref="I66:AE66" si="24">I67</f>
        <v>0</v>
      </c>
      <c r="J66" s="111">
        <f t="shared" si="24"/>
        <v>0</v>
      </c>
      <c r="K66" s="111">
        <f t="shared" si="24"/>
        <v>0</v>
      </c>
      <c r="L66" s="111">
        <f t="shared" si="24"/>
        <v>0</v>
      </c>
      <c r="M66" s="111">
        <f t="shared" si="24"/>
        <v>0</v>
      </c>
      <c r="N66" s="111">
        <f t="shared" si="24"/>
        <v>0</v>
      </c>
      <c r="O66" s="111">
        <f t="shared" si="24"/>
        <v>0</v>
      </c>
      <c r="P66" s="111">
        <f t="shared" si="24"/>
        <v>0</v>
      </c>
      <c r="Q66" s="111">
        <f t="shared" si="24"/>
        <v>0</v>
      </c>
      <c r="R66" s="111">
        <f t="shared" si="24"/>
        <v>0</v>
      </c>
      <c r="S66" s="111">
        <f t="shared" si="24"/>
        <v>0</v>
      </c>
      <c r="T66" s="111">
        <f t="shared" si="24"/>
        <v>0</v>
      </c>
      <c r="U66" s="111">
        <f t="shared" si="24"/>
        <v>0</v>
      </c>
      <c r="V66" s="111">
        <f t="shared" si="24"/>
        <v>0</v>
      </c>
      <c r="W66" s="111">
        <f t="shared" si="24"/>
        <v>0</v>
      </c>
      <c r="X66" s="111">
        <f t="shared" si="24"/>
        <v>0</v>
      </c>
      <c r="Y66" s="111">
        <f t="shared" si="24"/>
        <v>0</v>
      </c>
      <c r="Z66" s="111">
        <f t="shared" si="24"/>
        <v>0</v>
      </c>
      <c r="AA66" s="111">
        <f t="shared" si="24"/>
        <v>0</v>
      </c>
      <c r="AB66" s="111">
        <f t="shared" si="24"/>
        <v>0</v>
      </c>
      <c r="AC66" s="111">
        <f t="shared" si="24"/>
        <v>0</v>
      </c>
      <c r="AD66" s="111">
        <f t="shared" si="24"/>
        <v>360.9</v>
      </c>
      <c r="AE66" s="111">
        <f t="shared" si="24"/>
        <v>0</v>
      </c>
      <c r="AF66" s="29"/>
      <c r="AG66" s="723"/>
    </row>
    <row r="67" spans="1:33" ht="18.75" x14ac:dyDescent="0.3">
      <c r="A67" s="13" t="s">
        <v>33</v>
      </c>
      <c r="B67" s="111">
        <f>B64</f>
        <v>360.9</v>
      </c>
      <c r="C67" s="842">
        <f>H67</f>
        <v>0</v>
      </c>
      <c r="D67" s="842"/>
      <c r="E67" s="842">
        <f>I67</f>
        <v>0</v>
      </c>
      <c r="F67" s="47">
        <f>D67/B67*100</f>
        <v>0</v>
      </c>
      <c r="G67" s="47" t="e">
        <f t="shared" si="23"/>
        <v>#DIV/0!</v>
      </c>
      <c r="H67" s="111">
        <f>H64</f>
        <v>0</v>
      </c>
      <c r="I67" s="111">
        <f t="shared" ref="I67:AE67" si="25">I64</f>
        <v>0</v>
      </c>
      <c r="J67" s="111">
        <f t="shared" si="25"/>
        <v>0</v>
      </c>
      <c r="K67" s="111">
        <f t="shared" si="25"/>
        <v>0</v>
      </c>
      <c r="L67" s="111">
        <f t="shared" si="25"/>
        <v>0</v>
      </c>
      <c r="M67" s="111">
        <f t="shared" si="25"/>
        <v>0</v>
      </c>
      <c r="N67" s="111">
        <f t="shared" si="25"/>
        <v>0</v>
      </c>
      <c r="O67" s="111">
        <f t="shared" si="25"/>
        <v>0</v>
      </c>
      <c r="P67" s="111">
        <f t="shared" si="25"/>
        <v>0</v>
      </c>
      <c r="Q67" s="111">
        <f t="shared" si="25"/>
        <v>0</v>
      </c>
      <c r="R67" s="111">
        <f t="shared" si="25"/>
        <v>0</v>
      </c>
      <c r="S67" s="111">
        <f t="shared" si="25"/>
        <v>0</v>
      </c>
      <c r="T67" s="111">
        <f t="shared" si="25"/>
        <v>0</v>
      </c>
      <c r="U67" s="111">
        <f t="shared" si="25"/>
        <v>0</v>
      </c>
      <c r="V67" s="111">
        <f t="shared" si="25"/>
        <v>0</v>
      </c>
      <c r="W67" s="111">
        <f t="shared" si="25"/>
        <v>0</v>
      </c>
      <c r="X67" s="111">
        <f t="shared" si="25"/>
        <v>0</v>
      </c>
      <c r="Y67" s="111">
        <f t="shared" si="25"/>
        <v>0</v>
      </c>
      <c r="Z67" s="111">
        <f t="shared" si="25"/>
        <v>0</v>
      </c>
      <c r="AA67" s="111">
        <f t="shared" si="25"/>
        <v>0</v>
      </c>
      <c r="AB67" s="111">
        <f t="shared" si="25"/>
        <v>0</v>
      </c>
      <c r="AC67" s="111">
        <f t="shared" si="25"/>
        <v>0</v>
      </c>
      <c r="AD67" s="111">
        <f t="shared" si="25"/>
        <v>360.9</v>
      </c>
      <c r="AE67" s="111">
        <f t="shared" si="25"/>
        <v>0</v>
      </c>
      <c r="AF67" s="29"/>
      <c r="AG67" s="723"/>
    </row>
    <row r="68" spans="1:33" ht="37.5" x14ac:dyDescent="0.3">
      <c r="A68" s="56" t="s">
        <v>63</v>
      </c>
      <c r="B68" s="137">
        <f>B10+B21+B50+B60</f>
        <v>437079.27800000005</v>
      </c>
      <c r="C68" s="520">
        <f>C69</f>
        <v>182283.15399999998</v>
      </c>
      <c r="D68" s="520">
        <f>D69</f>
        <v>167443.56399999998</v>
      </c>
      <c r="E68" s="520">
        <f>E69</f>
        <v>161631.64399999997</v>
      </c>
      <c r="F68" s="32">
        <f>E68/B68*100</f>
        <v>36.979937538928567</v>
      </c>
      <c r="G68" s="47">
        <f t="shared" si="23"/>
        <v>88.670642598163511</v>
      </c>
      <c r="H68" s="111">
        <f t="shared" ref="H68:AE68" si="26">H69</f>
        <v>8647.8289999999997</v>
      </c>
      <c r="I68" s="111">
        <f t="shared" si="26"/>
        <v>4845.607</v>
      </c>
      <c r="J68" s="111">
        <f t="shared" si="26"/>
        <v>13223.939</v>
      </c>
      <c r="K68" s="111">
        <f t="shared" si="26"/>
        <v>13449.98</v>
      </c>
      <c r="L68" s="111">
        <f t="shared" si="26"/>
        <v>7404.3340000000007</v>
      </c>
      <c r="M68" s="111">
        <f t="shared" si="26"/>
        <v>5280.9679999999998</v>
      </c>
      <c r="N68" s="111">
        <f t="shared" si="26"/>
        <v>15436.800999999999</v>
      </c>
      <c r="O68" s="111">
        <f t="shared" si="26"/>
        <v>7143.5010000000002</v>
      </c>
      <c r="P68" s="111">
        <f t="shared" si="26"/>
        <v>5815.5280000000002</v>
      </c>
      <c r="Q68" s="111">
        <f t="shared" si="26"/>
        <v>5375.3040000000001</v>
      </c>
      <c r="R68" s="111">
        <f t="shared" si="26"/>
        <v>5113.1239999999998</v>
      </c>
      <c r="S68" s="111">
        <f t="shared" si="26"/>
        <v>5371.0680000000002</v>
      </c>
      <c r="T68" s="111">
        <f t="shared" si="26"/>
        <v>20183.7</v>
      </c>
      <c r="U68" s="111">
        <f t="shared" si="26"/>
        <v>0</v>
      </c>
      <c r="V68" s="111">
        <f t="shared" si="26"/>
        <v>4530.4870000000001</v>
      </c>
      <c r="W68" s="111">
        <f t="shared" si="26"/>
        <v>0</v>
      </c>
      <c r="X68" s="111">
        <f t="shared" si="26"/>
        <v>4510.817</v>
      </c>
      <c r="Y68" s="111">
        <f t="shared" si="26"/>
        <v>0</v>
      </c>
      <c r="Z68" s="111">
        <f t="shared" si="26"/>
        <v>21000.595000000001</v>
      </c>
      <c r="AA68" s="111">
        <f t="shared" si="26"/>
        <v>0</v>
      </c>
      <c r="AB68" s="111">
        <f t="shared" si="26"/>
        <v>11551.478999999999</v>
      </c>
      <c r="AC68" s="111">
        <f t="shared" si="26"/>
        <v>0</v>
      </c>
      <c r="AD68" s="111">
        <f t="shared" si="26"/>
        <v>44349.426999999996</v>
      </c>
      <c r="AE68" s="111">
        <f t="shared" si="26"/>
        <v>0</v>
      </c>
      <c r="AF68" s="29"/>
      <c r="AG68" s="723"/>
    </row>
    <row r="69" spans="1:33" ht="18.75" x14ac:dyDescent="0.3">
      <c r="A69" s="15" t="s">
        <v>33</v>
      </c>
      <c r="B69" s="111">
        <f>B11+B22+B51+B61</f>
        <v>437079.27800000005</v>
      </c>
      <c r="C69" s="520">
        <f>C13+C42+C53+C63</f>
        <v>182283.15399999998</v>
      </c>
      <c r="D69" s="520">
        <f>D13+D42+D53+D63</f>
        <v>167443.56399999998</v>
      </c>
      <c r="E69" s="520">
        <f>E13+E42+E53+E63</f>
        <v>161631.64399999997</v>
      </c>
      <c r="F69" s="32">
        <f>E69/B69*100</f>
        <v>36.979937538928567</v>
      </c>
      <c r="G69" s="47">
        <f t="shared" si="23"/>
        <v>88.670642598163511</v>
      </c>
      <c r="H69" s="111">
        <f t="shared" ref="H69:AE69" si="27">H11++H40+H51+H61</f>
        <v>8647.8289999999997</v>
      </c>
      <c r="I69" s="111">
        <f t="shared" si="27"/>
        <v>4845.607</v>
      </c>
      <c r="J69" s="111">
        <f t="shared" si="27"/>
        <v>13223.939</v>
      </c>
      <c r="K69" s="111">
        <f t="shared" si="27"/>
        <v>13449.98</v>
      </c>
      <c r="L69" s="111">
        <f t="shared" si="27"/>
        <v>7404.3340000000007</v>
      </c>
      <c r="M69" s="111">
        <f t="shared" si="27"/>
        <v>5280.9679999999998</v>
      </c>
      <c r="N69" s="111">
        <f t="shared" si="27"/>
        <v>15436.800999999999</v>
      </c>
      <c r="O69" s="111">
        <f t="shared" si="27"/>
        <v>7143.5010000000002</v>
      </c>
      <c r="P69" s="111">
        <f t="shared" si="27"/>
        <v>5815.5280000000002</v>
      </c>
      <c r="Q69" s="111">
        <f t="shared" si="27"/>
        <v>5375.3040000000001</v>
      </c>
      <c r="R69" s="111">
        <f t="shared" si="27"/>
        <v>5113.1239999999998</v>
      </c>
      <c r="S69" s="111">
        <f t="shared" si="27"/>
        <v>5371.0680000000002</v>
      </c>
      <c r="T69" s="111">
        <f t="shared" si="27"/>
        <v>20183.7</v>
      </c>
      <c r="U69" s="111">
        <f t="shared" si="27"/>
        <v>0</v>
      </c>
      <c r="V69" s="111">
        <f t="shared" si="27"/>
        <v>4530.4870000000001</v>
      </c>
      <c r="W69" s="111">
        <f t="shared" si="27"/>
        <v>0</v>
      </c>
      <c r="X69" s="111">
        <f t="shared" si="27"/>
        <v>4510.817</v>
      </c>
      <c r="Y69" s="111">
        <f t="shared" si="27"/>
        <v>0</v>
      </c>
      <c r="Z69" s="111">
        <f t="shared" si="27"/>
        <v>21000.595000000001</v>
      </c>
      <c r="AA69" s="111">
        <f t="shared" si="27"/>
        <v>0</v>
      </c>
      <c r="AB69" s="111">
        <f t="shared" si="27"/>
        <v>11551.478999999999</v>
      </c>
      <c r="AC69" s="111">
        <f t="shared" si="27"/>
        <v>0</v>
      </c>
      <c r="AD69" s="111">
        <f t="shared" si="27"/>
        <v>44349.426999999996</v>
      </c>
      <c r="AE69" s="111">
        <f t="shared" si="27"/>
        <v>0</v>
      </c>
      <c r="AF69" s="29"/>
      <c r="AG69" s="723"/>
    </row>
    <row r="70" spans="1:33" ht="37.5" x14ac:dyDescent="0.3">
      <c r="A70" s="57" t="s">
        <v>100</v>
      </c>
      <c r="B70" s="111">
        <f>B71</f>
        <v>437079.27800000005</v>
      </c>
      <c r="C70" s="520">
        <f>C71</f>
        <v>182283.15399999998</v>
      </c>
      <c r="D70" s="520">
        <f>D71</f>
        <v>167443.56399999998</v>
      </c>
      <c r="E70" s="520">
        <f>E71</f>
        <v>161631.64399999997</v>
      </c>
      <c r="F70" s="32">
        <f>E70/B70*100</f>
        <v>36.979937538928567</v>
      </c>
      <c r="G70" s="47">
        <f t="shared" si="23"/>
        <v>88.670642598163511</v>
      </c>
      <c r="H70" s="111">
        <f t="shared" ref="H70:AE70" si="28">H71</f>
        <v>8647.8289999999997</v>
      </c>
      <c r="I70" s="111">
        <f t="shared" si="28"/>
        <v>4845.607</v>
      </c>
      <c r="J70" s="111">
        <f t="shared" si="28"/>
        <v>13223.939</v>
      </c>
      <c r="K70" s="111">
        <f t="shared" si="28"/>
        <v>13449.98</v>
      </c>
      <c r="L70" s="111">
        <f t="shared" si="28"/>
        <v>7404.3340000000007</v>
      </c>
      <c r="M70" s="111">
        <f t="shared" si="28"/>
        <v>5280.9679999999998</v>
      </c>
      <c r="N70" s="111">
        <f t="shared" si="28"/>
        <v>15436.800999999999</v>
      </c>
      <c r="O70" s="111">
        <f t="shared" si="28"/>
        <v>7143.5010000000002</v>
      </c>
      <c r="P70" s="111">
        <f t="shared" si="28"/>
        <v>5815.5280000000002</v>
      </c>
      <c r="Q70" s="111">
        <f t="shared" si="28"/>
        <v>5375.3040000000001</v>
      </c>
      <c r="R70" s="111">
        <f t="shared" si="28"/>
        <v>5113.1239999999998</v>
      </c>
      <c r="S70" s="111">
        <f t="shared" si="28"/>
        <v>5371.0680000000002</v>
      </c>
      <c r="T70" s="111">
        <f t="shared" si="28"/>
        <v>20183.7</v>
      </c>
      <c r="U70" s="111">
        <f t="shared" si="28"/>
        <v>0</v>
      </c>
      <c r="V70" s="111">
        <f t="shared" si="28"/>
        <v>4530.4870000000001</v>
      </c>
      <c r="W70" s="111">
        <f t="shared" si="28"/>
        <v>0</v>
      </c>
      <c r="X70" s="111">
        <f t="shared" si="28"/>
        <v>4510.817</v>
      </c>
      <c r="Y70" s="111">
        <f t="shared" si="28"/>
        <v>0</v>
      </c>
      <c r="Z70" s="111">
        <f t="shared" si="28"/>
        <v>21000.595000000001</v>
      </c>
      <c r="AA70" s="111">
        <f t="shared" si="28"/>
        <v>0</v>
      </c>
      <c r="AB70" s="111">
        <f t="shared" si="28"/>
        <v>11551.478999999999</v>
      </c>
      <c r="AC70" s="111">
        <f t="shared" si="28"/>
        <v>0</v>
      </c>
      <c r="AD70" s="111">
        <f t="shared" si="28"/>
        <v>44349.426999999996</v>
      </c>
      <c r="AE70" s="111">
        <f t="shared" si="28"/>
        <v>0</v>
      </c>
      <c r="AF70" s="29"/>
      <c r="AG70" s="723"/>
    </row>
    <row r="71" spans="1:33" ht="18.75" x14ac:dyDescent="0.3">
      <c r="A71" s="15" t="s">
        <v>33</v>
      </c>
      <c r="B71" s="111">
        <f>B69</f>
        <v>437079.27800000005</v>
      </c>
      <c r="C71" s="111">
        <f>C69</f>
        <v>182283.15399999998</v>
      </c>
      <c r="D71" s="111">
        <f>D69</f>
        <v>167443.56399999998</v>
      </c>
      <c r="E71" s="111">
        <f>E69</f>
        <v>161631.64399999997</v>
      </c>
      <c r="F71" s="32">
        <f>E71/B71*100</f>
        <v>36.979937538928567</v>
      </c>
      <c r="G71" s="47">
        <f t="shared" si="23"/>
        <v>88.670642598163511</v>
      </c>
      <c r="H71" s="111">
        <f t="shared" ref="H71:AE71" si="29">H69</f>
        <v>8647.8289999999997</v>
      </c>
      <c r="I71" s="111">
        <f t="shared" si="29"/>
        <v>4845.607</v>
      </c>
      <c r="J71" s="111">
        <f t="shared" si="29"/>
        <v>13223.939</v>
      </c>
      <c r="K71" s="111">
        <f t="shared" si="29"/>
        <v>13449.98</v>
      </c>
      <c r="L71" s="111">
        <f t="shared" si="29"/>
        <v>7404.3340000000007</v>
      </c>
      <c r="M71" s="111">
        <f t="shared" si="29"/>
        <v>5280.9679999999998</v>
      </c>
      <c r="N71" s="111">
        <f t="shared" si="29"/>
        <v>15436.800999999999</v>
      </c>
      <c r="O71" s="111">
        <f t="shared" si="29"/>
        <v>7143.5010000000002</v>
      </c>
      <c r="P71" s="111">
        <f t="shared" si="29"/>
        <v>5815.5280000000002</v>
      </c>
      <c r="Q71" s="111">
        <f t="shared" si="29"/>
        <v>5375.3040000000001</v>
      </c>
      <c r="R71" s="111">
        <f t="shared" si="29"/>
        <v>5113.1239999999998</v>
      </c>
      <c r="S71" s="111">
        <f t="shared" si="29"/>
        <v>5371.0680000000002</v>
      </c>
      <c r="T71" s="111">
        <f t="shared" si="29"/>
        <v>20183.7</v>
      </c>
      <c r="U71" s="111">
        <f t="shared" si="29"/>
        <v>0</v>
      </c>
      <c r="V71" s="111">
        <f t="shared" si="29"/>
        <v>4530.4870000000001</v>
      </c>
      <c r="W71" s="111">
        <f t="shared" si="29"/>
        <v>0</v>
      </c>
      <c r="X71" s="111">
        <f t="shared" si="29"/>
        <v>4510.817</v>
      </c>
      <c r="Y71" s="111">
        <f t="shared" si="29"/>
        <v>0</v>
      </c>
      <c r="Z71" s="111">
        <f t="shared" si="29"/>
        <v>21000.595000000001</v>
      </c>
      <c r="AA71" s="111">
        <f t="shared" si="29"/>
        <v>0</v>
      </c>
      <c r="AB71" s="111">
        <f t="shared" si="29"/>
        <v>11551.478999999999</v>
      </c>
      <c r="AC71" s="111">
        <f t="shared" si="29"/>
        <v>0</v>
      </c>
      <c r="AD71" s="111">
        <f t="shared" si="29"/>
        <v>44349.426999999996</v>
      </c>
      <c r="AE71" s="111">
        <f t="shared" si="29"/>
        <v>0</v>
      </c>
      <c r="AF71" s="29"/>
      <c r="AG71" s="723"/>
    </row>
    <row r="72" spans="1:33" ht="18.75" x14ac:dyDescent="0.3">
      <c r="A72" s="61"/>
      <c r="B72" s="657"/>
      <c r="C72" s="33"/>
      <c r="D72" s="65"/>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row>
    <row r="73" spans="1:33" ht="37.5" x14ac:dyDescent="0.3">
      <c r="A73" s="9" t="s">
        <v>71</v>
      </c>
      <c r="B73" s="26"/>
      <c r="C73" s="26"/>
      <c r="D73" s="812" t="s">
        <v>531</v>
      </c>
      <c r="E73" s="62"/>
    </row>
    <row r="74" spans="1:33" ht="18.75" x14ac:dyDescent="0.3">
      <c r="A74" s="9"/>
      <c r="B74" s="20" t="s">
        <v>68</v>
      </c>
      <c r="C74" s="20"/>
      <c r="D74" s="22"/>
    </row>
    <row r="75" spans="1:33" ht="41.25" customHeight="1" x14ac:dyDescent="0.3">
      <c r="A75" s="25" t="s">
        <v>69</v>
      </c>
      <c r="B75" s="650" t="s">
        <v>532</v>
      </c>
      <c r="C75" s="650"/>
      <c r="D75" s="651"/>
    </row>
  </sheetData>
  <customSheetViews>
    <customSheetView guid="{7C130984-112A-4861-AA43-E2940708E3DC}" scale="55" state="hidden">
      <pane xSplit="1" ySplit="6" topLeftCell="Q40" activePane="bottomRight" state="frozen"/>
      <selection pane="bottomRight" activeCell="AF51" sqref="AF51"/>
      <pageMargins left="0.7" right="0.7" top="0.75" bottom="0.75" header="0.3" footer="0.3"/>
      <pageSetup paperSize="9" orientation="portrait" r:id="rId1"/>
    </customSheetView>
    <customSheetView guid="{4F41B9CC-959D-442C-80B0-1F0DB2C76D27}" scale="55">
      <pane xSplit="1" ySplit="5" topLeftCell="Q7" activePane="bottomRight" state="frozen"/>
      <selection pane="bottomRight" activeCell="AF30" sqref="AF30"/>
      <pageMargins left="0.7" right="0.7" top="0.75" bottom="0.75" header="0.3" footer="0.3"/>
      <pageSetup paperSize="9" orientation="portrait" r:id="rId2"/>
    </customSheetView>
    <customSheetView guid="{391AB76E-B386-49C1-800F-016A48AA1A46}" scale="55">
      <pane xSplit="1" ySplit="6" topLeftCell="Q7" activePane="bottomRight" state="frozen"/>
      <selection pane="bottomRight" activeCell="AF30" sqref="AF30"/>
      <pageMargins left="0.7" right="0.7" top="0.75" bottom="0.75" header="0.3" footer="0.3"/>
      <pageSetup paperSize="9" orientation="portrait" r:id="rId3"/>
    </customSheetView>
    <customSheetView guid="{D01FA037-9AEC-4167-ADB8-2F327C01ECE6}" scale="55">
      <pane xSplit="1" ySplit="6" topLeftCell="Q7" activePane="bottomRight" state="frozen"/>
      <selection pane="bottomRight" activeCell="AF30" sqref="AF30"/>
      <pageMargins left="0.7" right="0.7" top="0.75" bottom="0.75" header="0.3" footer="0.3"/>
      <pageSetup paperSize="9" orientation="portrait" r:id="rId4"/>
    </customSheetView>
    <customSheetView guid="{6A602CB8-B24C-4ED4-B378-B27354BE0A1A}" scale="55">
      <pane xSplit="1" ySplit="6" topLeftCell="B58" activePane="bottomRight" state="frozen"/>
      <selection pane="bottomRight" activeCell="E20" sqref="E20"/>
      <pageMargins left="0.7" right="0.7" top="0.75" bottom="0.75" header="0.3" footer="0.3"/>
      <pageSetup paperSize="9" orientation="portrait" r:id="rId5"/>
    </customSheetView>
    <customSheetView guid="{DAA8A688-7558-4B5B-8DBD-E2629BD9E9A8}" scale="55">
      <pane xSplit="1" ySplit="6" topLeftCell="B58" activePane="bottomRight" state="frozen"/>
      <selection pane="bottomRight" activeCell="E20" sqref="E20"/>
      <pageMargins left="0.7" right="0.7" top="0.75" bottom="0.75" header="0.3" footer="0.3"/>
      <pageSetup paperSize="9" orientation="portrait" r:id="rId6"/>
    </customSheetView>
    <customSheetView guid="{0C2B9C2A-7B94-41EF-A2E6-F8AC9A67DE25}" scale="55">
      <pane xSplit="1" ySplit="6" topLeftCell="B58" activePane="bottomRight" state="frozen"/>
      <selection pane="bottomRight" activeCell="E20" sqref="E20"/>
      <pageMargins left="0.7" right="0.7" top="0.75" bottom="0.75" header="0.3" footer="0.3"/>
      <pageSetup paperSize="9" orientation="portrait" r:id="rId7"/>
    </customSheetView>
    <customSheetView guid="{87218168-6C8E-4D5B-A5E5-DCCC26803AA3}" scale="55">
      <pane xSplit="1" ySplit="6" topLeftCell="B7" activePane="bottomRight" state="frozen"/>
      <selection pane="bottomRight" activeCell="E20" sqref="E20"/>
      <pageMargins left="0.7" right="0.7" top="0.75" bottom="0.75" header="0.3" footer="0.3"/>
      <pageSetup paperSize="9" orientation="portrait" r:id="rId8"/>
    </customSheetView>
    <customSheetView guid="{533DC55B-6AD4-4674-9488-685EF2039F3E}" scale="55">
      <pane xSplit="1" ySplit="6" topLeftCell="B7" activePane="bottomRight" state="frozen"/>
      <selection pane="bottomRight" activeCell="F75" sqref="F75"/>
      <pageMargins left="0.7" right="0.7" top="0.75" bottom="0.75" header="0.3" footer="0.3"/>
      <pageSetup paperSize="9" orientation="portrait" r:id="rId9"/>
    </customSheetView>
    <customSheetView guid="{69DABE6F-6182-4403-A4A2-969F10F1C13A}" scale="55">
      <pane xSplit="1" ySplit="6" topLeftCell="B7" activePane="bottomRight" state="frozen"/>
      <selection pane="bottomRight" activeCell="F75" sqref="F75"/>
      <pageMargins left="0.7" right="0.7" top="0.75" bottom="0.75" header="0.3" footer="0.3"/>
      <pageSetup paperSize="9" orientation="portrait" r:id="rId10"/>
    </customSheetView>
    <customSheetView guid="{84867370-1F3E-4368-AF79-FBCE46FFFE92}" scale="55">
      <pane xSplit="1" ySplit="6" topLeftCell="B7" activePane="bottomRight" state="frozen"/>
      <selection pane="bottomRight" activeCell="F75" sqref="F75"/>
      <pageMargins left="0.7" right="0.7" top="0.75" bottom="0.75" header="0.3" footer="0.3"/>
      <pageSetup paperSize="9" orientation="portrait" r:id="rId11"/>
    </customSheetView>
    <customSheetView guid="{47B983AB-FE5F-4725-860C-A2F29420596D}" scale="55">
      <pane xSplit="1" ySplit="6" topLeftCell="X54" activePane="bottomRight" state="frozen"/>
      <selection pane="bottomRight" activeCell="A49" sqref="A49"/>
      <pageMargins left="0.7" right="0.7" top="0.75" bottom="0.75" header="0.3" footer="0.3"/>
      <pageSetup paperSize="9" orientation="portrait" r:id="rId12"/>
    </customSheetView>
    <customSheetView guid="{959E901C-5DDE-42EE-AE94-AB8976B5E00B}" scale="55">
      <pane xSplit="1" ySplit="6" topLeftCell="X45" activePane="bottomRight" state="frozen"/>
      <selection pane="bottomRight" activeCell="AF49" sqref="AF49"/>
      <pageMargins left="0.7" right="0.7" top="0.75" bottom="0.75" header="0.3" footer="0.3"/>
      <pageSetup paperSize="9" orientation="portrait" r:id="rId13"/>
    </customSheetView>
    <customSheetView guid="{F679EF4A-C5FD-4B86-B87B-D85968E0F2CA}" scale="55">
      <pane xSplit="1" ySplit="6" topLeftCell="B33" activePane="bottomRight" state="frozen"/>
      <selection pane="bottomRight" activeCell="C52" sqref="C52"/>
      <pageMargins left="0.7" right="0.7" top="0.75" bottom="0.75" header="0.3" footer="0.3"/>
      <pageSetup paperSize="9" orientation="portrait" r:id="rId14"/>
    </customSheetView>
    <customSheetView guid="{009B3074-D8EC-4952-BF50-43CD64449612}" scale="55">
      <pane xSplit="1" ySplit="6" topLeftCell="B33" activePane="bottomRight" state="frozen"/>
      <selection pane="bottomRight" activeCell="B41" sqref="B41"/>
      <pageMargins left="0.7" right="0.7" top="0.75" bottom="0.75" header="0.3" footer="0.3"/>
      <pageSetup paperSize="9" orientation="portrait" r:id="rId15"/>
    </customSheetView>
    <customSheetView guid="{770624BF-07F3-44B6-94C3-4CC447CDD45C}" scale="60">
      <pane xSplit="1" ySplit="6" topLeftCell="B7" activePane="bottomRight" state="frozen"/>
      <selection pane="bottomRight" activeCell="AB25" sqref="AB25"/>
      <pageMargins left="0.7" right="0.7" top="0.75" bottom="0.75" header="0.3" footer="0.3"/>
      <pageSetup paperSize="9" orientation="portrait" r:id="rId16"/>
    </customSheetView>
    <customSheetView guid="{B82BA08A-1A30-4F4D-A478-74A6BD09EA97}" scale="60">
      <pane xSplit="1" ySplit="6" topLeftCell="B7" activePane="bottomRight" state="frozen"/>
      <selection pane="bottomRight" activeCell="P79" sqref="P79"/>
      <pageMargins left="0.7" right="0.7" top="0.75" bottom="0.75" header="0.3" footer="0.3"/>
      <pageSetup paperSize="9" orientation="portrait" r:id="rId17"/>
    </customSheetView>
    <customSheetView guid="{874882D1-E741-4CCA-BF0D-E72FA60B771D}" scale="60">
      <pane xSplit="1" ySplit="6" topLeftCell="I64" activePane="bottomRight" state="frozen"/>
      <selection pane="bottomRight" activeCell="A2" sqref="A2:AE2"/>
      <pageMargins left="0.7" right="0.7" top="0.75" bottom="0.75" header="0.3" footer="0.3"/>
      <pageSetup paperSize="9" orientation="portrait" r:id="rId18"/>
    </customSheetView>
    <customSheetView guid="{C236B307-BD63-48C4-A75F-B3F3717BF55C}" scale="60">
      <pane xSplit="1" ySplit="6" topLeftCell="I64" activePane="bottomRight" state="frozen"/>
      <selection pane="bottomRight" activeCell="A2" sqref="A2:AE2"/>
      <pageMargins left="0.7" right="0.7" top="0.75" bottom="0.75" header="0.3" footer="0.3"/>
      <pageSetup paperSize="9" orientation="portrait" r:id="rId19"/>
    </customSheetView>
    <customSheetView guid="{BCD82A82-B724-4763-8580-D765356E09BA}" scale="60">
      <pane xSplit="1" ySplit="6" topLeftCell="I7" activePane="bottomRight" state="frozen"/>
      <selection pane="bottomRight" activeCell="A2" sqref="A2:AE2"/>
      <pageMargins left="0.7" right="0.7" top="0.75" bottom="0.75" header="0.3" footer="0.3"/>
      <pageSetup paperSize="9" orientation="portrait" r:id="rId20"/>
    </customSheetView>
    <customSheetView guid="{B1BF08D1-D416-4B47-ADD0-4F59132DC9E8}" scale="55">
      <pane xSplit="1" ySplit="6" topLeftCell="X45" activePane="bottomRight" state="frozen"/>
      <selection pane="bottomRight" activeCell="AF49" sqref="AF49"/>
      <pageMargins left="0.7" right="0.7" top="0.75" bottom="0.75" header="0.3" footer="0.3"/>
      <pageSetup paperSize="9" orientation="portrait" r:id="rId21"/>
    </customSheetView>
    <customSheetView guid="{85F4575B-DBC5-482A-9916-255D8F0BC94E}" scale="55">
      <pane xSplit="1" ySplit="6" topLeftCell="X54" activePane="bottomRight" state="frozen"/>
      <selection pane="bottomRight" activeCell="A49" sqref="A49"/>
      <pageMargins left="0.7" right="0.7" top="0.75" bottom="0.75" header="0.3" footer="0.3"/>
      <pageSetup paperSize="9" orientation="portrait" r:id="rId22"/>
    </customSheetView>
    <customSheetView guid="{74870EE6-26B9-40F7-9DC9-260EF16D8959}" scale="55">
      <pane xSplit="1" ySplit="6" topLeftCell="Q24" activePane="bottomRight" state="frozen"/>
      <selection pane="bottomRight" activeCell="AF30" sqref="AF30"/>
      <pageMargins left="0.7" right="0.7" top="0.75" bottom="0.75" header="0.3" footer="0.3"/>
      <pageSetup paperSize="9" orientation="portrait" r:id="rId23"/>
    </customSheetView>
    <customSheetView guid="{E508E171-4ED9-4B07-84DF-DA28C60E1969}" scale="55">
      <pane xSplit="1" ySplit="6" topLeftCell="B7" activePane="bottomRight" state="frozen"/>
      <selection pane="bottomRight" activeCell="E20" sqref="E20"/>
      <pageMargins left="0.7" right="0.7" top="0.75" bottom="0.75" header="0.3" footer="0.3"/>
      <pageSetup paperSize="9" orientation="portrait" r:id="rId24"/>
    </customSheetView>
    <customSheetView guid="{4D0DFB57-2CBA-42F2-9A97-C453A6851FBA}" scale="55">
      <pane xSplit="1" ySplit="6" topLeftCell="B7" activePane="bottomRight" state="frozen"/>
      <selection pane="bottomRight" activeCell="E20" sqref="E20"/>
      <pageMargins left="0.7" right="0.7" top="0.75" bottom="0.75" header="0.3" footer="0.3"/>
      <pageSetup paperSize="9" orientation="portrait" r:id="rId25"/>
    </customSheetView>
    <customSheetView guid="{CE1CCA00-200D-4EAA-9FBE-F8EE7C5F82FE}" scale="55">
      <pane xSplit="1" ySplit="6" topLeftCell="B58" activePane="bottomRight" state="frozen"/>
      <selection pane="bottomRight" activeCell="E20" sqref="E20"/>
      <pageMargins left="0.7" right="0.7" top="0.75" bottom="0.75" header="0.3" footer="0.3"/>
      <pageSetup paperSize="9" orientation="portrait" r:id="rId26"/>
    </customSheetView>
    <customSheetView guid="{442F2C94-DD1B-4A01-8694-513D4D6F3BD9}" scale="55">
      <pane xSplit="1" ySplit="6" topLeftCell="B58" activePane="bottomRight" state="frozen"/>
      <selection pane="bottomRight" activeCell="E20" sqref="E20"/>
      <pageMargins left="0.7" right="0.7" top="0.75" bottom="0.75" header="0.3" footer="0.3"/>
      <pageSetup paperSize="9" orientation="portrait" r:id="rId27"/>
    </customSheetView>
    <customSheetView guid="{AC2D5927-4079-4C74-AF69-1BFAC505648F}" scale="55">
      <pane xSplit="1" ySplit="6" topLeftCell="Q7" activePane="bottomRight" state="frozen"/>
      <selection pane="bottomRight" activeCell="AF30" sqref="AF30"/>
      <pageMargins left="0.7" right="0.7" top="0.75" bottom="0.75" header="0.3" footer="0.3"/>
      <pageSetup paperSize="9" orientation="portrait" r:id="rId28"/>
    </customSheetView>
    <customSheetView guid="{602C8EDB-B9EF-4C85-B0D5-0558C3A0ABAB}" scale="55">
      <pane xSplit="1" ySplit="6" topLeftCell="Q7" activePane="bottomRight" state="frozen"/>
      <selection pane="bottomRight" activeCell="AF30" sqref="AF30"/>
      <pageMargins left="0.7" right="0.7" top="0.75" bottom="0.75" header="0.3" footer="0.3"/>
      <pageSetup paperSize="9" orientation="portrait" r:id="rId29"/>
    </customSheetView>
    <customSheetView guid="{09C3E205-981E-4A4E-BE89-8B7044192060}" scale="55">
      <pane xSplit="1" ySplit="6" topLeftCell="AF43" activePane="bottomRight" state="frozen"/>
      <selection pane="bottomRight" activeCell="AF51" sqref="AF51"/>
      <pageMargins left="0.7" right="0.7" top="0.75" bottom="0.75" header="0.3" footer="0.3"/>
      <pageSetup paperSize="9" orientation="portrait" r:id="rId30"/>
    </customSheetView>
  </customSheetViews>
  <mergeCells count="21">
    <mergeCell ref="V3:W4"/>
    <mergeCell ref="A1:AF1"/>
    <mergeCell ref="A2:AE2"/>
    <mergeCell ref="A3:A4"/>
    <mergeCell ref="B3:B4"/>
    <mergeCell ref="C3:C4"/>
    <mergeCell ref="D3:D4"/>
    <mergeCell ref="E3:E4"/>
    <mergeCell ref="F3:G4"/>
    <mergeCell ref="H3:I4"/>
    <mergeCell ref="J3:K4"/>
    <mergeCell ref="L3:M4"/>
    <mergeCell ref="N3:O4"/>
    <mergeCell ref="P3:Q4"/>
    <mergeCell ref="R3:S4"/>
    <mergeCell ref="T3:U4"/>
    <mergeCell ref="X3:Y4"/>
    <mergeCell ref="Z3:AA4"/>
    <mergeCell ref="AB3:AC4"/>
    <mergeCell ref="AD3:AE4"/>
    <mergeCell ref="AF3:AF5"/>
  </mergeCells>
  <hyperlinks>
    <hyperlink ref="A2:AE2" location="Оглавление!A1" display=" &quot;Управление муниципальным имуществом города Когалыма&quot;"/>
  </hyperlinks>
  <pageMargins left="0.7" right="0.7" top="0.75" bottom="0.75" header="0.3" footer="0.3"/>
  <pageSetup paperSize="9" orientation="portrait" r:id="rId31"/>
  <legacyDrawing r:id="rId3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146"/>
  <sheetViews>
    <sheetView zoomScale="55" zoomScaleNormal="55" workbookViewId="0">
      <pane xSplit="5" ySplit="6" topLeftCell="AC107" activePane="bottomRight" state="frozen"/>
      <selection pane="topRight" activeCell="F1" sqref="F1"/>
      <selection pane="bottomLeft" activeCell="A7" sqref="A7"/>
      <selection pane="bottomRight" activeCell="AF119" sqref="AF119"/>
    </sheetView>
  </sheetViews>
  <sheetFormatPr defaultRowHeight="15" x14ac:dyDescent="0.25"/>
  <cols>
    <col min="1" max="1" width="46.140625" style="62" customWidth="1"/>
    <col min="2" max="2" width="18.7109375" bestFit="1" customWidth="1"/>
    <col min="3" max="3" width="15.42578125" bestFit="1" customWidth="1"/>
    <col min="4" max="4" width="21" customWidth="1"/>
    <col min="5" max="5" width="17.5703125" customWidth="1"/>
    <col min="6" max="6" width="16.5703125" bestFit="1" customWidth="1"/>
    <col min="7" max="7" width="20.28515625" customWidth="1"/>
    <col min="8" max="8" width="15.5703125" bestFit="1" customWidth="1"/>
    <col min="9" max="9" width="15.28515625" customWidth="1"/>
    <col min="10" max="10" width="17.28515625" bestFit="1" customWidth="1"/>
    <col min="11" max="11" width="16.85546875" customWidth="1"/>
    <col min="12" max="12" width="15.5703125" bestFit="1" customWidth="1"/>
    <col min="13" max="13" width="16.42578125" customWidth="1"/>
    <col min="14" max="14" width="17.28515625" bestFit="1" customWidth="1"/>
    <col min="15" max="15" width="14.42578125" bestFit="1" customWidth="1"/>
    <col min="16" max="16" width="17.28515625" bestFit="1" customWidth="1"/>
    <col min="17" max="17" width="17" customWidth="1"/>
    <col min="18" max="18" width="17.28515625" bestFit="1" customWidth="1"/>
    <col min="19" max="19" width="16.7109375" customWidth="1"/>
    <col min="20" max="20" width="17.28515625" bestFit="1" customWidth="1"/>
    <col min="21" max="21" width="13.5703125" bestFit="1" customWidth="1"/>
    <col min="22" max="22" width="17.28515625" bestFit="1" customWidth="1"/>
    <col min="23" max="23" width="13.5703125" bestFit="1" customWidth="1"/>
    <col min="24" max="24" width="15.5703125" bestFit="1" customWidth="1"/>
    <col min="25" max="25" width="13.5703125" bestFit="1" customWidth="1"/>
    <col min="26" max="26" width="17.28515625" bestFit="1" customWidth="1"/>
    <col min="27" max="27" width="13.5703125" bestFit="1" customWidth="1"/>
    <col min="28" max="28" width="15.5703125" bestFit="1" customWidth="1"/>
    <col min="29" max="29" width="13.5703125" bestFit="1" customWidth="1"/>
    <col min="30" max="30" width="17" bestFit="1" customWidth="1"/>
    <col min="31" max="31" width="13.5703125" bestFit="1" customWidth="1"/>
    <col min="32" max="32" width="32.140625" customWidth="1"/>
    <col min="33" max="33" width="11.7109375" customWidth="1"/>
  </cols>
  <sheetData>
    <row r="1" spans="1:33" ht="18.75" x14ac:dyDescent="0.25">
      <c r="A1" s="1015" t="s">
        <v>0</v>
      </c>
      <c r="B1" s="1015"/>
      <c r="C1" s="1015"/>
      <c r="D1" s="1015"/>
      <c r="E1" s="1015"/>
      <c r="F1" s="1015"/>
      <c r="G1" s="1015"/>
      <c r="H1" s="1015"/>
      <c r="I1" s="1015"/>
      <c r="J1" s="1015"/>
      <c r="K1" s="1015"/>
      <c r="L1" s="1015"/>
      <c r="M1" s="1015"/>
      <c r="N1" s="1015"/>
      <c r="O1" s="1015"/>
      <c r="P1" s="1015"/>
      <c r="Q1" s="1015"/>
      <c r="R1" s="1015"/>
      <c r="S1" s="1015"/>
      <c r="T1" s="1015"/>
      <c r="U1" s="1015"/>
      <c r="V1" s="1015"/>
      <c r="W1" s="1015"/>
      <c r="X1" s="1015"/>
      <c r="Y1" s="1015"/>
      <c r="Z1" s="1015"/>
      <c r="AA1" s="1015"/>
      <c r="AB1" s="1015"/>
      <c r="AC1" s="1015"/>
      <c r="AD1" s="1015"/>
      <c r="AE1" s="1015"/>
      <c r="AF1" s="1015"/>
    </row>
    <row r="2" spans="1:33" ht="18.75" x14ac:dyDescent="0.25">
      <c r="A2" s="1016" t="s">
        <v>94</v>
      </c>
      <c r="B2" s="1016"/>
      <c r="C2" s="1016"/>
      <c r="D2" s="1016"/>
      <c r="E2" s="1016"/>
      <c r="F2" s="1016"/>
      <c r="G2" s="1016"/>
      <c r="H2" s="1016"/>
      <c r="I2" s="1016"/>
      <c r="J2" s="1016"/>
      <c r="K2" s="1016"/>
      <c r="L2" s="1016"/>
      <c r="M2" s="1016"/>
      <c r="N2" s="1016"/>
      <c r="O2" s="1016"/>
      <c r="P2" s="1016"/>
      <c r="Q2" s="1016"/>
      <c r="R2" s="1016"/>
      <c r="S2" s="1016"/>
      <c r="T2" s="1016"/>
      <c r="U2" s="1016"/>
      <c r="V2" s="1016"/>
      <c r="W2" s="1016"/>
      <c r="X2" s="1016"/>
      <c r="Y2" s="1016"/>
      <c r="Z2" s="1016"/>
      <c r="AA2" s="1016"/>
      <c r="AB2" s="1016"/>
      <c r="AC2" s="1016"/>
      <c r="AD2" s="1016"/>
      <c r="AE2" s="1016"/>
      <c r="AF2" s="1" t="s">
        <v>1</v>
      </c>
    </row>
    <row r="3" spans="1:33" x14ac:dyDescent="0.25">
      <c r="A3" s="1017" t="s">
        <v>2</v>
      </c>
      <c r="B3" s="1019" t="s">
        <v>3</v>
      </c>
      <c r="C3" s="1019" t="s">
        <v>3</v>
      </c>
      <c r="D3" s="1019" t="s">
        <v>4</v>
      </c>
      <c r="E3" s="1021" t="s">
        <v>5</v>
      </c>
      <c r="F3" s="1011" t="s">
        <v>6</v>
      </c>
      <c r="G3" s="1012"/>
      <c r="H3" s="1011" t="s">
        <v>7</v>
      </c>
      <c r="I3" s="1012"/>
      <c r="J3" s="1011" t="s">
        <v>8</v>
      </c>
      <c r="K3" s="1012"/>
      <c r="L3" s="1011" t="s">
        <v>9</v>
      </c>
      <c r="M3" s="1012"/>
      <c r="N3" s="1011" t="s">
        <v>10</v>
      </c>
      <c r="O3" s="1012"/>
      <c r="P3" s="1011" t="s">
        <v>11</v>
      </c>
      <c r="Q3" s="1012"/>
      <c r="R3" s="1011" t="s">
        <v>12</v>
      </c>
      <c r="S3" s="1012"/>
      <c r="T3" s="1011" t="s">
        <v>13</v>
      </c>
      <c r="U3" s="1012"/>
      <c r="V3" s="1011" t="s">
        <v>14</v>
      </c>
      <c r="W3" s="1012"/>
      <c r="X3" s="1011" t="s">
        <v>15</v>
      </c>
      <c r="Y3" s="1012"/>
      <c r="Z3" s="1011" t="s">
        <v>16</v>
      </c>
      <c r="AA3" s="1012"/>
      <c r="AB3" s="1011" t="s">
        <v>17</v>
      </c>
      <c r="AC3" s="1012"/>
      <c r="AD3" s="1011" t="s">
        <v>18</v>
      </c>
      <c r="AE3" s="1012"/>
      <c r="AF3" s="1017" t="s">
        <v>19</v>
      </c>
    </row>
    <row r="4" spans="1:33" ht="42.75" customHeight="1" x14ac:dyDescent="0.25">
      <c r="A4" s="1018"/>
      <c r="B4" s="1020"/>
      <c r="C4" s="1020"/>
      <c r="D4" s="1020"/>
      <c r="E4" s="1022"/>
      <c r="F4" s="1013"/>
      <c r="G4" s="1014"/>
      <c r="H4" s="1013"/>
      <c r="I4" s="1014"/>
      <c r="J4" s="1013"/>
      <c r="K4" s="1014"/>
      <c r="L4" s="1013"/>
      <c r="M4" s="1014"/>
      <c r="N4" s="1013"/>
      <c r="O4" s="1014"/>
      <c r="P4" s="1013"/>
      <c r="Q4" s="1014"/>
      <c r="R4" s="1013"/>
      <c r="S4" s="1014"/>
      <c r="T4" s="1013"/>
      <c r="U4" s="1014"/>
      <c r="V4" s="1013"/>
      <c r="W4" s="1014"/>
      <c r="X4" s="1013"/>
      <c r="Y4" s="1014"/>
      <c r="Z4" s="1013"/>
      <c r="AA4" s="1014"/>
      <c r="AB4" s="1013"/>
      <c r="AC4" s="1014"/>
      <c r="AD4" s="1013"/>
      <c r="AE4" s="1014"/>
      <c r="AF4" s="1018"/>
    </row>
    <row r="5" spans="1:33" ht="37.5" x14ac:dyDescent="0.25">
      <c r="A5" s="24"/>
      <c r="B5" s="3">
        <v>2024</v>
      </c>
      <c r="C5" s="4">
        <v>45474</v>
      </c>
      <c r="D5" s="4">
        <v>45474</v>
      </c>
      <c r="E5" s="4">
        <v>45474</v>
      </c>
      <c r="F5" s="5" t="s">
        <v>20</v>
      </c>
      <c r="G5" s="5" t="s">
        <v>21</v>
      </c>
      <c r="H5" s="5" t="s">
        <v>22</v>
      </c>
      <c r="I5" s="5" t="s">
        <v>23</v>
      </c>
      <c r="J5" s="5" t="s">
        <v>22</v>
      </c>
      <c r="K5" s="5" t="s">
        <v>23</v>
      </c>
      <c r="L5" s="5" t="s">
        <v>22</v>
      </c>
      <c r="M5" s="5" t="s">
        <v>23</v>
      </c>
      <c r="N5" s="5" t="s">
        <v>22</v>
      </c>
      <c r="O5" s="5" t="s">
        <v>23</v>
      </c>
      <c r="P5" s="5" t="s">
        <v>22</v>
      </c>
      <c r="Q5" s="5" t="s">
        <v>23</v>
      </c>
      <c r="R5" s="5" t="s">
        <v>22</v>
      </c>
      <c r="S5" s="5" t="s">
        <v>23</v>
      </c>
      <c r="T5" s="5" t="s">
        <v>22</v>
      </c>
      <c r="U5" s="5" t="s">
        <v>23</v>
      </c>
      <c r="V5" s="5" t="s">
        <v>22</v>
      </c>
      <c r="W5" s="5" t="s">
        <v>23</v>
      </c>
      <c r="X5" s="5" t="s">
        <v>22</v>
      </c>
      <c r="Y5" s="5" t="s">
        <v>23</v>
      </c>
      <c r="Z5" s="5" t="s">
        <v>22</v>
      </c>
      <c r="AA5" s="5" t="s">
        <v>23</v>
      </c>
      <c r="AB5" s="5" t="s">
        <v>22</v>
      </c>
      <c r="AC5" s="5" t="s">
        <v>23</v>
      </c>
      <c r="AD5" s="5" t="s">
        <v>22</v>
      </c>
      <c r="AE5" s="5" t="s">
        <v>23</v>
      </c>
      <c r="AF5" s="1023"/>
    </row>
    <row r="6" spans="1:33" ht="18.75" x14ac:dyDescent="0.25">
      <c r="A6" s="6">
        <v>1</v>
      </c>
      <c r="B6" s="769">
        <v>2</v>
      </c>
      <c r="C6" s="769">
        <v>3</v>
      </c>
      <c r="D6" s="769">
        <v>4</v>
      </c>
      <c r="E6" s="769">
        <v>5</v>
      </c>
      <c r="F6" s="769">
        <v>6</v>
      </c>
      <c r="G6" s="769">
        <v>7</v>
      </c>
      <c r="H6" s="769">
        <v>8</v>
      </c>
      <c r="I6" s="769">
        <v>9</v>
      </c>
      <c r="J6" s="769">
        <v>10</v>
      </c>
      <c r="K6" s="769">
        <v>11</v>
      </c>
      <c r="L6" s="769">
        <v>12</v>
      </c>
      <c r="M6" s="769">
        <v>13</v>
      </c>
      <c r="N6" s="769">
        <v>14</v>
      </c>
      <c r="O6" s="769">
        <v>15</v>
      </c>
      <c r="P6" s="769">
        <v>16</v>
      </c>
      <c r="Q6" s="769">
        <v>17</v>
      </c>
      <c r="R6" s="769">
        <v>18</v>
      </c>
      <c r="S6" s="769">
        <v>19</v>
      </c>
      <c r="T6" s="769">
        <v>20</v>
      </c>
      <c r="U6" s="769">
        <v>21</v>
      </c>
      <c r="V6" s="769">
        <v>22</v>
      </c>
      <c r="W6" s="769">
        <v>23</v>
      </c>
      <c r="X6" s="769">
        <v>24</v>
      </c>
      <c r="Y6" s="769">
        <v>25</v>
      </c>
      <c r="Z6" s="769">
        <v>26</v>
      </c>
      <c r="AA6" s="769">
        <v>27</v>
      </c>
      <c r="AB6" s="769">
        <v>28</v>
      </c>
      <c r="AC6" s="769">
        <v>29</v>
      </c>
      <c r="AD6" s="769">
        <v>30</v>
      </c>
      <c r="AE6" s="769">
        <v>31</v>
      </c>
      <c r="AF6" s="2">
        <v>32</v>
      </c>
    </row>
    <row r="7" spans="1:33" ht="37.5" x14ac:dyDescent="0.25">
      <c r="A7" s="66" t="s">
        <v>95</v>
      </c>
      <c r="B7" s="769"/>
      <c r="C7" s="770"/>
      <c r="D7" s="769"/>
      <c r="E7" s="769"/>
      <c r="F7" s="769"/>
      <c r="G7" s="769"/>
      <c r="H7" s="769"/>
      <c r="I7" s="769"/>
      <c r="J7" s="769"/>
      <c r="K7" s="769"/>
      <c r="L7" s="769"/>
      <c r="M7" s="769"/>
      <c r="N7" s="769"/>
      <c r="O7" s="769"/>
      <c r="P7" s="769"/>
      <c r="Q7" s="769"/>
      <c r="R7" s="769"/>
      <c r="S7" s="769"/>
      <c r="T7" s="769"/>
      <c r="U7" s="769"/>
      <c r="V7" s="769"/>
      <c r="W7" s="769"/>
      <c r="X7" s="769"/>
      <c r="Y7" s="769"/>
      <c r="Z7" s="769"/>
      <c r="AA7" s="769"/>
      <c r="AB7" s="769"/>
      <c r="AC7" s="769"/>
      <c r="AD7" s="769"/>
      <c r="AE7" s="769"/>
      <c r="AF7" s="2"/>
    </row>
    <row r="8" spans="1:33" ht="18.75" x14ac:dyDescent="0.25">
      <c r="A8" s="64" t="s">
        <v>54</v>
      </c>
      <c r="B8" s="769"/>
      <c r="C8" s="769"/>
      <c r="D8" s="769"/>
      <c r="E8" s="769"/>
      <c r="F8" s="769"/>
      <c r="G8" s="769"/>
      <c r="H8" s="769"/>
      <c r="I8" s="769"/>
      <c r="J8" s="769"/>
      <c r="K8" s="769"/>
      <c r="L8" s="769"/>
      <c r="M8" s="769"/>
      <c r="N8" s="769"/>
      <c r="O8" s="769"/>
      <c r="P8" s="769"/>
      <c r="Q8" s="769"/>
      <c r="R8" s="769"/>
      <c r="S8" s="769"/>
      <c r="T8" s="769"/>
      <c r="U8" s="769"/>
      <c r="V8" s="769"/>
      <c r="W8" s="769"/>
      <c r="X8" s="769"/>
      <c r="Y8" s="769"/>
      <c r="Z8" s="769"/>
      <c r="AA8" s="769"/>
      <c r="AB8" s="769"/>
      <c r="AC8" s="769"/>
      <c r="AD8" s="769"/>
      <c r="AE8" s="769"/>
      <c r="AF8" s="2"/>
    </row>
    <row r="9" spans="1:33" ht="56.25" customHeight="1" x14ac:dyDescent="0.25">
      <c r="A9" s="50" t="s">
        <v>96</v>
      </c>
      <c r="B9" s="30">
        <f>B10</f>
        <v>649.59</v>
      </c>
      <c r="C9" s="711">
        <f>C10</f>
        <v>165.77</v>
      </c>
      <c r="D9" s="711">
        <f>D10</f>
        <v>177.14999999999998</v>
      </c>
      <c r="E9" s="711">
        <f>E10</f>
        <v>160.82</v>
      </c>
      <c r="F9" s="711"/>
      <c r="G9" s="30"/>
      <c r="H9" s="711"/>
      <c r="I9" s="711"/>
      <c r="J9" s="711"/>
      <c r="K9" s="711"/>
      <c r="L9" s="711"/>
      <c r="M9" s="711"/>
      <c r="N9" s="30"/>
      <c r="O9" s="30"/>
      <c r="P9" s="30"/>
      <c r="Q9" s="30"/>
      <c r="R9" s="30"/>
      <c r="S9" s="30"/>
      <c r="T9" s="30"/>
      <c r="U9" s="30"/>
      <c r="V9" s="30"/>
      <c r="W9" s="30"/>
      <c r="X9" s="30"/>
      <c r="Y9" s="30"/>
      <c r="Z9" s="30"/>
      <c r="AA9" s="30"/>
      <c r="AB9" s="30"/>
      <c r="AC9" s="30"/>
      <c r="AD9" s="30"/>
      <c r="AE9" s="30"/>
      <c r="AF9" s="21"/>
    </row>
    <row r="10" spans="1:33" ht="18.75" x14ac:dyDescent="0.3">
      <c r="A10" s="13" t="s">
        <v>31</v>
      </c>
      <c r="B10" s="47">
        <f>B12+B11</f>
        <v>649.59</v>
      </c>
      <c r="C10" s="707">
        <f>C12+C11</f>
        <v>165.77</v>
      </c>
      <c r="D10" s="707">
        <f>D11+D12+D13</f>
        <v>177.14999999999998</v>
      </c>
      <c r="E10" s="707">
        <f>E12+E11</f>
        <v>160.82</v>
      </c>
      <c r="F10" s="708">
        <f>E10/B10*100</f>
        <v>24.757154512846562</v>
      </c>
      <c r="G10" s="32">
        <f>E10/C10*100</f>
        <v>97.013934970139331</v>
      </c>
      <c r="H10" s="707">
        <f>H11+H12</f>
        <v>0</v>
      </c>
      <c r="I10" s="707">
        <f t="shared" ref="I10:AE10" si="0">I11+I12</f>
        <v>0</v>
      </c>
      <c r="J10" s="707">
        <f t="shared" si="0"/>
        <v>0</v>
      </c>
      <c r="K10" s="707">
        <f t="shared" si="0"/>
        <v>0</v>
      </c>
      <c r="L10" s="707">
        <f t="shared" si="0"/>
        <v>0</v>
      </c>
      <c r="M10" s="707">
        <f t="shared" si="0"/>
        <v>0</v>
      </c>
      <c r="N10" s="47">
        <f>N12+N11</f>
        <v>165.77</v>
      </c>
      <c r="O10" s="707">
        <f t="shared" si="0"/>
        <v>154.07</v>
      </c>
      <c r="P10" s="707">
        <f t="shared" si="0"/>
        <v>0</v>
      </c>
      <c r="Q10" s="707">
        <f t="shared" si="0"/>
        <v>6.75</v>
      </c>
      <c r="R10" s="707">
        <f t="shared" si="0"/>
        <v>0</v>
      </c>
      <c r="S10" s="707">
        <f t="shared" si="0"/>
        <v>0</v>
      </c>
      <c r="T10" s="47">
        <f t="shared" si="0"/>
        <v>161.28</v>
      </c>
      <c r="U10" s="707">
        <f t="shared" si="0"/>
        <v>0</v>
      </c>
      <c r="V10" s="707">
        <f t="shared" si="0"/>
        <v>0</v>
      </c>
      <c r="W10" s="707">
        <f t="shared" si="0"/>
        <v>0</v>
      </c>
      <c r="X10" s="707">
        <f t="shared" si="0"/>
        <v>0</v>
      </c>
      <c r="Y10" s="707">
        <f t="shared" si="0"/>
        <v>0</v>
      </c>
      <c r="Z10" s="47">
        <f t="shared" si="0"/>
        <v>161.27000000000001</v>
      </c>
      <c r="AA10" s="707">
        <f t="shared" si="0"/>
        <v>0</v>
      </c>
      <c r="AB10" s="707">
        <f t="shared" si="0"/>
        <v>0</v>
      </c>
      <c r="AC10" s="707">
        <f t="shared" si="0"/>
        <v>0</v>
      </c>
      <c r="AD10" s="47">
        <f t="shared" si="0"/>
        <v>161.27000000000001</v>
      </c>
      <c r="AE10" s="707">
        <f t="shared" si="0"/>
        <v>0</v>
      </c>
      <c r="AF10" s="29"/>
      <c r="AG10" s="712"/>
    </row>
    <row r="11" spans="1:33" ht="18.75" x14ac:dyDescent="0.3">
      <c r="A11" s="13" t="s">
        <v>97</v>
      </c>
      <c r="B11" s="47">
        <f>H11+J11+L11+N11+P11+R11+T11+V11+X11+Z11+AB11+AD11</f>
        <v>152.29</v>
      </c>
      <c r="C11" s="707">
        <f>H11+J11+L11+N11</f>
        <v>38.07</v>
      </c>
      <c r="D11" s="707">
        <f>E11</f>
        <v>38.07</v>
      </c>
      <c r="E11" s="707">
        <f>K11+M11+O11+Q11+S11+U11+W11+Y11+AA11+AC11+AE11</f>
        <v>38.07</v>
      </c>
      <c r="F11" s="708">
        <f>E11/B11*100</f>
        <v>24.998358395167116</v>
      </c>
      <c r="G11" s="32">
        <f>E11/C11*100</f>
        <v>100</v>
      </c>
      <c r="H11" s="707">
        <v>0</v>
      </c>
      <c r="I11" s="707">
        <v>0</v>
      </c>
      <c r="J11" s="707">
        <v>0</v>
      </c>
      <c r="K11" s="707">
        <v>0</v>
      </c>
      <c r="L11" s="707">
        <v>0</v>
      </c>
      <c r="M11" s="707">
        <v>0</v>
      </c>
      <c r="N11" s="47">
        <v>38.07</v>
      </c>
      <c r="O11" s="707">
        <v>38.07</v>
      </c>
      <c r="P11" s="707"/>
      <c r="Q11" s="707"/>
      <c r="R11" s="707"/>
      <c r="S11" s="707"/>
      <c r="T11" s="47">
        <v>38.08</v>
      </c>
      <c r="U11" s="707"/>
      <c r="V11" s="707"/>
      <c r="W11" s="707"/>
      <c r="X11" s="707"/>
      <c r="Y11" s="707"/>
      <c r="Z11" s="47">
        <v>38.07</v>
      </c>
      <c r="AA11" s="707"/>
      <c r="AB11" s="707"/>
      <c r="AC11" s="707"/>
      <c r="AD11" s="47">
        <v>38.07</v>
      </c>
      <c r="AE11" s="707"/>
      <c r="AF11" s="29"/>
      <c r="AG11" s="712"/>
    </row>
    <row r="12" spans="1:33" ht="93.75" x14ac:dyDescent="0.3">
      <c r="A12" s="17" t="s">
        <v>33</v>
      </c>
      <c r="B12" s="47">
        <f>H12+J12+L12+N12+P12+R12+T12+V12+X12+Z12+AB12+AD12</f>
        <v>497.3</v>
      </c>
      <c r="C12" s="707">
        <f>H12+J12+L12+N12</f>
        <v>127.7</v>
      </c>
      <c r="D12" s="707">
        <f>E12</f>
        <v>122.75</v>
      </c>
      <c r="E12" s="707">
        <f>K12+M12+O12+Q12+S12+U12+W12+Y12+AA12+AC12+AE12+I12</f>
        <v>122.75</v>
      </c>
      <c r="F12" s="708">
        <f>E12/B12*100</f>
        <v>24.683289764729537</v>
      </c>
      <c r="G12" s="32">
        <f>E12/C12*100</f>
        <v>96.123727486296005</v>
      </c>
      <c r="H12" s="708">
        <v>0</v>
      </c>
      <c r="I12" s="708">
        <v>0</v>
      </c>
      <c r="J12" s="708">
        <v>0</v>
      </c>
      <c r="K12" s="708">
        <v>0</v>
      </c>
      <c r="L12" s="708">
        <v>0</v>
      </c>
      <c r="M12" s="708">
        <v>0</v>
      </c>
      <c r="N12" s="47">
        <v>127.7</v>
      </c>
      <c r="O12" s="707">
        <v>116</v>
      </c>
      <c r="P12" s="707"/>
      <c r="Q12" s="707">
        <v>6.75</v>
      </c>
      <c r="R12" s="707"/>
      <c r="S12" s="707"/>
      <c r="T12" s="47">
        <v>123.2</v>
      </c>
      <c r="U12" s="707"/>
      <c r="V12" s="707"/>
      <c r="W12" s="707"/>
      <c r="X12" s="707"/>
      <c r="Y12" s="707"/>
      <c r="Z12" s="47">
        <v>123.2</v>
      </c>
      <c r="AA12" s="707"/>
      <c r="AB12" s="707"/>
      <c r="AC12" s="707"/>
      <c r="AD12" s="47">
        <v>123.2</v>
      </c>
      <c r="AE12" s="708"/>
      <c r="AF12" s="997" t="s">
        <v>678</v>
      </c>
      <c r="AG12" s="712"/>
    </row>
    <row r="13" spans="1:33" ht="37.5" x14ac:dyDescent="0.3">
      <c r="A13" s="73" t="s">
        <v>130</v>
      </c>
      <c r="B13" s="35">
        <f>H13+J13+L13+N13+P13+R13+T13+V13+X13+Z13+AB13+AD13</f>
        <v>65.319999999999993</v>
      </c>
      <c r="C13" s="707">
        <f>H13+J13+L13+N13+P13+R13+T13+V13+X13</f>
        <v>32.659999999999997</v>
      </c>
      <c r="D13" s="707">
        <f>E13</f>
        <v>16.329999999999998</v>
      </c>
      <c r="E13" s="707">
        <f>K13+M13+O13+Q13+S13+U13+W13+Y13+AA13+AC13+AE13+I13</f>
        <v>16.329999999999998</v>
      </c>
      <c r="F13" s="708">
        <f>E13/B13*100</f>
        <v>25</v>
      </c>
      <c r="G13" s="32">
        <f>E13/C13*100</f>
        <v>50</v>
      </c>
      <c r="H13" s="708"/>
      <c r="I13" s="708"/>
      <c r="J13" s="708"/>
      <c r="K13" s="708"/>
      <c r="L13" s="708"/>
      <c r="M13" s="708"/>
      <c r="N13" s="47">
        <v>16.329999999999998</v>
      </c>
      <c r="O13" s="707">
        <v>16.329999999999998</v>
      </c>
      <c r="P13" s="707"/>
      <c r="Q13" s="707"/>
      <c r="R13" s="707"/>
      <c r="S13" s="707"/>
      <c r="T13" s="47">
        <v>16.329999999999998</v>
      </c>
      <c r="U13" s="707"/>
      <c r="V13" s="707"/>
      <c r="W13" s="707"/>
      <c r="X13" s="707"/>
      <c r="Y13" s="707"/>
      <c r="Z13" s="47">
        <v>16.329999999999998</v>
      </c>
      <c r="AA13" s="707"/>
      <c r="AB13" s="707"/>
      <c r="AC13" s="707"/>
      <c r="AD13" s="47">
        <v>16.329999999999998</v>
      </c>
      <c r="AE13" s="708"/>
      <c r="AF13" s="29"/>
      <c r="AG13" s="712"/>
    </row>
    <row r="14" spans="1:33" ht="112.5" x14ac:dyDescent="0.3">
      <c r="A14" s="50" t="s">
        <v>98</v>
      </c>
      <c r="B14" s="649"/>
      <c r="C14" s="649"/>
      <c r="D14" s="649"/>
      <c r="E14" s="649"/>
      <c r="F14" s="32"/>
      <c r="G14" s="32"/>
      <c r="H14" s="649"/>
      <c r="I14" s="649"/>
      <c r="J14" s="649"/>
      <c r="K14" s="649"/>
      <c r="L14" s="649"/>
      <c r="M14" s="649"/>
      <c r="N14" s="649"/>
      <c r="O14" s="649"/>
      <c r="P14" s="649"/>
      <c r="Q14" s="649"/>
      <c r="R14" s="649"/>
      <c r="S14" s="649"/>
      <c r="T14" s="649"/>
      <c r="U14" s="649"/>
      <c r="V14" s="649"/>
      <c r="W14" s="649"/>
      <c r="X14" s="649"/>
      <c r="Y14" s="649"/>
      <c r="Z14" s="649"/>
      <c r="AA14" s="649"/>
      <c r="AB14" s="649"/>
      <c r="AC14" s="649"/>
      <c r="AD14" s="649"/>
      <c r="AE14" s="649"/>
      <c r="AF14" s="784" t="s">
        <v>624</v>
      </c>
      <c r="AG14" s="712"/>
    </row>
    <row r="15" spans="1:33" ht="18.75" x14ac:dyDescent="0.3">
      <c r="A15" s="13" t="s">
        <v>31</v>
      </c>
      <c r="B15" s="649">
        <f>B16</f>
        <v>9983.5</v>
      </c>
      <c r="C15" s="649">
        <f>C16</f>
        <v>5790.4000000000005</v>
      </c>
      <c r="D15" s="649">
        <f>D16</f>
        <v>2673.51</v>
      </c>
      <c r="E15" s="649">
        <f>E16</f>
        <v>2673.51</v>
      </c>
      <c r="F15" s="32">
        <f>E15/B15*100</f>
        <v>26.779285821605654</v>
      </c>
      <c r="G15" s="32">
        <f>E15/C15*100</f>
        <v>46.171421663442942</v>
      </c>
      <c r="H15" s="649">
        <f>H16</f>
        <v>758.66</v>
      </c>
      <c r="I15" s="649">
        <f t="shared" ref="I15:AE15" si="1">I16</f>
        <v>733.85</v>
      </c>
      <c r="J15" s="649">
        <f t="shared" si="1"/>
        <v>838.79</v>
      </c>
      <c r="K15" s="649">
        <f t="shared" si="1"/>
        <v>646.39</v>
      </c>
      <c r="L15" s="649">
        <f t="shared" si="1"/>
        <v>838.59</v>
      </c>
      <c r="M15" s="649">
        <f t="shared" si="1"/>
        <v>647.1</v>
      </c>
      <c r="N15" s="649">
        <f t="shared" si="1"/>
        <v>838.59</v>
      </c>
      <c r="O15" s="649">
        <f t="shared" si="1"/>
        <v>646.16999999999996</v>
      </c>
      <c r="P15" s="649">
        <f t="shared" si="1"/>
        <v>838.59</v>
      </c>
      <c r="Q15" s="649">
        <f t="shared" si="1"/>
        <v>645.28</v>
      </c>
      <c r="R15" s="649">
        <f t="shared" si="1"/>
        <v>838.59</v>
      </c>
      <c r="S15" s="649">
        <f t="shared" si="1"/>
        <v>645.73</v>
      </c>
      <c r="T15" s="649">
        <f t="shared" si="1"/>
        <v>838.59</v>
      </c>
      <c r="U15" s="649">
        <f t="shared" si="1"/>
        <v>0</v>
      </c>
      <c r="V15" s="649">
        <f t="shared" si="1"/>
        <v>838.59</v>
      </c>
      <c r="W15" s="649">
        <f t="shared" si="1"/>
        <v>0</v>
      </c>
      <c r="X15" s="649">
        <f t="shared" si="1"/>
        <v>838.59</v>
      </c>
      <c r="Y15" s="649">
        <f t="shared" si="1"/>
        <v>0</v>
      </c>
      <c r="Z15" s="649">
        <f t="shared" si="1"/>
        <v>838.59</v>
      </c>
      <c r="AA15" s="649">
        <f t="shared" si="1"/>
        <v>0</v>
      </c>
      <c r="AB15" s="649">
        <f t="shared" si="1"/>
        <v>838.58</v>
      </c>
      <c r="AC15" s="649">
        <f t="shared" si="1"/>
        <v>0</v>
      </c>
      <c r="AD15" s="649">
        <f t="shared" si="1"/>
        <v>838.75</v>
      </c>
      <c r="AE15" s="649">
        <f t="shared" si="1"/>
        <v>0</v>
      </c>
      <c r="AF15" s="29"/>
      <c r="AG15" s="712"/>
    </row>
    <row r="16" spans="1:33" ht="18.75" x14ac:dyDescent="0.3">
      <c r="A16" s="17" t="s">
        <v>33</v>
      </c>
      <c r="B16" s="47">
        <f>H16+J16+L16+N16+P16+R16+T16+V16+X16+Z16+AB16+AD16</f>
        <v>9983.5</v>
      </c>
      <c r="C16" s="47">
        <f>H16+J16+L16+N16+P16+R16+T16</f>
        <v>5790.4000000000005</v>
      </c>
      <c r="D16" s="47">
        <f>E16</f>
        <v>2673.51</v>
      </c>
      <c r="E16" s="47">
        <f>I16+K16+M16+O16</f>
        <v>2673.51</v>
      </c>
      <c r="F16" s="32">
        <f>E16/B16*100</f>
        <v>26.779285821605654</v>
      </c>
      <c r="G16" s="32">
        <f>E16/C16*100</f>
        <v>46.171421663442942</v>
      </c>
      <c r="H16" s="649">
        <v>758.66</v>
      </c>
      <c r="I16" s="649">
        <v>733.85</v>
      </c>
      <c r="J16" s="649">
        <v>838.79</v>
      </c>
      <c r="K16" s="649">
        <v>646.39</v>
      </c>
      <c r="L16" s="649">
        <v>838.59</v>
      </c>
      <c r="M16" s="649">
        <v>647.1</v>
      </c>
      <c r="N16" s="649">
        <v>838.59</v>
      </c>
      <c r="O16" s="649">
        <v>646.16999999999996</v>
      </c>
      <c r="P16" s="649">
        <v>838.59</v>
      </c>
      <c r="Q16" s="649">
        <v>645.28</v>
      </c>
      <c r="R16" s="649">
        <v>838.59</v>
      </c>
      <c r="S16" s="649">
        <v>645.73</v>
      </c>
      <c r="T16" s="649">
        <v>838.59</v>
      </c>
      <c r="U16" s="649"/>
      <c r="V16" s="649">
        <v>838.59</v>
      </c>
      <c r="W16" s="649"/>
      <c r="X16" s="649">
        <v>838.59</v>
      </c>
      <c r="Y16" s="649"/>
      <c r="Z16" s="649">
        <v>838.59</v>
      </c>
      <c r="AA16" s="649"/>
      <c r="AB16" s="649">
        <v>838.58</v>
      </c>
      <c r="AC16" s="649"/>
      <c r="AD16" s="649">
        <v>838.75</v>
      </c>
      <c r="AE16" s="649"/>
      <c r="AF16" s="29"/>
      <c r="AG16" s="712"/>
    </row>
    <row r="17" spans="1:33" ht="168.75" x14ac:dyDescent="0.3">
      <c r="A17" s="70" t="s">
        <v>99</v>
      </c>
      <c r="B17" s="649"/>
      <c r="C17" s="649"/>
      <c r="D17" s="649"/>
      <c r="E17" s="649"/>
      <c r="F17" s="32"/>
      <c r="G17" s="32"/>
      <c r="H17" s="649"/>
      <c r="I17" s="649"/>
      <c r="J17" s="649"/>
      <c r="K17" s="649"/>
      <c r="L17" s="649"/>
      <c r="M17" s="649"/>
      <c r="N17" s="649"/>
      <c r="O17" s="649"/>
      <c r="P17" s="649"/>
      <c r="Q17" s="649"/>
      <c r="R17" s="649"/>
      <c r="S17" s="649"/>
      <c r="T17" s="649"/>
      <c r="U17" s="649"/>
      <c r="V17" s="649"/>
      <c r="W17" s="649"/>
      <c r="X17" s="649"/>
      <c r="Y17" s="649"/>
      <c r="Z17" s="649"/>
      <c r="AA17" s="649"/>
      <c r="AB17" s="649"/>
      <c r="AC17" s="649"/>
      <c r="AD17" s="649"/>
      <c r="AE17" s="649"/>
      <c r="AF17" s="932" t="s">
        <v>594</v>
      </c>
      <c r="AG17" s="712"/>
    </row>
    <row r="18" spans="1:33" ht="18.75" x14ac:dyDescent="0.3">
      <c r="A18" s="13" t="s">
        <v>31</v>
      </c>
      <c r="B18" s="649">
        <f>B19+B20</f>
        <v>3251.3900000000003</v>
      </c>
      <c r="C18" s="649">
        <f>C19+C20</f>
        <v>1017.0799999999999</v>
      </c>
      <c r="D18" s="649">
        <f>D19+D20</f>
        <v>1654.1399999999999</v>
      </c>
      <c r="E18" s="649">
        <f>E19+E20</f>
        <v>1654.1399999999999</v>
      </c>
      <c r="F18" s="32">
        <f>E18/B18*100</f>
        <v>50.874856599792693</v>
      </c>
      <c r="G18" s="32">
        <f>E18/C18*100</f>
        <v>162.63617414559326</v>
      </c>
      <c r="H18" s="649">
        <f t="shared" ref="H18:AE18" si="2">H19+H20</f>
        <v>351.32</v>
      </c>
      <c r="I18" s="649">
        <f t="shared" si="2"/>
        <v>256.21000000000004</v>
      </c>
      <c r="J18" s="649">
        <f t="shared" si="2"/>
        <v>216.67</v>
      </c>
      <c r="K18" s="649">
        <f t="shared" si="2"/>
        <v>251.63</v>
      </c>
      <c r="L18" s="649">
        <f t="shared" si="2"/>
        <v>385.99</v>
      </c>
      <c r="M18" s="649">
        <f t="shared" si="2"/>
        <v>318.68</v>
      </c>
      <c r="N18" s="649">
        <f t="shared" si="2"/>
        <v>371.54</v>
      </c>
      <c r="O18" s="649">
        <f t="shared" si="2"/>
        <v>276.31</v>
      </c>
      <c r="P18" s="649">
        <f t="shared" si="2"/>
        <v>306.22000000000003</v>
      </c>
      <c r="Q18" s="649">
        <f t="shared" si="2"/>
        <v>263.17</v>
      </c>
      <c r="R18" s="649">
        <f t="shared" si="2"/>
        <v>278.45999999999998</v>
      </c>
      <c r="S18" s="649">
        <f t="shared" si="2"/>
        <v>288.14</v>
      </c>
      <c r="T18" s="649">
        <f t="shared" si="2"/>
        <v>387.73</v>
      </c>
      <c r="U18" s="649">
        <f t="shared" si="2"/>
        <v>0</v>
      </c>
      <c r="V18" s="649">
        <f t="shared" si="2"/>
        <v>171.6</v>
      </c>
      <c r="W18" s="649">
        <f t="shared" si="2"/>
        <v>0</v>
      </c>
      <c r="X18" s="649">
        <f t="shared" si="2"/>
        <v>150.26</v>
      </c>
      <c r="Y18" s="649">
        <f t="shared" si="2"/>
        <v>0</v>
      </c>
      <c r="Z18" s="649">
        <f t="shared" si="2"/>
        <v>234.16000000000003</v>
      </c>
      <c r="AA18" s="649">
        <f t="shared" si="2"/>
        <v>0</v>
      </c>
      <c r="AB18" s="649">
        <f t="shared" si="2"/>
        <v>171.61</v>
      </c>
      <c r="AC18" s="649">
        <f t="shared" si="2"/>
        <v>0</v>
      </c>
      <c r="AD18" s="649">
        <f t="shared" si="2"/>
        <v>225.83</v>
      </c>
      <c r="AE18" s="649">
        <f t="shared" si="2"/>
        <v>0</v>
      </c>
      <c r="AF18" s="29"/>
      <c r="AG18" s="712"/>
    </row>
    <row r="19" spans="1:33" ht="135" customHeight="1" x14ac:dyDescent="0.3">
      <c r="A19" s="13" t="s">
        <v>97</v>
      </c>
      <c r="B19" s="47">
        <f>H19+J19+L19+N19+P19+R19+T19+V19+X19+Z19+AB19+AD19</f>
        <v>3177.1900000000005</v>
      </c>
      <c r="C19" s="47">
        <f>H19+J19+L19</f>
        <v>946.43</v>
      </c>
      <c r="D19" s="47">
        <f>E19</f>
        <v>1641.12</v>
      </c>
      <c r="E19" s="47">
        <f>K19+M19+O19+Q19+S19+U19+W19+Y19+AA19+AC19+AE19+I19</f>
        <v>1641.12</v>
      </c>
      <c r="F19" s="32">
        <f>E19/B19*100</f>
        <v>51.653190397804337</v>
      </c>
      <c r="G19" s="32">
        <f>E19/C19*100</f>
        <v>173.40109675306149</v>
      </c>
      <c r="H19" s="649">
        <v>343.77</v>
      </c>
      <c r="I19" s="649">
        <v>248.71</v>
      </c>
      <c r="J19" s="649">
        <v>216.67</v>
      </c>
      <c r="K19" s="649">
        <v>251.63</v>
      </c>
      <c r="L19" s="649">
        <v>385.99</v>
      </c>
      <c r="M19" s="649">
        <v>318.68</v>
      </c>
      <c r="N19" s="649">
        <v>313.99</v>
      </c>
      <c r="O19" s="649">
        <v>270.79000000000002</v>
      </c>
      <c r="P19" s="649">
        <v>306.22000000000003</v>
      </c>
      <c r="Q19" s="649">
        <v>263.17</v>
      </c>
      <c r="R19" s="649">
        <v>278.45999999999998</v>
      </c>
      <c r="S19" s="649">
        <v>288.14</v>
      </c>
      <c r="T19" s="649">
        <v>382.18</v>
      </c>
      <c r="U19" s="649"/>
      <c r="V19" s="649">
        <v>171.6</v>
      </c>
      <c r="W19" s="649"/>
      <c r="X19" s="649">
        <v>150.26</v>
      </c>
      <c r="Y19" s="649"/>
      <c r="Z19" s="649">
        <v>230.61</v>
      </c>
      <c r="AA19" s="649"/>
      <c r="AB19" s="649">
        <v>171.61</v>
      </c>
      <c r="AC19" s="649"/>
      <c r="AD19" s="649">
        <v>225.83</v>
      </c>
      <c r="AE19" s="649"/>
      <c r="AF19" s="935" t="s">
        <v>521</v>
      </c>
      <c r="AG19" s="712"/>
    </row>
    <row r="20" spans="1:33" ht="18.75" x14ac:dyDescent="0.3">
      <c r="A20" s="17" t="s">
        <v>33</v>
      </c>
      <c r="B20" s="47">
        <f>H20+N20+T20+Z20</f>
        <v>74.199999999999989</v>
      </c>
      <c r="C20" s="47">
        <f>H20+J20+L20+N20+P20+R20+T20</f>
        <v>70.649999999999991</v>
      </c>
      <c r="D20" s="47">
        <f>E20</f>
        <v>13.02</v>
      </c>
      <c r="E20" s="47">
        <f>K20+M20+O20+Q20+S20+U20+W20+Y20+AA20+AC20+AE20+I20</f>
        <v>13.02</v>
      </c>
      <c r="F20" s="32">
        <f>E20/B20*100</f>
        <v>17.547169811320757</v>
      </c>
      <c r="G20" s="32">
        <f>E20/C20*100</f>
        <v>18.42887473460722</v>
      </c>
      <c r="H20" s="649">
        <v>7.55</v>
      </c>
      <c r="I20" s="649">
        <v>7.5</v>
      </c>
      <c r="J20" s="649"/>
      <c r="K20" s="649"/>
      <c r="L20" s="649"/>
      <c r="M20" s="649"/>
      <c r="N20" s="649">
        <v>57.55</v>
      </c>
      <c r="O20" s="649">
        <v>5.52</v>
      </c>
      <c r="P20" s="649"/>
      <c r="Q20" s="649"/>
      <c r="R20" s="649"/>
      <c r="S20" s="649"/>
      <c r="T20" s="649">
        <v>5.55</v>
      </c>
      <c r="U20" s="649"/>
      <c r="V20" s="649"/>
      <c r="W20" s="649"/>
      <c r="X20" s="649"/>
      <c r="Y20" s="649"/>
      <c r="Z20" s="649">
        <v>3.55</v>
      </c>
      <c r="AA20" s="649"/>
      <c r="AB20" s="649"/>
      <c r="AC20" s="649"/>
      <c r="AD20" s="649"/>
      <c r="AE20" s="649"/>
      <c r="AF20" s="29"/>
      <c r="AG20" s="712"/>
    </row>
    <row r="21" spans="1:33" ht="112.5" x14ac:dyDescent="0.3">
      <c r="A21" s="70" t="s">
        <v>101</v>
      </c>
      <c r="B21" s="649"/>
      <c r="C21" s="649"/>
      <c r="D21" s="649"/>
      <c r="E21" s="649"/>
      <c r="F21" s="32"/>
      <c r="G21" s="32"/>
      <c r="H21" s="649"/>
      <c r="I21" s="649"/>
      <c r="J21" s="649"/>
      <c r="K21" s="649"/>
      <c r="L21" s="649"/>
      <c r="M21" s="649"/>
      <c r="N21" s="649"/>
      <c r="O21" s="649"/>
      <c r="P21" s="649"/>
      <c r="Q21" s="649"/>
      <c r="R21" s="649"/>
      <c r="S21" s="649"/>
      <c r="T21" s="649"/>
      <c r="U21" s="649"/>
      <c r="V21" s="649"/>
      <c r="W21" s="649"/>
      <c r="X21" s="649"/>
      <c r="Y21" s="649"/>
      <c r="Z21" s="649"/>
      <c r="AA21" s="649"/>
      <c r="AB21" s="649"/>
      <c r="AC21" s="649"/>
      <c r="AD21" s="649"/>
      <c r="AE21" s="649"/>
      <c r="AF21" s="29"/>
      <c r="AG21" s="712"/>
    </row>
    <row r="22" spans="1:33" ht="18.75" x14ac:dyDescent="0.3">
      <c r="A22" s="13" t="s">
        <v>31</v>
      </c>
      <c r="B22" s="649">
        <f>B23</f>
        <v>2.8</v>
      </c>
      <c r="C22" s="766">
        <f>C23</f>
        <v>2.8</v>
      </c>
      <c r="D22" s="766">
        <f>I22+K22+M22+O22+Q22+S22+U22+W22+Y22+AA22+AC22+AE22</f>
        <v>2.79</v>
      </c>
      <c r="E22" s="766">
        <f>E23</f>
        <v>2.79</v>
      </c>
      <c r="F22" s="708">
        <f>E22/B22*100</f>
        <v>99.642857142857153</v>
      </c>
      <c r="G22" s="32">
        <f>E22/C22*100</f>
        <v>99.642857142857153</v>
      </c>
      <c r="H22" s="766">
        <f>H23</f>
        <v>0</v>
      </c>
      <c r="I22" s="766">
        <f t="shared" ref="I22:AE23" si="3">I23</f>
        <v>0</v>
      </c>
      <c r="J22" s="766">
        <f t="shared" si="3"/>
        <v>0</v>
      </c>
      <c r="K22" s="766">
        <f t="shared" si="3"/>
        <v>0</v>
      </c>
      <c r="L22" s="766">
        <f t="shared" si="3"/>
        <v>0</v>
      </c>
      <c r="M22" s="766">
        <f t="shared" si="3"/>
        <v>0</v>
      </c>
      <c r="N22" s="766">
        <f t="shared" si="3"/>
        <v>0</v>
      </c>
      <c r="O22" s="766">
        <f t="shared" si="3"/>
        <v>0</v>
      </c>
      <c r="P22" s="649">
        <f t="shared" si="3"/>
        <v>2.8</v>
      </c>
      <c r="Q22" s="766">
        <f t="shared" si="3"/>
        <v>2.79</v>
      </c>
      <c r="R22" s="766">
        <f t="shared" si="3"/>
        <v>0</v>
      </c>
      <c r="S22" s="766">
        <f t="shared" si="3"/>
        <v>0</v>
      </c>
      <c r="T22" s="766">
        <f t="shared" si="3"/>
        <v>0</v>
      </c>
      <c r="U22" s="766">
        <f t="shared" si="3"/>
        <v>0</v>
      </c>
      <c r="V22" s="766">
        <f t="shared" si="3"/>
        <v>0</v>
      </c>
      <c r="W22" s="766">
        <f t="shared" si="3"/>
        <v>0</v>
      </c>
      <c r="X22" s="766">
        <f t="shared" si="3"/>
        <v>0</v>
      </c>
      <c r="Y22" s="766">
        <f t="shared" si="3"/>
        <v>0</v>
      </c>
      <c r="Z22" s="766">
        <f t="shared" si="3"/>
        <v>0</v>
      </c>
      <c r="AA22" s="766">
        <f t="shared" si="3"/>
        <v>0</v>
      </c>
      <c r="AB22" s="766">
        <f t="shared" si="3"/>
        <v>0</v>
      </c>
      <c r="AC22" s="766">
        <f t="shared" si="3"/>
        <v>0</v>
      </c>
      <c r="AD22" s="766">
        <f t="shared" si="3"/>
        <v>0</v>
      </c>
      <c r="AE22" s="766">
        <f t="shared" si="3"/>
        <v>0</v>
      </c>
      <c r="AF22" s="29"/>
      <c r="AG22" s="712"/>
    </row>
    <row r="23" spans="1:33" ht="18.75" x14ac:dyDescent="0.3">
      <c r="A23" s="13" t="s">
        <v>102</v>
      </c>
      <c r="B23" s="47">
        <f>H23+J23+L23+N23+P23+R23+T23+V23+X23+Z23+AB23+AD23</f>
        <v>2.8</v>
      </c>
      <c r="C23" s="707">
        <f>H23+J23+L23+N23+P23+R23+T23</f>
        <v>2.8</v>
      </c>
      <c r="D23" s="707">
        <f>I23+K23+M23+O23+Q23+S23+U23+W23+Y23+AA23+AC23+AE23</f>
        <v>2.79</v>
      </c>
      <c r="E23" s="707">
        <f>K23+M23+O23+Q23+S23+U23+W23+Y23+AA23+AC23+AE23</f>
        <v>2.79</v>
      </c>
      <c r="F23" s="708">
        <f>E23/B23*100</f>
        <v>99.642857142857153</v>
      </c>
      <c r="G23" s="32">
        <f>E23/C23*100</f>
        <v>99.642857142857153</v>
      </c>
      <c r="H23" s="766">
        <f>H24</f>
        <v>0</v>
      </c>
      <c r="I23" s="766">
        <f t="shared" si="3"/>
        <v>0</v>
      </c>
      <c r="J23" s="766">
        <f t="shared" si="3"/>
        <v>0</v>
      </c>
      <c r="K23" s="766">
        <f t="shared" si="3"/>
        <v>0</v>
      </c>
      <c r="L23" s="766">
        <f t="shared" si="3"/>
        <v>0</v>
      </c>
      <c r="M23" s="766">
        <f t="shared" si="3"/>
        <v>0</v>
      </c>
      <c r="N23" s="766">
        <f t="shared" si="3"/>
        <v>0</v>
      </c>
      <c r="O23" s="766">
        <f t="shared" si="3"/>
        <v>0</v>
      </c>
      <c r="P23" s="649">
        <v>2.8</v>
      </c>
      <c r="Q23" s="766">
        <v>2.79</v>
      </c>
      <c r="R23" s="766">
        <f t="shared" si="3"/>
        <v>0</v>
      </c>
      <c r="S23" s="766">
        <f t="shared" si="3"/>
        <v>0</v>
      </c>
      <c r="T23" s="766">
        <f t="shared" si="3"/>
        <v>0</v>
      </c>
      <c r="U23" s="766">
        <f t="shared" si="3"/>
        <v>0</v>
      </c>
      <c r="V23" s="766">
        <f t="shared" si="3"/>
        <v>0</v>
      </c>
      <c r="W23" s="766">
        <f t="shared" si="3"/>
        <v>0</v>
      </c>
      <c r="X23" s="766">
        <f t="shared" si="3"/>
        <v>0</v>
      </c>
      <c r="Y23" s="766">
        <f t="shared" si="3"/>
        <v>0</v>
      </c>
      <c r="Z23" s="766">
        <f t="shared" si="3"/>
        <v>0</v>
      </c>
      <c r="AA23" s="766">
        <f t="shared" si="3"/>
        <v>0</v>
      </c>
      <c r="AB23" s="766">
        <f t="shared" si="3"/>
        <v>0</v>
      </c>
      <c r="AC23" s="766">
        <f t="shared" si="3"/>
        <v>0</v>
      </c>
      <c r="AD23" s="766">
        <f t="shared" si="3"/>
        <v>0</v>
      </c>
      <c r="AE23" s="766">
        <f t="shared" si="3"/>
        <v>0</v>
      </c>
      <c r="AF23" s="29"/>
      <c r="AG23" s="712"/>
    </row>
    <row r="24" spans="1:33" ht="93.75" x14ac:dyDescent="0.3">
      <c r="A24" s="48" t="s">
        <v>103</v>
      </c>
      <c r="B24" s="649"/>
      <c r="C24" s="649"/>
      <c r="D24" s="649"/>
      <c r="E24" s="649"/>
      <c r="F24" s="32"/>
      <c r="G24" s="32"/>
      <c r="H24" s="649"/>
      <c r="I24" s="649"/>
      <c r="J24" s="649"/>
      <c r="K24" s="649"/>
      <c r="L24" s="649"/>
      <c r="M24" s="649"/>
      <c r="N24" s="649"/>
      <c r="O24" s="649"/>
      <c r="P24" s="649"/>
      <c r="Q24" s="649"/>
      <c r="R24" s="649"/>
      <c r="S24" s="649"/>
      <c r="T24" s="649"/>
      <c r="U24" s="649"/>
      <c r="V24" s="649"/>
      <c r="W24" s="649"/>
      <c r="X24" s="649"/>
      <c r="Y24" s="649"/>
      <c r="Z24" s="649"/>
      <c r="AA24" s="649"/>
      <c r="AB24" s="649"/>
      <c r="AC24" s="649"/>
      <c r="AD24" s="649"/>
      <c r="AE24" s="649"/>
      <c r="AF24" s="29"/>
      <c r="AG24" s="712"/>
    </row>
    <row r="25" spans="1:33" ht="18.75" x14ac:dyDescent="0.3">
      <c r="A25" s="13" t="s">
        <v>31</v>
      </c>
      <c r="B25" s="649">
        <f>B26</f>
        <v>264.5</v>
      </c>
      <c r="C25" s="766">
        <f>C26</f>
        <v>20.350000000000001</v>
      </c>
      <c r="D25" s="766">
        <f>D26</f>
        <v>0</v>
      </c>
      <c r="E25" s="766">
        <f>E26</f>
        <v>4.66</v>
      </c>
      <c r="F25" s="708">
        <f>E25/B25*100</f>
        <v>1.7618147448015122</v>
      </c>
      <c r="G25" s="32">
        <f>E25/C25*100</f>
        <v>22.899262899262897</v>
      </c>
      <c r="H25" s="766">
        <f>H26</f>
        <v>0</v>
      </c>
      <c r="I25" s="766">
        <f t="shared" ref="I25:AE25" si="4">I26</f>
        <v>0</v>
      </c>
      <c r="J25" s="766">
        <f t="shared" si="4"/>
        <v>0</v>
      </c>
      <c r="K25" s="766">
        <f t="shared" si="4"/>
        <v>0</v>
      </c>
      <c r="L25" s="766">
        <f t="shared" si="4"/>
        <v>0</v>
      </c>
      <c r="M25" s="766">
        <f t="shared" si="4"/>
        <v>0</v>
      </c>
      <c r="N25" s="766">
        <f t="shared" si="4"/>
        <v>0</v>
      </c>
      <c r="O25" s="766">
        <f t="shared" si="4"/>
        <v>0</v>
      </c>
      <c r="P25" s="649">
        <f t="shared" si="4"/>
        <v>10.17</v>
      </c>
      <c r="Q25" s="649">
        <f t="shared" si="4"/>
        <v>0</v>
      </c>
      <c r="R25" s="649">
        <f t="shared" si="4"/>
        <v>10.18</v>
      </c>
      <c r="S25" s="649">
        <f t="shared" si="4"/>
        <v>0</v>
      </c>
      <c r="T25" s="649">
        <f t="shared" si="4"/>
        <v>10.18</v>
      </c>
      <c r="U25" s="649">
        <f t="shared" si="4"/>
        <v>4.66</v>
      </c>
      <c r="V25" s="649">
        <f t="shared" si="4"/>
        <v>10.18</v>
      </c>
      <c r="W25" s="649">
        <f t="shared" si="4"/>
        <v>0</v>
      </c>
      <c r="X25" s="649">
        <f t="shared" si="4"/>
        <v>10.18</v>
      </c>
      <c r="Y25" s="649">
        <f t="shared" si="4"/>
        <v>0</v>
      </c>
      <c r="Z25" s="649">
        <f t="shared" si="4"/>
        <v>10.17</v>
      </c>
      <c r="AA25" s="649">
        <f t="shared" si="4"/>
        <v>0</v>
      </c>
      <c r="AB25" s="649">
        <f t="shared" si="4"/>
        <v>10.17</v>
      </c>
      <c r="AC25" s="649">
        <f t="shared" si="4"/>
        <v>0</v>
      </c>
      <c r="AD25" s="649">
        <f t="shared" si="4"/>
        <v>193.26999999999998</v>
      </c>
      <c r="AE25" s="649">
        <f t="shared" si="4"/>
        <v>0</v>
      </c>
      <c r="AF25" s="29"/>
      <c r="AG25" s="712"/>
    </row>
    <row r="26" spans="1:33" ht="18.75" x14ac:dyDescent="0.3">
      <c r="A26" s="17" t="s">
        <v>33</v>
      </c>
      <c r="B26" s="47">
        <f>B29+B32+B35+B38</f>
        <v>264.5</v>
      </c>
      <c r="C26" s="707">
        <f>H26+J26+L26+N26+P26+R26</f>
        <v>20.350000000000001</v>
      </c>
      <c r="D26" s="707">
        <f>D29+D32+D35+D38</f>
        <v>0</v>
      </c>
      <c r="E26" s="707">
        <f>E29+E32+E35+E38</f>
        <v>4.66</v>
      </c>
      <c r="F26" s="708">
        <f>E26/B26*100</f>
        <v>1.7618147448015122</v>
      </c>
      <c r="G26" s="32">
        <f>E26/C26*100</f>
        <v>22.899262899262897</v>
      </c>
      <c r="H26" s="707">
        <f>H29+H32+H35+H38</f>
        <v>0</v>
      </c>
      <c r="I26" s="707">
        <f t="shared" ref="I26:AE26" si="5">I29+I32+I35+I38</f>
        <v>0</v>
      </c>
      <c r="J26" s="707">
        <f t="shared" si="5"/>
        <v>0</v>
      </c>
      <c r="K26" s="707">
        <f t="shared" si="5"/>
        <v>0</v>
      </c>
      <c r="L26" s="707">
        <f t="shared" si="5"/>
        <v>0</v>
      </c>
      <c r="M26" s="707">
        <f t="shared" si="5"/>
        <v>0</v>
      </c>
      <c r="N26" s="707">
        <f t="shared" si="5"/>
        <v>0</v>
      </c>
      <c r="O26" s="707">
        <f t="shared" si="5"/>
        <v>0</v>
      </c>
      <c r="P26" s="47">
        <f t="shared" si="5"/>
        <v>10.17</v>
      </c>
      <c r="Q26" s="47">
        <f t="shared" si="5"/>
        <v>0</v>
      </c>
      <c r="R26" s="47">
        <f t="shared" si="5"/>
        <v>10.18</v>
      </c>
      <c r="S26" s="47">
        <f t="shared" si="5"/>
        <v>0</v>
      </c>
      <c r="T26" s="47">
        <f t="shared" si="5"/>
        <v>10.18</v>
      </c>
      <c r="U26" s="47">
        <f t="shared" si="5"/>
        <v>4.66</v>
      </c>
      <c r="V26" s="47">
        <f t="shared" si="5"/>
        <v>10.18</v>
      </c>
      <c r="W26" s="47">
        <f t="shared" si="5"/>
        <v>0</v>
      </c>
      <c r="X26" s="47">
        <f t="shared" si="5"/>
        <v>10.18</v>
      </c>
      <c r="Y26" s="47">
        <f t="shared" si="5"/>
        <v>0</v>
      </c>
      <c r="Z26" s="47">
        <f t="shared" si="5"/>
        <v>10.17</v>
      </c>
      <c r="AA26" s="47">
        <f t="shared" si="5"/>
        <v>0</v>
      </c>
      <c r="AB26" s="47">
        <f t="shared" si="5"/>
        <v>10.17</v>
      </c>
      <c r="AC26" s="47">
        <f t="shared" si="5"/>
        <v>0</v>
      </c>
      <c r="AD26" s="47">
        <f t="shared" si="5"/>
        <v>193.26999999999998</v>
      </c>
      <c r="AE26" s="47">
        <f t="shared" si="5"/>
        <v>0</v>
      </c>
      <c r="AF26" s="29"/>
      <c r="AG26" s="712"/>
    </row>
    <row r="27" spans="1:33" ht="112.5" x14ac:dyDescent="0.3">
      <c r="A27" s="17" t="s">
        <v>104</v>
      </c>
      <c r="B27" s="649"/>
      <c r="C27" s="649"/>
      <c r="D27" s="649"/>
      <c r="E27" s="649"/>
      <c r="F27" s="32"/>
      <c r="G27" s="32"/>
      <c r="H27" s="649"/>
      <c r="I27" s="649"/>
      <c r="J27" s="649"/>
      <c r="K27" s="649"/>
      <c r="L27" s="649"/>
      <c r="M27" s="649"/>
      <c r="N27" s="649"/>
      <c r="O27" s="649"/>
      <c r="P27" s="649"/>
      <c r="Q27" s="649"/>
      <c r="R27" s="649"/>
      <c r="S27" s="649"/>
      <c r="T27" s="649"/>
      <c r="U27" s="649"/>
      <c r="V27" s="649"/>
      <c r="W27" s="649"/>
      <c r="X27" s="649"/>
      <c r="Y27" s="649"/>
      <c r="Z27" s="649"/>
      <c r="AA27" s="649"/>
      <c r="AB27" s="649"/>
      <c r="AC27" s="649"/>
      <c r="AD27" s="649"/>
      <c r="AE27" s="649"/>
      <c r="AF27" s="29"/>
      <c r="AG27" s="712"/>
    </row>
    <row r="28" spans="1:33" ht="18.75" x14ac:dyDescent="0.3">
      <c r="A28" s="13" t="s">
        <v>31</v>
      </c>
      <c r="B28" s="649">
        <f>B29</f>
        <v>100</v>
      </c>
      <c r="C28" s="766">
        <f>C29</f>
        <v>0</v>
      </c>
      <c r="D28" s="771"/>
      <c r="E28" s="771">
        <f>E29</f>
        <v>0</v>
      </c>
      <c r="F28" s="710"/>
      <c r="G28" s="710"/>
      <c r="H28" s="766">
        <f t="shared" ref="H28:AC29" si="6">H29</f>
        <v>0</v>
      </c>
      <c r="I28" s="766">
        <f t="shared" si="6"/>
        <v>0</v>
      </c>
      <c r="J28" s="766">
        <f t="shared" si="6"/>
        <v>0</v>
      </c>
      <c r="K28" s="766">
        <f t="shared" si="6"/>
        <v>0</v>
      </c>
      <c r="L28" s="766">
        <f t="shared" si="6"/>
        <v>0</v>
      </c>
      <c r="M28" s="766">
        <f t="shared" si="6"/>
        <v>0</v>
      </c>
      <c r="N28" s="766">
        <f t="shared" si="6"/>
        <v>0</v>
      </c>
      <c r="O28" s="766">
        <f t="shared" si="6"/>
        <v>0</v>
      </c>
      <c r="P28" s="766">
        <f t="shared" si="6"/>
        <v>0</v>
      </c>
      <c r="Q28" s="766">
        <f t="shared" si="6"/>
        <v>0</v>
      </c>
      <c r="R28" s="766">
        <f t="shared" si="6"/>
        <v>0</v>
      </c>
      <c r="S28" s="766">
        <f t="shared" si="6"/>
        <v>0</v>
      </c>
      <c r="T28" s="766">
        <f t="shared" si="6"/>
        <v>0</v>
      </c>
      <c r="U28" s="766">
        <f t="shared" si="6"/>
        <v>0</v>
      </c>
      <c r="V28" s="766">
        <f t="shared" si="6"/>
        <v>0</v>
      </c>
      <c r="W28" s="766">
        <f t="shared" si="6"/>
        <v>0</v>
      </c>
      <c r="X28" s="766">
        <f t="shared" si="6"/>
        <v>0</v>
      </c>
      <c r="Y28" s="766">
        <f t="shared" si="6"/>
        <v>0</v>
      </c>
      <c r="Z28" s="766">
        <f t="shared" si="6"/>
        <v>0</v>
      </c>
      <c r="AA28" s="766">
        <f t="shared" si="6"/>
        <v>0</v>
      </c>
      <c r="AB28" s="766">
        <f t="shared" si="6"/>
        <v>0</v>
      </c>
      <c r="AC28" s="766">
        <f t="shared" si="6"/>
        <v>0</v>
      </c>
      <c r="AD28" s="649">
        <f>AD29</f>
        <v>100</v>
      </c>
      <c r="AE28" s="649"/>
      <c r="AF28" s="29"/>
      <c r="AG28" s="712"/>
    </row>
    <row r="29" spans="1:33" ht="18.75" x14ac:dyDescent="0.3">
      <c r="A29" s="17" t="s">
        <v>33</v>
      </c>
      <c r="B29" s="47">
        <f>H29+J29+L29+N29+P29+R29+T29+V29+X29+Z29+AB29+AD29</f>
        <v>100</v>
      </c>
      <c r="C29" s="707">
        <f>H29+J29+L29+N29+P29+R29</f>
        <v>0</v>
      </c>
      <c r="D29" s="588"/>
      <c r="E29" s="707">
        <f>K29+M29+O29+Q29+S29+U29+W29+Y29+AA29+AC29+AE29</f>
        <v>0</v>
      </c>
      <c r="F29" s="708">
        <f>E29/B29*100</f>
        <v>0</v>
      </c>
      <c r="G29" s="32" t="e">
        <f>E29/C29*100</f>
        <v>#DIV/0!</v>
      </c>
      <c r="H29" s="766">
        <f t="shared" si="6"/>
        <v>0</v>
      </c>
      <c r="I29" s="766">
        <f t="shared" si="6"/>
        <v>0</v>
      </c>
      <c r="J29" s="766">
        <f t="shared" si="6"/>
        <v>0</v>
      </c>
      <c r="K29" s="766">
        <f t="shared" si="6"/>
        <v>0</v>
      </c>
      <c r="L29" s="766">
        <f t="shared" si="6"/>
        <v>0</v>
      </c>
      <c r="M29" s="766">
        <f t="shared" si="6"/>
        <v>0</v>
      </c>
      <c r="N29" s="766">
        <f t="shared" si="6"/>
        <v>0</v>
      </c>
      <c r="O29" s="766">
        <f t="shared" si="6"/>
        <v>0</v>
      </c>
      <c r="P29" s="766">
        <f t="shared" si="6"/>
        <v>0</v>
      </c>
      <c r="Q29" s="766">
        <f t="shared" si="6"/>
        <v>0</v>
      </c>
      <c r="R29" s="766">
        <f t="shared" si="6"/>
        <v>0</v>
      </c>
      <c r="S29" s="766">
        <f t="shared" si="6"/>
        <v>0</v>
      </c>
      <c r="T29" s="766">
        <f t="shared" si="6"/>
        <v>0</v>
      </c>
      <c r="U29" s="766">
        <f t="shared" si="6"/>
        <v>0</v>
      </c>
      <c r="V29" s="766">
        <f t="shared" si="6"/>
        <v>0</v>
      </c>
      <c r="W29" s="766">
        <f t="shared" si="6"/>
        <v>0</v>
      </c>
      <c r="X29" s="766">
        <f t="shared" si="6"/>
        <v>0</v>
      </c>
      <c r="Y29" s="766">
        <f t="shared" si="6"/>
        <v>0</v>
      </c>
      <c r="Z29" s="766">
        <f t="shared" si="6"/>
        <v>0</v>
      </c>
      <c r="AA29" s="766">
        <f t="shared" si="6"/>
        <v>0</v>
      </c>
      <c r="AB29" s="766">
        <f t="shared" si="6"/>
        <v>0</v>
      </c>
      <c r="AC29" s="766">
        <f t="shared" si="6"/>
        <v>0</v>
      </c>
      <c r="AD29" s="649">
        <v>100</v>
      </c>
      <c r="AE29" s="649"/>
      <c r="AF29" s="29"/>
      <c r="AG29" s="712"/>
    </row>
    <row r="30" spans="1:33" ht="262.5" x14ac:dyDescent="0.3">
      <c r="A30" s="17" t="s">
        <v>105</v>
      </c>
      <c r="B30" s="649"/>
      <c r="C30" s="649"/>
      <c r="D30" s="649"/>
      <c r="E30" s="649"/>
      <c r="F30" s="32"/>
      <c r="G30" s="32"/>
      <c r="H30" s="649"/>
      <c r="I30" s="649"/>
      <c r="J30" s="649"/>
      <c r="K30" s="649"/>
      <c r="L30" s="649"/>
      <c r="M30" s="649"/>
      <c r="N30" s="649"/>
      <c r="O30" s="649"/>
      <c r="P30" s="649"/>
      <c r="Q30" s="649"/>
      <c r="R30" s="649"/>
      <c r="S30" s="649"/>
      <c r="T30" s="649"/>
      <c r="U30" s="649"/>
      <c r="V30" s="649"/>
      <c r="W30" s="649"/>
      <c r="X30" s="649"/>
      <c r="Y30" s="649"/>
      <c r="Z30" s="649"/>
      <c r="AA30" s="649"/>
      <c r="AB30" s="649"/>
      <c r="AC30" s="649"/>
      <c r="AD30" s="649"/>
      <c r="AE30" s="649"/>
      <c r="AF30" s="29"/>
      <c r="AG30" s="712"/>
    </row>
    <row r="31" spans="1:33" ht="18.75" x14ac:dyDescent="0.3">
      <c r="A31" s="13" t="s">
        <v>31</v>
      </c>
      <c r="B31" s="649">
        <f>B32</f>
        <v>83.1</v>
      </c>
      <c r="C31" s="649">
        <f>C32</f>
        <v>0</v>
      </c>
      <c r="D31" s="649"/>
      <c r="E31" s="649">
        <f>E32</f>
        <v>0</v>
      </c>
      <c r="F31" s="32"/>
      <c r="G31" s="32"/>
      <c r="H31" s="649">
        <f>H32</f>
        <v>0</v>
      </c>
      <c r="I31" s="649">
        <f t="shared" ref="I31:AE31" si="7">I32</f>
        <v>0</v>
      </c>
      <c r="J31" s="649">
        <f t="shared" si="7"/>
        <v>0</v>
      </c>
      <c r="K31" s="649">
        <f t="shared" si="7"/>
        <v>0</v>
      </c>
      <c r="L31" s="649">
        <f t="shared" si="7"/>
        <v>0</v>
      </c>
      <c r="M31" s="649">
        <f t="shared" si="7"/>
        <v>0</v>
      </c>
      <c r="N31" s="649">
        <f t="shared" si="7"/>
        <v>0</v>
      </c>
      <c r="O31" s="649">
        <f t="shared" si="7"/>
        <v>0</v>
      </c>
      <c r="P31" s="649">
        <f t="shared" si="7"/>
        <v>0</v>
      </c>
      <c r="Q31" s="649">
        <f t="shared" si="7"/>
        <v>0</v>
      </c>
      <c r="R31" s="649">
        <f t="shared" si="7"/>
        <v>0</v>
      </c>
      <c r="S31" s="649">
        <f t="shared" si="7"/>
        <v>0</v>
      </c>
      <c r="T31" s="649">
        <f t="shared" si="7"/>
        <v>0</v>
      </c>
      <c r="U31" s="649">
        <f t="shared" si="7"/>
        <v>0</v>
      </c>
      <c r="V31" s="649">
        <f t="shared" si="7"/>
        <v>0</v>
      </c>
      <c r="W31" s="649">
        <f t="shared" si="7"/>
        <v>0</v>
      </c>
      <c r="X31" s="649">
        <f t="shared" si="7"/>
        <v>0</v>
      </c>
      <c r="Y31" s="649">
        <f t="shared" si="7"/>
        <v>0</v>
      </c>
      <c r="Z31" s="649">
        <f t="shared" si="7"/>
        <v>0</v>
      </c>
      <c r="AA31" s="649">
        <f t="shared" si="7"/>
        <v>0</v>
      </c>
      <c r="AB31" s="649">
        <f t="shared" si="7"/>
        <v>0</v>
      </c>
      <c r="AC31" s="649">
        <f t="shared" si="7"/>
        <v>0</v>
      </c>
      <c r="AD31" s="649">
        <f t="shared" si="7"/>
        <v>83.1</v>
      </c>
      <c r="AE31" s="649">
        <f t="shared" si="7"/>
        <v>0</v>
      </c>
      <c r="AF31" s="29"/>
      <c r="AG31" s="712"/>
    </row>
    <row r="32" spans="1:33" ht="18.75" x14ac:dyDescent="0.3">
      <c r="A32" s="17" t="s">
        <v>33</v>
      </c>
      <c r="B32" s="47">
        <f>H32+J32+L32+N32+P32+R32+T32+V32+X32+Z32+AB32+AD32</f>
        <v>83.1</v>
      </c>
      <c r="C32" s="47">
        <f>H32+J32+L32+N32+P32+R32</f>
        <v>0</v>
      </c>
      <c r="D32" s="47"/>
      <c r="E32" s="47">
        <f>K32+M32+O32+Q32+S32+U32+W32+Y32+AA32+AC32+AE32</f>
        <v>0</v>
      </c>
      <c r="F32" s="32">
        <f>E32/B32*100</f>
        <v>0</v>
      </c>
      <c r="G32" s="32" t="e">
        <f>E32/C32*100</f>
        <v>#DIV/0!</v>
      </c>
      <c r="H32" s="649"/>
      <c r="I32" s="649"/>
      <c r="J32" s="649"/>
      <c r="K32" s="649"/>
      <c r="L32" s="649"/>
      <c r="M32" s="649"/>
      <c r="N32" s="649"/>
      <c r="O32" s="649"/>
      <c r="P32" s="649"/>
      <c r="Q32" s="649"/>
      <c r="R32" s="649"/>
      <c r="S32" s="649"/>
      <c r="T32" s="649"/>
      <c r="U32" s="649"/>
      <c r="V32" s="649"/>
      <c r="W32" s="649"/>
      <c r="X32" s="649"/>
      <c r="Y32" s="649"/>
      <c r="Z32" s="649"/>
      <c r="AA32" s="649"/>
      <c r="AB32" s="649"/>
      <c r="AC32" s="649"/>
      <c r="AD32" s="649">
        <v>83.1</v>
      </c>
      <c r="AE32" s="649"/>
      <c r="AF32" s="29"/>
      <c r="AG32" s="712"/>
    </row>
    <row r="33" spans="1:33" ht="131.25" x14ac:dyDescent="0.3">
      <c r="A33" s="17" t="s">
        <v>106</v>
      </c>
      <c r="B33" s="649"/>
      <c r="C33" s="649"/>
      <c r="D33" s="649"/>
      <c r="E33" s="649"/>
      <c r="F33" s="32"/>
      <c r="G33" s="32"/>
      <c r="H33" s="649"/>
      <c r="I33" s="649"/>
      <c r="J33" s="649"/>
      <c r="K33" s="649"/>
      <c r="L33" s="649"/>
      <c r="M33" s="649"/>
      <c r="N33" s="649"/>
      <c r="O33" s="649"/>
      <c r="P33" s="649"/>
      <c r="Q33" s="649"/>
      <c r="R33" s="649"/>
      <c r="S33" s="649"/>
      <c r="T33" s="649"/>
      <c r="U33" s="649"/>
      <c r="V33" s="649"/>
      <c r="W33" s="649"/>
      <c r="X33" s="649"/>
      <c r="Y33" s="649"/>
      <c r="Z33" s="649"/>
      <c r="AA33" s="649"/>
      <c r="AB33" s="649"/>
      <c r="AC33" s="649"/>
      <c r="AD33" s="649"/>
      <c r="AE33" s="649"/>
      <c r="AF33" s="29"/>
      <c r="AG33" s="712"/>
    </row>
    <row r="34" spans="1:33" ht="18.75" x14ac:dyDescent="0.3">
      <c r="A34" s="13" t="s">
        <v>31</v>
      </c>
      <c r="B34" s="766">
        <f>B35</f>
        <v>0</v>
      </c>
      <c r="C34" s="766">
        <f>H34+J34+L34</f>
        <v>0</v>
      </c>
      <c r="D34" s="766">
        <f>D35</f>
        <v>0</v>
      </c>
      <c r="E34" s="766">
        <f>E35</f>
        <v>0</v>
      </c>
      <c r="F34" s="709">
        <v>0</v>
      </c>
      <c r="G34" s="709">
        <v>0</v>
      </c>
      <c r="H34" s="772">
        <f>H35</f>
        <v>0</v>
      </c>
      <c r="I34" s="772">
        <f t="shared" ref="I34:Z34" si="8">I35</f>
        <v>0</v>
      </c>
      <c r="J34" s="772">
        <f t="shared" si="8"/>
        <v>0</v>
      </c>
      <c r="K34" s="772">
        <f t="shared" si="8"/>
        <v>0</v>
      </c>
      <c r="L34" s="772">
        <f t="shared" si="8"/>
        <v>0</v>
      </c>
      <c r="M34" s="772">
        <f t="shared" si="8"/>
        <v>0</v>
      </c>
      <c r="N34" s="772">
        <f t="shared" si="8"/>
        <v>0</v>
      </c>
      <c r="O34" s="772">
        <f t="shared" si="8"/>
        <v>0</v>
      </c>
      <c r="P34" s="772">
        <f t="shared" si="8"/>
        <v>0</v>
      </c>
      <c r="Q34" s="772">
        <f t="shared" si="8"/>
        <v>0</v>
      </c>
      <c r="R34" s="772">
        <f t="shared" si="8"/>
        <v>0</v>
      </c>
      <c r="S34" s="772">
        <f t="shared" si="8"/>
        <v>0</v>
      </c>
      <c r="T34" s="772">
        <f t="shared" si="8"/>
        <v>0</v>
      </c>
      <c r="U34" s="772">
        <f t="shared" si="8"/>
        <v>0</v>
      </c>
      <c r="V34" s="772">
        <f t="shared" si="8"/>
        <v>0</v>
      </c>
      <c r="W34" s="772">
        <f t="shared" si="8"/>
        <v>0</v>
      </c>
      <c r="X34" s="772">
        <f t="shared" si="8"/>
        <v>0</v>
      </c>
      <c r="Y34" s="772">
        <f t="shared" si="8"/>
        <v>0</v>
      </c>
      <c r="Z34" s="772">
        <f t="shared" si="8"/>
        <v>0</v>
      </c>
      <c r="AA34" s="772">
        <f>AA35</f>
        <v>0</v>
      </c>
      <c r="AB34" s="772">
        <f>AB35</f>
        <v>0</v>
      </c>
      <c r="AC34" s="772">
        <f>AC35</f>
        <v>0</v>
      </c>
      <c r="AD34" s="772">
        <f>AD35</f>
        <v>0</v>
      </c>
      <c r="AE34" s="772">
        <f>AE35</f>
        <v>0</v>
      </c>
      <c r="AF34" s="29"/>
      <c r="AG34" s="712"/>
    </row>
    <row r="35" spans="1:33" ht="18.75" x14ac:dyDescent="0.3">
      <c r="A35" s="17" t="s">
        <v>33</v>
      </c>
      <c r="B35" s="707">
        <v>0</v>
      </c>
      <c r="C35" s="707">
        <f>H35+J35+L35+N35+P35+R35</f>
        <v>0</v>
      </c>
      <c r="D35" s="707">
        <f>I35+K35+M35+O35+Q35</f>
        <v>0</v>
      </c>
      <c r="E35" s="47">
        <f>K35+M35+O35+Q35+S35+U35+W35+Y35+AA35+AC35+AE35</f>
        <v>0</v>
      </c>
      <c r="F35" s="709">
        <v>0</v>
      </c>
      <c r="G35" s="709">
        <v>0</v>
      </c>
      <c r="H35" s="772">
        <v>0</v>
      </c>
      <c r="I35" s="772">
        <v>0</v>
      </c>
      <c r="J35" s="772">
        <v>0</v>
      </c>
      <c r="K35" s="772">
        <v>0</v>
      </c>
      <c r="L35" s="772">
        <v>0</v>
      </c>
      <c r="M35" s="772">
        <v>0</v>
      </c>
      <c r="N35" s="772">
        <v>0</v>
      </c>
      <c r="O35" s="772">
        <v>0</v>
      </c>
      <c r="P35" s="772">
        <v>0</v>
      </c>
      <c r="Q35" s="772">
        <v>0</v>
      </c>
      <c r="R35" s="772">
        <v>0</v>
      </c>
      <c r="S35" s="772">
        <v>0</v>
      </c>
      <c r="T35" s="772">
        <v>0</v>
      </c>
      <c r="U35" s="772">
        <v>0</v>
      </c>
      <c r="V35" s="772">
        <v>0</v>
      </c>
      <c r="W35" s="772">
        <v>0</v>
      </c>
      <c r="X35" s="772">
        <v>0</v>
      </c>
      <c r="Y35" s="772">
        <v>0</v>
      </c>
      <c r="Z35" s="772">
        <v>0</v>
      </c>
      <c r="AA35" s="772">
        <v>0</v>
      </c>
      <c r="AB35" s="772">
        <v>0</v>
      </c>
      <c r="AC35" s="772">
        <v>0</v>
      </c>
      <c r="AD35" s="772">
        <v>0</v>
      </c>
      <c r="AE35" s="772">
        <v>0</v>
      </c>
      <c r="AF35" s="29"/>
      <c r="AG35" s="712"/>
    </row>
    <row r="36" spans="1:33" ht="131.25" x14ac:dyDescent="0.3">
      <c r="A36" s="17" t="s">
        <v>107</v>
      </c>
      <c r="B36" s="649"/>
      <c r="C36" s="649"/>
      <c r="D36" s="649"/>
      <c r="E36" s="649"/>
      <c r="F36" s="32"/>
      <c r="G36" s="32"/>
      <c r="H36" s="649"/>
      <c r="I36" s="649"/>
      <c r="J36" s="649"/>
      <c r="K36" s="649"/>
      <c r="L36" s="649"/>
      <c r="M36" s="649"/>
      <c r="N36" s="649"/>
      <c r="O36" s="649"/>
      <c r="P36" s="649"/>
      <c r="Q36" s="649"/>
      <c r="R36" s="649"/>
      <c r="S36" s="649"/>
      <c r="T36" s="649"/>
      <c r="U36" s="649"/>
      <c r="V36" s="649"/>
      <c r="W36" s="649"/>
      <c r="X36" s="649"/>
      <c r="Y36" s="649"/>
      <c r="Z36" s="649"/>
      <c r="AA36" s="649"/>
      <c r="AB36" s="649"/>
      <c r="AC36" s="649"/>
      <c r="AD36" s="649"/>
      <c r="AE36" s="649"/>
      <c r="AF36" s="998" t="s">
        <v>679</v>
      </c>
      <c r="AG36" s="712"/>
    </row>
    <row r="37" spans="1:33" ht="18.75" x14ac:dyDescent="0.3">
      <c r="A37" s="13" t="s">
        <v>31</v>
      </c>
      <c r="B37" s="649">
        <f>B38</f>
        <v>81.400000000000006</v>
      </c>
      <c r="C37" s="766">
        <f>C38</f>
        <v>20.350000000000001</v>
      </c>
      <c r="D37" s="766">
        <f>D38</f>
        <v>0</v>
      </c>
      <c r="E37" s="766">
        <f>E38</f>
        <v>4.66</v>
      </c>
      <c r="F37" s="708">
        <f>E37/B37*100</f>
        <v>5.7248157248157243</v>
      </c>
      <c r="G37" s="32">
        <f>E37/C37*100</f>
        <v>22.899262899262897</v>
      </c>
      <c r="H37" s="766">
        <f>H38</f>
        <v>0</v>
      </c>
      <c r="I37" s="766">
        <f t="shared" ref="I37:AE38" si="9">I38</f>
        <v>0</v>
      </c>
      <c r="J37" s="766">
        <f t="shared" si="9"/>
        <v>0</v>
      </c>
      <c r="K37" s="766">
        <f t="shared" si="9"/>
        <v>0</v>
      </c>
      <c r="L37" s="766">
        <f t="shared" si="9"/>
        <v>0</v>
      </c>
      <c r="M37" s="766">
        <f t="shared" si="9"/>
        <v>0</v>
      </c>
      <c r="N37" s="766">
        <f t="shared" si="9"/>
        <v>0</v>
      </c>
      <c r="O37" s="766">
        <f t="shared" si="9"/>
        <v>0</v>
      </c>
      <c r="P37" s="649">
        <f t="shared" si="9"/>
        <v>10.17</v>
      </c>
      <c r="Q37" s="649">
        <f t="shared" si="9"/>
        <v>0</v>
      </c>
      <c r="R37" s="649">
        <f t="shared" si="9"/>
        <v>10.18</v>
      </c>
      <c r="S37" s="649">
        <f t="shared" si="9"/>
        <v>0</v>
      </c>
      <c r="T37" s="649">
        <f t="shared" si="9"/>
        <v>10.18</v>
      </c>
      <c r="U37" s="649">
        <f t="shared" si="9"/>
        <v>4.66</v>
      </c>
      <c r="V37" s="649">
        <f t="shared" si="9"/>
        <v>10.18</v>
      </c>
      <c r="W37" s="649">
        <f t="shared" si="9"/>
        <v>0</v>
      </c>
      <c r="X37" s="649">
        <f t="shared" si="9"/>
        <v>10.18</v>
      </c>
      <c r="Y37" s="649">
        <f t="shared" si="9"/>
        <v>0</v>
      </c>
      <c r="Z37" s="649">
        <f t="shared" si="9"/>
        <v>10.17</v>
      </c>
      <c r="AA37" s="649">
        <f t="shared" si="9"/>
        <v>0</v>
      </c>
      <c r="AB37" s="649">
        <f t="shared" si="9"/>
        <v>10.17</v>
      </c>
      <c r="AC37" s="649">
        <f t="shared" si="9"/>
        <v>0</v>
      </c>
      <c r="AD37" s="649">
        <f t="shared" si="9"/>
        <v>10.17</v>
      </c>
      <c r="AE37" s="649">
        <f t="shared" si="9"/>
        <v>0</v>
      </c>
      <c r="AF37" s="29"/>
      <c r="AG37" s="712"/>
    </row>
    <row r="38" spans="1:33" ht="18.75" x14ac:dyDescent="0.3">
      <c r="A38" s="17" t="s">
        <v>33</v>
      </c>
      <c r="B38" s="47">
        <f>H38+J38+L38+N38+P38+R38+T38+V38+X38+Z38+AB38+AD38</f>
        <v>81.400000000000006</v>
      </c>
      <c r="C38" s="707">
        <f>H38+J38+L38+N38+P38+R38</f>
        <v>20.350000000000001</v>
      </c>
      <c r="D38" s="766">
        <f>D39</f>
        <v>0</v>
      </c>
      <c r="E38" s="47">
        <f>K38+M38+O38+Q38+S38+U38+W38+Y38+AA38+AC38+AE38</f>
        <v>4.66</v>
      </c>
      <c r="F38" s="708">
        <f>E38/B38*100</f>
        <v>5.7248157248157243</v>
      </c>
      <c r="G38" s="32">
        <f>E38/C38*100</f>
        <v>22.899262899262897</v>
      </c>
      <c r="H38" s="766">
        <f>H39</f>
        <v>0</v>
      </c>
      <c r="I38" s="766">
        <f t="shared" si="9"/>
        <v>0</v>
      </c>
      <c r="J38" s="766">
        <f t="shared" si="9"/>
        <v>0</v>
      </c>
      <c r="K38" s="766">
        <f t="shared" si="9"/>
        <v>0</v>
      </c>
      <c r="L38" s="766">
        <f t="shared" si="9"/>
        <v>0</v>
      </c>
      <c r="M38" s="766">
        <f t="shared" si="9"/>
        <v>0</v>
      </c>
      <c r="N38" s="766">
        <f t="shared" si="9"/>
        <v>0</v>
      </c>
      <c r="O38" s="766">
        <f t="shared" si="9"/>
        <v>0</v>
      </c>
      <c r="P38" s="649">
        <v>10.17</v>
      </c>
      <c r="Q38" s="649"/>
      <c r="R38" s="649">
        <v>10.18</v>
      </c>
      <c r="S38" s="649"/>
      <c r="T38" s="649">
        <v>10.18</v>
      </c>
      <c r="U38" s="649">
        <v>4.66</v>
      </c>
      <c r="V38" s="649">
        <v>10.18</v>
      </c>
      <c r="W38" s="649"/>
      <c r="X38" s="649">
        <v>10.18</v>
      </c>
      <c r="Y38" s="649"/>
      <c r="Z38" s="649">
        <v>10.17</v>
      </c>
      <c r="AA38" s="649"/>
      <c r="AB38" s="649">
        <v>10.17</v>
      </c>
      <c r="AC38" s="649"/>
      <c r="AD38" s="649">
        <v>10.17</v>
      </c>
      <c r="AE38" s="649"/>
      <c r="AF38" s="29"/>
      <c r="AG38" s="712"/>
    </row>
    <row r="39" spans="1:33" ht="56.25" x14ac:dyDescent="0.3">
      <c r="A39" s="70" t="s">
        <v>108</v>
      </c>
      <c r="B39" s="649"/>
      <c r="C39" s="649"/>
      <c r="D39" s="649"/>
      <c r="E39" s="649"/>
      <c r="F39" s="32"/>
      <c r="G39" s="32"/>
      <c r="H39" s="649"/>
      <c r="I39" s="649"/>
      <c r="J39" s="649"/>
      <c r="K39" s="649"/>
      <c r="L39" s="649"/>
      <c r="M39" s="649"/>
      <c r="N39" s="649"/>
      <c r="O39" s="649"/>
      <c r="P39" s="649"/>
      <c r="Q39" s="649"/>
      <c r="R39" s="649"/>
      <c r="S39" s="649"/>
      <c r="T39" s="649"/>
      <c r="U39" s="649"/>
      <c r="V39" s="649"/>
      <c r="W39" s="649"/>
      <c r="X39" s="649"/>
      <c r="Y39" s="649"/>
      <c r="Z39" s="649"/>
      <c r="AA39" s="649"/>
      <c r="AB39" s="649"/>
      <c r="AC39" s="649"/>
      <c r="AD39" s="649"/>
      <c r="AE39" s="649"/>
      <c r="AF39" s="29"/>
      <c r="AG39" s="712"/>
    </row>
    <row r="40" spans="1:33" ht="18.75" x14ac:dyDescent="0.3">
      <c r="A40" s="13" t="s">
        <v>31</v>
      </c>
      <c r="B40" s="649">
        <f>B41</f>
        <v>514.6</v>
      </c>
      <c r="C40" s="649">
        <f>C41</f>
        <v>481.3</v>
      </c>
      <c r="D40" s="649">
        <f>D41</f>
        <v>316.3</v>
      </c>
      <c r="E40" s="649">
        <f>E41</f>
        <v>316.3</v>
      </c>
      <c r="F40" s="32">
        <f>E40/B40*100</f>
        <v>61.465215701515739</v>
      </c>
      <c r="G40" s="32">
        <f>E40/C40*100</f>
        <v>65.717847496364016</v>
      </c>
      <c r="H40" s="649">
        <f>H41</f>
        <v>266.3</v>
      </c>
      <c r="I40" s="649">
        <f t="shared" ref="I40:AE40" si="10">I41</f>
        <v>108</v>
      </c>
      <c r="J40" s="649">
        <f t="shared" si="10"/>
        <v>50</v>
      </c>
      <c r="K40" s="649">
        <f t="shared" si="10"/>
        <v>208.3</v>
      </c>
      <c r="L40" s="766">
        <f t="shared" si="10"/>
        <v>0</v>
      </c>
      <c r="M40" s="766">
        <f t="shared" si="10"/>
        <v>0</v>
      </c>
      <c r="N40" s="766">
        <f t="shared" si="10"/>
        <v>0</v>
      </c>
      <c r="O40" s="766">
        <f t="shared" si="10"/>
        <v>0</v>
      </c>
      <c r="P40" s="649">
        <f t="shared" si="10"/>
        <v>165</v>
      </c>
      <c r="Q40" s="766">
        <f t="shared" si="10"/>
        <v>165</v>
      </c>
      <c r="R40" s="766">
        <f t="shared" si="10"/>
        <v>0</v>
      </c>
      <c r="S40" s="766">
        <f t="shared" si="10"/>
        <v>0</v>
      </c>
      <c r="T40" s="766">
        <f t="shared" si="10"/>
        <v>0</v>
      </c>
      <c r="U40" s="766">
        <f t="shared" si="10"/>
        <v>0</v>
      </c>
      <c r="V40" s="766">
        <f t="shared" si="10"/>
        <v>0</v>
      </c>
      <c r="W40" s="766">
        <f t="shared" si="10"/>
        <v>0</v>
      </c>
      <c r="X40" s="766">
        <f t="shared" si="10"/>
        <v>0</v>
      </c>
      <c r="Y40" s="766">
        <f t="shared" si="10"/>
        <v>0</v>
      </c>
      <c r="Z40" s="766">
        <f t="shared" si="10"/>
        <v>0</v>
      </c>
      <c r="AA40" s="766">
        <f t="shared" si="10"/>
        <v>0</v>
      </c>
      <c r="AB40" s="766">
        <f t="shared" si="10"/>
        <v>0</v>
      </c>
      <c r="AC40" s="766">
        <f t="shared" si="10"/>
        <v>0</v>
      </c>
      <c r="AD40" s="649">
        <f t="shared" si="10"/>
        <v>33.299999999999997</v>
      </c>
      <c r="AE40" s="766">
        <f t="shared" si="10"/>
        <v>0</v>
      </c>
      <c r="AF40" s="29"/>
      <c r="AG40" s="712"/>
    </row>
    <row r="41" spans="1:33" ht="18.75" x14ac:dyDescent="0.3">
      <c r="A41" s="17" t="s">
        <v>33</v>
      </c>
      <c r="B41" s="649">
        <f>B44+B47</f>
        <v>514.6</v>
      </c>
      <c r="C41" s="649">
        <f>C44+C47</f>
        <v>481.3</v>
      </c>
      <c r="D41" s="649">
        <f>D44+D47</f>
        <v>316.3</v>
      </c>
      <c r="E41" s="773">
        <f>E43</f>
        <v>316.3</v>
      </c>
      <c r="F41" s="32">
        <f>E41/B41*100</f>
        <v>61.465215701515739</v>
      </c>
      <c r="G41" s="32">
        <f>E41/C41*100</f>
        <v>65.717847496364016</v>
      </c>
      <c r="H41" s="649">
        <f t="shared" ref="H41:AE41" si="11">H44+H47</f>
        <v>266.3</v>
      </c>
      <c r="I41" s="649">
        <f t="shared" si="11"/>
        <v>108</v>
      </c>
      <c r="J41" s="649">
        <f t="shared" si="11"/>
        <v>50</v>
      </c>
      <c r="K41" s="649">
        <f t="shared" si="11"/>
        <v>208.3</v>
      </c>
      <c r="L41" s="766">
        <f t="shared" si="11"/>
        <v>0</v>
      </c>
      <c r="M41" s="766">
        <f t="shared" si="11"/>
        <v>0</v>
      </c>
      <c r="N41" s="766">
        <f t="shared" si="11"/>
        <v>0</v>
      </c>
      <c r="O41" s="766">
        <f t="shared" si="11"/>
        <v>0</v>
      </c>
      <c r="P41" s="649">
        <f t="shared" si="11"/>
        <v>165</v>
      </c>
      <c r="Q41" s="766">
        <f t="shared" si="11"/>
        <v>165</v>
      </c>
      <c r="R41" s="766">
        <f t="shared" si="11"/>
        <v>0</v>
      </c>
      <c r="S41" s="766">
        <f t="shared" si="11"/>
        <v>0</v>
      </c>
      <c r="T41" s="766">
        <f t="shared" si="11"/>
        <v>0</v>
      </c>
      <c r="U41" s="766">
        <f t="shared" si="11"/>
        <v>0</v>
      </c>
      <c r="V41" s="766">
        <f t="shared" si="11"/>
        <v>0</v>
      </c>
      <c r="W41" s="766">
        <f t="shared" si="11"/>
        <v>0</v>
      </c>
      <c r="X41" s="766">
        <f t="shared" si="11"/>
        <v>0</v>
      </c>
      <c r="Y41" s="766">
        <f t="shared" si="11"/>
        <v>0</v>
      </c>
      <c r="Z41" s="766">
        <f t="shared" si="11"/>
        <v>0</v>
      </c>
      <c r="AA41" s="766">
        <f t="shared" si="11"/>
        <v>0</v>
      </c>
      <c r="AB41" s="766">
        <f t="shared" si="11"/>
        <v>0</v>
      </c>
      <c r="AC41" s="766">
        <f t="shared" si="11"/>
        <v>0</v>
      </c>
      <c r="AD41" s="649">
        <f t="shared" si="11"/>
        <v>33.299999999999997</v>
      </c>
      <c r="AE41" s="766">
        <f t="shared" si="11"/>
        <v>0</v>
      </c>
      <c r="AF41" s="783"/>
      <c r="AG41" s="712"/>
    </row>
    <row r="42" spans="1:33" ht="206.25" x14ac:dyDescent="0.3">
      <c r="A42" s="17" t="s">
        <v>109</v>
      </c>
      <c r="B42" s="649"/>
      <c r="C42" s="649"/>
      <c r="D42" s="649"/>
      <c r="E42" s="649"/>
      <c r="F42" s="32"/>
      <c r="G42" s="32"/>
      <c r="H42" s="649"/>
      <c r="I42" s="649"/>
      <c r="J42" s="649"/>
      <c r="K42" s="649"/>
      <c r="L42" s="649"/>
      <c r="M42" s="649"/>
      <c r="N42" s="649"/>
      <c r="O42" s="649"/>
      <c r="P42" s="649"/>
      <c r="Q42" s="649"/>
      <c r="R42" s="649"/>
      <c r="S42" s="649"/>
      <c r="T42" s="649"/>
      <c r="U42" s="649"/>
      <c r="V42" s="649"/>
      <c r="W42" s="649"/>
      <c r="X42" s="649"/>
      <c r="Y42" s="649"/>
      <c r="Z42" s="649"/>
      <c r="AA42" s="649"/>
      <c r="AB42" s="649"/>
      <c r="AC42" s="649"/>
      <c r="AD42" s="649"/>
      <c r="AE42" s="649"/>
      <c r="AF42" s="29"/>
      <c r="AG42" s="712"/>
    </row>
    <row r="43" spans="1:33" ht="18.75" x14ac:dyDescent="0.3">
      <c r="A43" s="13" t="s">
        <v>31</v>
      </c>
      <c r="B43" s="649">
        <f>B44</f>
        <v>349.6</v>
      </c>
      <c r="C43" s="649">
        <f>C44</f>
        <v>316.3</v>
      </c>
      <c r="D43" s="649">
        <f>D44</f>
        <v>316.3</v>
      </c>
      <c r="E43" s="649">
        <f>E44</f>
        <v>316.3</v>
      </c>
      <c r="F43" s="32">
        <f>E43/B43*100</f>
        <v>90.474828375286037</v>
      </c>
      <c r="G43" s="32">
        <f>G44</f>
        <v>100</v>
      </c>
      <c r="H43" s="649">
        <f>H44</f>
        <v>266.3</v>
      </c>
      <c r="I43" s="649">
        <f t="shared" ref="I43:AE44" si="12">I44</f>
        <v>108</v>
      </c>
      <c r="J43" s="649">
        <f t="shared" si="12"/>
        <v>50</v>
      </c>
      <c r="K43" s="649">
        <f t="shared" si="12"/>
        <v>208.3</v>
      </c>
      <c r="L43" s="766">
        <f t="shared" si="12"/>
        <v>0</v>
      </c>
      <c r="M43" s="766">
        <f t="shared" si="12"/>
        <v>0</v>
      </c>
      <c r="N43" s="766">
        <f t="shared" si="12"/>
        <v>0</v>
      </c>
      <c r="O43" s="766">
        <f t="shared" si="12"/>
        <v>0</v>
      </c>
      <c r="P43" s="766">
        <f t="shared" si="12"/>
        <v>0</v>
      </c>
      <c r="Q43" s="766">
        <f t="shared" si="12"/>
        <v>0</v>
      </c>
      <c r="R43" s="766">
        <f t="shared" si="12"/>
        <v>0</v>
      </c>
      <c r="S43" s="766">
        <f t="shared" si="12"/>
        <v>0</v>
      </c>
      <c r="T43" s="766">
        <f t="shared" si="12"/>
        <v>0</v>
      </c>
      <c r="U43" s="766">
        <f t="shared" si="12"/>
        <v>0</v>
      </c>
      <c r="V43" s="766">
        <f t="shared" si="12"/>
        <v>0</v>
      </c>
      <c r="W43" s="766">
        <f t="shared" si="12"/>
        <v>0</v>
      </c>
      <c r="X43" s="766">
        <f t="shared" si="12"/>
        <v>0</v>
      </c>
      <c r="Y43" s="766">
        <f t="shared" si="12"/>
        <v>0</v>
      </c>
      <c r="Z43" s="766">
        <f t="shared" si="12"/>
        <v>0</v>
      </c>
      <c r="AA43" s="766">
        <f t="shared" si="12"/>
        <v>0</v>
      </c>
      <c r="AB43" s="766">
        <f t="shared" si="12"/>
        <v>0</v>
      </c>
      <c r="AC43" s="766">
        <f t="shared" si="12"/>
        <v>0</v>
      </c>
      <c r="AD43" s="649">
        <f t="shared" si="12"/>
        <v>33.299999999999997</v>
      </c>
      <c r="AE43" s="649">
        <f t="shared" si="12"/>
        <v>0</v>
      </c>
      <c r="AF43" s="29"/>
      <c r="AG43" s="712"/>
    </row>
    <row r="44" spans="1:33" ht="18.75" x14ac:dyDescent="0.3">
      <c r="A44" s="17" t="s">
        <v>33</v>
      </c>
      <c r="B44" s="47">
        <f>H44+J44+L44+N44+P44+R44+T44+V44+X44+Z44+AB44+AD44</f>
        <v>349.6</v>
      </c>
      <c r="C44" s="47">
        <f>H44+J44+L44+N44+P44+R44</f>
        <v>316.3</v>
      </c>
      <c r="D44" s="47">
        <f>E44</f>
        <v>316.3</v>
      </c>
      <c r="E44" s="47">
        <f>I44+K44</f>
        <v>316.3</v>
      </c>
      <c r="F44" s="32">
        <f>E44/B44*100</f>
        <v>90.474828375286037</v>
      </c>
      <c r="G44" s="32">
        <f>E44/C44*100</f>
        <v>100</v>
      </c>
      <c r="H44" s="649">
        <v>266.3</v>
      </c>
      <c r="I44" s="649">
        <v>108</v>
      </c>
      <c r="J44" s="649">
        <v>50</v>
      </c>
      <c r="K44" s="649">
        <v>208.3</v>
      </c>
      <c r="L44" s="766">
        <f t="shared" si="12"/>
        <v>0</v>
      </c>
      <c r="M44" s="766">
        <f t="shared" si="12"/>
        <v>0</v>
      </c>
      <c r="N44" s="766">
        <f t="shared" si="12"/>
        <v>0</v>
      </c>
      <c r="O44" s="766">
        <f t="shared" si="12"/>
        <v>0</v>
      </c>
      <c r="P44" s="766">
        <f t="shared" si="12"/>
        <v>0</v>
      </c>
      <c r="Q44" s="766">
        <f t="shared" si="12"/>
        <v>0</v>
      </c>
      <c r="R44" s="766">
        <f t="shared" si="12"/>
        <v>0</v>
      </c>
      <c r="S44" s="766">
        <f t="shared" si="12"/>
        <v>0</v>
      </c>
      <c r="T44" s="766">
        <f t="shared" si="12"/>
        <v>0</v>
      </c>
      <c r="U44" s="766">
        <f t="shared" si="12"/>
        <v>0</v>
      </c>
      <c r="V44" s="766">
        <f t="shared" si="12"/>
        <v>0</v>
      </c>
      <c r="W44" s="766">
        <f t="shared" si="12"/>
        <v>0</v>
      </c>
      <c r="X44" s="766">
        <f t="shared" si="12"/>
        <v>0</v>
      </c>
      <c r="Y44" s="766">
        <f t="shared" si="12"/>
        <v>0</v>
      </c>
      <c r="Z44" s="766">
        <f t="shared" si="12"/>
        <v>0</v>
      </c>
      <c r="AA44" s="766">
        <f t="shared" si="12"/>
        <v>0</v>
      </c>
      <c r="AB44" s="766">
        <f t="shared" si="12"/>
        <v>0</v>
      </c>
      <c r="AC44" s="766">
        <f t="shared" si="12"/>
        <v>0</v>
      </c>
      <c r="AD44" s="649">
        <v>33.299999999999997</v>
      </c>
      <c r="AE44" s="649"/>
      <c r="AF44" s="29"/>
      <c r="AG44" s="712"/>
    </row>
    <row r="45" spans="1:33" ht="93.75" x14ac:dyDescent="0.3">
      <c r="A45" s="17" t="s">
        <v>110</v>
      </c>
      <c r="B45" s="649"/>
      <c r="C45" s="649"/>
      <c r="D45" s="649"/>
      <c r="E45" s="649"/>
      <c r="F45" s="32"/>
      <c r="G45" s="32"/>
      <c r="H45" s="649"/>
      <c r="I45" s="649"/>
      <c r="J45" s="649"/>
      <c r="K45" s="649"/>
      <c r="L45" s="649"/>
      <c r="M45" s="649"/>
      <c r="N45" s="649"/>
      <c r="O45" s="649"/>
      <c r="P45" s="649"/>
      <c r="Q45" s="649"/>
      <c r="R45" s="649"/>
      <c r="S45" s="649"/>
      <c r="T45" s="649"/>
      <c r="U45" s="649"/>
      <c r="V45" s="649"/>
      <c r="W45" s="649"/>
      <c r="X45" s="649"/>
      <c r="Y45" s="649"/>
      <c r="Z45" s="649"/>
      <c r="AA45" s="649"/>
      <c r="AB45" s="649"/>
      <c r="AC45" s="649"/>
      <c r="AD45" s="649"/>
      <c r="AE45" s="649"/>
      <c r="AF45" s="29"/>
      <c r="AG45" s="712"/>
    </row>
    <row r="46" spans="1:33" ht="18.75" x14ac:dyDescent="0.3">
      <c r="A46" s="13" t="s">
        <v>31</v>
      </c>
      <c r="B46" s="649">
        <f>B47</f>
        <v>165</v>
      </c>
      <c r="C46" s="649">
        <f>C47</f>
        <v>165</v>
      </c>
      <c r="D46" s="649"/>
      <c r="E46" s="649">
        <f>E47</f>
        <v>165</v>
      </c>
      <c r="F46" s="32"/>
      <c r="G46" s="32">
        <f>G47</f>
        <v>100</v>
      </c>
      <c r="H46" s="649">
        <f>H47</f>
        <v>0</v>
      </c>
      <c r="I46" s="649">
        <f t="shared" ref="I46:AE46" si="13">I47</f>
        <v>0</v>
      </c>
      <c r="J46" s="649">
        <f t="shared" si="13"/>
        <v>0</v>
      </c>
      <c r="K46" s="649">
        <f t="shared" si="13"/>
        <v>0</v>
      </c>
      <c r="L46" s="649">
        <f t="shared" si="13"/>
        <v>0</v>
      </c>
      <c r="M46" s="649">
        <f t="shared" si="13"/>
        <v>0</v>
      </c>
      <c r="N46" s="649">
        <f t="shared" si="13"/>
        <v>0</v>
      </c>
      <c r="O46" s="649">
        <f t="shared" si="13"/>
        <v>0</v>
      </c>
      <c r="P46" s="649">
        <f t="shared" si="13"/>
        <v>165</v>
      </c>
      <c r="Q46" s="649">
        <f t="shared" si="13"/>
        <v>165</v>
      </c>
      <c r="R46" s="649">
        <f t="shared" si="13"/>
        <v>0</v>
      </c>
      <c r="S46" s="649">
        <f t="shared" si="13"/>
        <v>0</v>
      </c>
      <c r="T46" s="649">
        <f t="shared" si="13"/>
        <v>0</v>
      </c>
      <c r="U46" s="649">
        <f t="shared" si="13"/>
        <v>0</v>
      </c>
      <c r="V46" s="649">
        <f t="shared" si="13"/>
        <v>0</v>
      </c>
      <c r="W46" s="649">
        <f t="shared" si="13"/>
        <v>0</v>
      </c>
      <c r="X46" s="649">
        <f t="shared" si="13"/>
        <v>0</v>
      </c>
      <c r="Y46" s="649">
        <f t="shared" si="13"/>
        <v>0</v>
      </c>
      <c r="Z46" s="649">
        <f t="shared" si="13"/>
        <v>0</v>
      </c>
      <c r="AA46" s="649">
        <f t="shared" si="13"/>
        <v>0</v>
      </c>
      <c r="AB46" s="649">
        <f t="shared" si="13"/>
        <v>0</v>
      </c>
      <c r="AC46" s="649">
        <f t="shared" si="13"/>
        <v>0</v>
      </c>
      <c r="AD46" s="649">
        <f t="shared" si="13"/>
        <v>0</v>
      </c>
      <c r="AE46" s="649">
        <f t="shared" si="13"/>
        <v>0</v>
      </c>
      <c r="AF46" s="29"/>
      <c r="AG46" s="712"/>
    </row>
    <row r="47" spans="1:33" ht="18.75" x14ac:dyDescent="0.3">
      <c r="A47" s="17" t="s">
        <v>33</v>
      </c>
      <c r="B47" s="47">
        <f>H47+J47+L47+N47+P47+R47+T47+V47+X47+Z47+AB47+AD47</f>
        <v>165</v>
      </c>
      <c r="C47" s="47">
        <f>H47+J47+L47+N47+P47+R47</f>
        <v>165</v>
      </c>
      <c r="D47" s="47"/>
      <c r="E47" s="47">
        <f>K47+M47+O47+Q47+S47+U47+W47+Y47+AA47+AC47+AE47+I47</f>
        <v>165</v>
      </c>
      <c r="F47" s="32">
        <f>E47/B47*100</f>
        <v>100</v>
      </c>
      <c r="G47" s="32">
        <f>E47/C47*100</f>
        <v>100</v>
      </c>
      <c r="H47" s="649"/>
      <c r="I47" s="649"/>
      <c r="J47" s="649"/>
      <c r="K47" s="649"/>
      <c r="L47" s="649"/>
      <c r="M47" s="649"/>
      <c r="N47" s="649"/>
      <c r="O47" s="649"/>
      <c r="P47" s="649">
        <v>165</v>
      </c>
      <c r="Q47" s="649">
        <v>165</v>
      </c>
      <c r="R47" s="649"/>
      <c r="S47" s="649"/>
      <c r="T47" s="649"/>
      <c r="U47" s="649"/>
      <c r="V47" s="649"/>
      <c r="W47" s="649"/>
      <c r="X47" s="649"/>
      <c r="Y47" s="649"/>
      <c r="Z47" s="649"/>
      <c r="AA47" s="649"/>
      <c r="AB47" s="649"/>
      <c r="AC47" s="649"/>
      <c r="AD47" s="649"/>
      <c r="AE47" s="649"/>
      <c r="AF47" s="29"/>
      <c r="AG47" s="712"/>
    </row>
    <row r="48" spans="1:33" ht="318.75" x14ac:dyDescent="0.3">
      <c r="A48" s="934" t="s">
        <v>129</v>
      </c>
      <c r="B48" s="649"/>
      <c r="C48" s="649"/>
      <c r="D48" s="649"/>
      <c r="E48" s="649"/>
      <c r="F48" s="32"/>
      <c r="G48" s="32"/>
      <c r="H48" s="649"/>
      <c r="I48" s="649"/>
      <c r="J48" s="649"/>
      <c r="K48" s="649"/>
      <c r="L48" s="649"/>
      <c r="M48" s="649"/>
      <c r="N48" s="649"/>
      <c r="O48" s="649"/>
      <c r="P48" s="649"/>
      <c r="Q48" s="649"/>
      <c r="R48" s="649"/>
      <c r="S48" s="649"/>
      <c r="T48" s="649"/>
      <c r="U48" s="649"/>
      <c r="V48" s="649"/>
      <c r="W48" s="649"/>
      <c r="X48" s="649"/>
      <c r="Y48" s="649"/>
      <c r="Z48" s="649"/>
      <c r="AA48" s="649"/>
      <c r="AB48" s="649"/>
      <c r="AC48" s="649"/>
      <c r="AD48" s="649"/>
      <c r="AE48" s="649"/>
      <c r="AF48" s="933" t="s">
        <v>595</v>
      </c>
      <c r="AG48" s="712"/>
    </row>
    <row r="49" spans="1:33" ht="18.75" x14ac:dyDescent="0.3">
      <c r="A49" s="13" t="s">
        <v>31</v>
      </c>
      <c r="B49" s="649">
        <f>B50</f>
        <v>810.6</v>
      </c>
      <c r="C49" s="649">
        <f>C50</f>
        <v>0</v>
      </c>
      <c r="D49" s="649"/>
      <c r="E49" s="649">
        <f>E50</f>
        <v>591.97</v>
      </c>
      <c r="F49" s="32"/>
      <c r="G49" s="32"/>
      <c r="H49" s="649">
        <f>H50</f>
        <v>0</v>
      </c>
      <c r="I49" s="649">
        <f t="shared" ref="I49:AE49" si="14">I50</f>
        <v>0</v>
      </c>
      <c r="J49" s="649">
        <f t="shared" si="14"/>
        <v>0</v>
      </c>
      <c r="K49" s="649">
        <f t="shared" si="14"/>
        <v>0</v>
      </c>
      <c r="L49" s="649">
        <f t="shared" si="14"/>
        <v>0</v>
      </c>
      <c r="M49" s="649">
        <f t="shared" si="14"/>
        <v>0</v>
      </c>
      <c r="N49" s="649">
        <f t="shared" si="14"/>
        <v>0</v>
      </c>
      <c r="O49" s="649">
        <f t="shared" si="14"/>
        <v>0</v>
      </c>
      <c r="P49" s="649">
        <f t="shared" si="14"/>
        <v>0</v>
      </c>
      <c r="Q49" s="649">
        <f t="shared" si="14"/>
        <v>591.97</v>
      </c>
      <c r="R49" s="649">
        <f t="shared" si="14"/>
        <v>0</v>
      </c>
      <c r="S49" s="649">
        <f t="shared" si="14"/>
        <v>0</v>
      </c>
      <c r="T49" s="649">
        <f t="shared" si="14"/>
        <v>0</v>
      </c>
      <c r="U49" s="649">
        <f t="shared" si="14"/>
        <v>0</v>
      </c>
      <c r="V49" s="649">
        <f t="shared" si="14"/>
        <v>0</v>
      </c>
      <c r="W49" s="649">
        <f t="shared" si="14"/>
        <v>0</v>
      </c>
      <c r="X49" s="649">
        <f t="shared" si="14"/>
        <v>0</v>
      </c>
      <c r="Y49" s="649">
        <f t="shared" si="14"/>
        <v>0</v>
      </c>
      <c r="Z49" s="649">
        <f t="shared" si="14"/>
        <v>810.6</v>
      </c>
      <c r="AA49" s="649">
        <f t="shared" si="14"/>
        <v>0</v>
      </c>
      <c r="AB49" s="649">
        <f t="shared" si="14"/>
        <v>0</v>
      </c>
      <c r="AC49" s="649">
        <f t="shared" si="14"/>
        <v>0</v>
      </c>
      <c r="AD49" s="649">
        <f t="shared" si="14"/>
        <v>0</v>
      </c>
      <c r="AE49" s="649">
        <f t="shared" si="14"/>
        <v>0</v>
      </c>
      <c r="AF49" s="29"/>
      <c r="AG49" s="712"/>
    </row>
    <row r="50" spans="1:33" ht="18.75" x14ac:dyDescent="0.3">
      <c r="A50" s="17" t="s">
        <v>33</v>
      </c>
      <c r="B50" s="47">
        <f>H50+J50+L50+N50+P50+R50+T50+V50+X50+Z50+AB50+AD50</f>
        <v>810.6</v>
      </c>
      <c r="C50" s="47">
        <f>H50+J50+L50+N50+P50+R50</f>
        <v>0</v>
      </c>
      <c r="D50" s="47"/>
      <c r="E50" s="47">
        <f>K50+M50+O50+Q50+S50+U50+W50+Y50+AA50+AC50+AE50+I50</f>
        <v>591.97</v>
      </c>
      <c r="F50" s="32">
        <f>E50/B50*100</f>
        <v>73.028620774734762</v>
      </c>
      <c r="G50" s="32" t="e">
        <f>E50/C50*100</f>
        <v>#DIV/0!</v>
      </c>
      <c r="H50" s="649"/>
      <c r="I50" s="649"/>
      <c r="J50" s="649"/>
      <c r="K50" s="649"/>
      <c r="L50" s="649"/>
      <c r="M50" s="649"/>
      <c r="N50" s="649"/>
      <c r="O50" s="649"/>
      <c r="P50" s="649"/>
      <c r="Q50" s="649">
        <v>591.97</v>
      </c>
      <c r="R50" s="649"/>
      <c r="S50" s="649"/>
      <c r="T50" s="649"/>
      <c r="U50" s="649"/>
      <c r="V50" s="649"/>
      <c r="W50" s="649"/>
      <c r="X50" s="649"/>
      <c r="Y50" s="649"/>
      <c r="Z50" s="649">
        <v>810.6</v>
      </c>
      <c r="AA50" s="649"/>
      <c r="AB50" s="649"/>
      <c r="AC50" s="649"/>
      <c r="AD50" s="649"/>
      <c r="AE50" s="649"/>
      <c r="AF50" s="29"/>
      <c r="AG50" s="712"/>
    </row>
    <row r="51" spans="1:33" ht="18.75" x14ac:dyDescent="0.3">
      <c r="A51" s="54" t="s">
        <v>53</v>
      </c>
      <c r="B51" s="649"/>
      <c r="C51" s="649"/>
      <c r="D51" s="649"/>
      <c r="E51" s="649"/>
      <c r="F51" s="32"/>
      <c r="G51" s="32"/>
      <c r="H51" s="649"/>
      <c r="I51" s="649"/>
      <c r="J51" s="649"/>
      <c r="K51" s="649"/>
      <c r="L51" s="649"/>
      <c r="M51" s="649"/>
      <c r="N51" s="649"/>
      <c r="O51" s="649"/>
      <c r="P51" s="649"/>
      <c r="Q51" s="649"/>
      <c r="R51" s="649"/>
      <c r="S51" s="649"/>
      <c r="T51" s="649"/>
      <c r="U51" s="649"/>
      <c r="V51" s="649"/>
      <c r="W51" s="649"/>
      <c r="X51" s="649"/>
      <c r="Y51" s="649"/>
      <c r="Z51" s="649"/>
      <c r="AA51" s="649"/>
      <c r="AB51" s="649"/>
      <c r="AC51" s="649"/>
      <c r="AD51" s="649"/>
      <c r="AE51" s="649"/>
      <c r="AF51" s="29"/>
      <c r="AG51" s="712"/>
    </row>
    <row r="52" spans="1:33" ht="18.75" x14ac:dyDescent="0.3">
      <c r="A52" s="13" t="s">
        <v>31</v>
      </c>
      <c r="B52" s="649">
        <f>B9+B15+B18+B22+B25+B40+B49</f>
        <v>15476.98</v>
      </c>
      <c r="C52" s="649">
        <f>C53+C54+C55</f>
        <v>7477.7000000000007</v>
      </c>
      <c r="D52" s="649">
        <f>D53+D54+D55</f>
        <v>4807.5600000000004</v>
      </c>
      <c r="E52" s="649">
        <f>E53+E54+E55</f>
        <v>4812.22</v>
      </c>
      <c r="F52" s="32">
        <f t="shared" ref="F52:G56" si="15">D52/B52*100</f>
        <v>31.062649173159109</v>
      </c>
      <c r="G52" s="32">
        <f t="shared" si="15"/>
        <v>64.354280059376549</v>
      </c>
      <c r="H52" s="649">
        <f>H53+H54+H55</f>
        <v>1376.28</v>
      </c>
      <c r="I52" s="649">
        <f t="shared" ref="I52:AE52" si="16">I53+I54+I55</f>
        <v>1098.06</v>
      </c>
      <c r="J52" s="649">
        <f t="shared" si="16"/>
        <v>1105.46</v>
      </c>
      <c r="K52" s="649">
        <f t="shared" si="16"/>
        <v>1106.3200000000002</v>
      </c>
      <c r="L52" s="649">
        <f t="shared" si="16"/>
        <v>1224.58</v>
      </c>
      <c r="M52" s="649">
        <f t="shared" si="16"/>
        <v>965.78</v>
      </c>
      <c r="N52" s="649">
        <f t="shared" si="16"/>
        <v>1375.9</v>
      </c>
      <c r="O52" s="649">
        <f t="shared" si="16"/>
        <v>1076.55</v>
      </c>
      <c r="P52" s="649">
        <f t="shared" si="16"/>
        <v>1322.78</v>
      </c>
      <c r="Q52" s="649">
        <f t="shared" si="16"/>
        <v>1674.96</v>
      </c>
      <c r="R52" s="649">
        <f t="shared" si="16"/>
        <v>1127.23</v>
      </c>
      <c r="S52" s="649">
        <f t="shared" si="16"/>
        <v>933.87</v>
      </c>
      <c r="T52" s="649">
        <f t="shared" si="16"/>
        <v>1397.78</v>
      </c>
      <c r="U52" s="649">
        <f t="shared" si="16"/>
        <v>4.66</v>
      </c>
      <c r="V52" s="649">
        <f t="shared" si="16"/>
        <v>1020.37</v>
      </c>
      <c r="W52" s="649">
        <f t="shared" si="16"/>
        <v>0</v>
      </c>
      <c r="X52" s="649">
        <f t="shared" si="16"/>
        <v>999.03</v>
      </c>
      <c r="Y52" s="649">
        <f t="shared" si="16"/>
        <v>0</v>
      </c>
      <c r="Z52" s="649">
        <f t="shared" si="16"/>
        <v>2054.79</v>
      </c>
      <c r="AA52" s="649">
        <f t="shared" si="16"/>
        <v>0</v>
      </c>
      <c r="AB52" s="649">
        <f t="shared" si="16"/>
        <v>1020.36</v>
      </c>
      <c r="AC52" s="649">
        <f t="shared" si="16"/>
        <v>0</v>
      </c>
      <c r="AD52" s="649">
        <f t="shared" si="16"/>
        <v>1452.42</v>
      </c>
      <c r="AE52" s="649">
        <f t="shared" si="16"/>
        <v>0</v>
      </c>
      <c r="AF52" s="29"/>
      <c r="AG52" s="712"/>
    </row>
    <row r="53" spans="1:33" ht="18.75" x14ac:dyDescent="0.3">
      <c r="A53" s="13" t="s">
        <v>102</v>
      </c>
      <c r="B53" s="649">
        <f>B23</f>
        <v>2.8</v>
      </c>
      <c r="C53" s="649">
        <f>C23</f>
        <v>2.8</v>
      </c>
      <c r="D53" s="649">
        <f>D23</f>
        <v>2.79</v>
      </c>
      <c r="E53" s="649">
        <f>E23</f>
        <v>2.79</v>
      </c>
      <c r="F53" s="32">
        <f t="shared" si="15"/>
        <v>99.642857142857153</v>
      </c>
      <c r="G53" s="32">
        <f t="shared" si="15"/>
        <v>99.642857142857153</v>
      </c>
      <c r="H53" s="649">
        <f>H23</f>
        <v>0</v>
      </c>
      <c r="I53" s="649">
        <f t="shared" ref="I53:AE53" si="17">I23</f>
        <v>0</v>
      </c>
      <c r="J53" s="649">
        <f t="shared" si="17"/>
        <v>0</v>
      </c>
      <c r="K53" s="649">
        <f t="shared" si="17"/>
        <v>0</v>
      </c>
      <c r="L53" s="649">
        <f t="shared" si="17"/>
        <v>0</v>
      </c>
      <c r="M53" s="649">
        <f t="shared" si="17"/>
        <v>0</v>
      </c>
      <c r="N53" s="649">
        <f t="shared" si="17"/>
        <v>0</v>
      </c>
      <c r="O53" s="649">
        <f t="shared" si="17"/>
        <v>0</v>
      </c>
      <c r="P53" s="649">
        <f t="shared" si="17"/>
        <v>2.8</v>
      </c>
      <c r="Q53" s="649">
        <f t="shared" si="17"/>
        <v>2.79</v>
      </c>
      <c r="R53" s="649">
        <f t="shared" si="17"/>
        <v>0</v>
      </c>
      <c r="S53" s="649">
        <f t="shared" si="17"/>
        <v>0</v>
      </c>
      <c r="T53" s="649">
        <f t="shared" si="17"/>
        <v>0</v>
      </c>
      <c r="U53" s="649">
        <f t="shared" si="17"/>
        <v>0</v>
      </c>
      <c r="V53" s="649">
        <f t="shared" si="17"/>
        <v>0</v>
      </c>
      <c r="W53" s="649">
        <f t="shared" si="17"/>
        <v>0</v>
      </c>
      <c r="X53" s="649">
        <f t="shared" si="17"/>
        <v>0</v>
      </c>
      <c r="Y53" s="649">
        <f t="shared" si="17"/>
        <v>0</v>
      </c>
      <c r="Z53" s="649">
        <f t="shared" si="17"/>
        <v>0</v>
      </c>
      <c r="AA53" s="649">
        <f t="shared" si="17"/>
        <v>0</v>
      </c>
      <c r="AB53" s="649">
        <f t="shared" si="17"/>
        <v>0</v>
      </c>
      <c r="AC53" s="649">
        <f t="shared" si="17"/>
        <v>0</v>
      </c>
      <c r="AD53" s="649">
        <f t="shared" si="17"/>
        <v>0</v>
      </c>
      <c r="AE53" s="649">
        <f t="shared" si="17"/>
        <v>0</v>
      </c>
      <c r="AF53" s="29"/>
      <c r="AG53" s="712"/>
    </row>
    <row r="54" spans="1:33" ht="18.75" x14ac:dyDescent="0.3">
      <c r="A54" s="13" t="s">
        <v>97</v>
      </c>
      <c r="B54" s="649">
        <f>B11+B19</f>
        <v>3329.4800000000005</v>
      </c>
      <c r="C54" s="649">
        <f>C11+C19</f>
        <v>984.5</v>
      </c>
      <c r="D54" s="649">
        <f>D11+D19</f>
        <v>1679.1899999999998</v>
      </c>
      <c r="E54" s="649">
        <f>E11+E19</f>
        <v>1679.1899999999998</v>
      </c>
      <c r="F54" s="32">
        <f t="shared" si="15"/>
        <v>50.434001705972086</v>
      </c>
      <c r="G54" s="32">
        <f t="shared" si="15"/>
        <v>170.56272219400711</v>
      </c>
      <c r="H54" s="649">
        <f>H11+H19</f>
        <v>343.77</v>
      </c>
      <c r="I54" s="649">
        <f t="shared" ref="I54:AE54" si="18">I11+I19</f>
        <v>248.71</v>
      </c>
      <c r="J54" s="649">
        <f t="shared" si="18"/>
        <v>216.67</v>
      </c>
      <c r="K54" s="649">
        <f t="shared" si="18"/>
        <v>251.63</v>
      </c>
      <c r="L54" s="649">
        <f t="shared" si="18"/>
        <v>385.99</v>
      </c>
      <c r="M54" s="649">
        <f t="shared" si="18"/>
        <v>318.68</v>
      </c>
      <c r="N54" s="649">
        <f t="shared" si="18"/>
        <v>352.06</v>
      </c>
      <c r="O54" s="649">
        <f t="shared" si="18"/>
        <v>308.86</v>
      </c>
      <c r="P54" s="649">
        <f t="shared" si="18"/>
        <v>306.22000000000003</v>
      </c>
      <c r="Q54" s="649">
        <f t="shared" si="18"/>
        <v>263.17</v>
      </c>
      <c r="R54" s="649">
        <f t="shared" si="18"/>
        <v>278.45999999999998</v>
      </c>
      <c r="S54" s="649">
        <f t="shared" si="18"/>
        <v>288.14</v>
      </c>
      <c r="T54" s="649">
        <f t="shared" si="18"/>
        <v>420.26</v>
      </c>
      <c r="U54" s="649">
        <f t="shared" si="18"/>
        <v>0</v>
      </c>
      <c r="V54" s="649">
        <f t="shared" si="18"/>
        <v>171.6</v>
      </c>
      <c r="W54" s="649">
        <f t="shared" si="18"/>
        <v>0</v>
      </c>
      <c r="X54" s="649">
        <f t="shared" si="18"/>
        <v>150.26</v>
      </c>
      <c r="Y54" s="649">
        <f t="shared" si="18"/>
        <v>0</v>
      </c>
      <c r="Z54" s="649">
        <f t="shared" si="18"/>
        <v>268.68</v>
      </c>
      <c r="AA54" s="649">
        <f t="shared" si="18"/>
        <v>0</v>
      </c>
      <c r="AB54" s="649">
        <f t="shared" si="18"/>
        <v>171.61</v>
      </c>
      <c r="AC54" s="649">
        <f t="shared" si="18"/>
        <v>0</v>
      </c>
      <c r="AD54" s="649">
        <f t="shared" si="18"/>
        <v>263.90000000000003</v>
      </c>
      <c r="AE54" s="649">
        <f t="shared" si="18"/>
        <v>0</v>
      </c>
      <c r="AF54" s="29"/>
      <c r="AG54" s="712"/>
    </row>
    <row r="55" spans="1:33" ht="18.75" x14ac:dyDescent="0.3">
      <c r="A55" s="17" t="s">
        <v>33</v>
      </c>
      <c r="B55" s="649">
        <f>B12+B16+B20+B26+B41+B50</f>
        <v>12144.7</v>
      </c>
      <c r="C55" s="649">
        <f>C12+C16+C20+C26+C41</f>
        <v>6490.4000000000005</v>
      </c>
      <c r="D55" s="649">
        <f>D12+D16+D20+D26+D41</f>
        <v>3125.5800000000004</v>
      </c>
      <c r="E55" s="649">
        <f>E12+E16+E20+E26+E41</f>
        <v>3130.2400000000002</v>
      </c>
      <c r="F55" s="32">
        <f t="shared" si="15"/>
        <v>25.736164746761965</v>
      </c>
      <c r="G55" s="32">
        <f t="shared" si="15"/>
        <v>48.228768642918773</v>
      </c>
      <c r="H55" s="649">
        <f>H12+H16+H20+H26+H41+H50</f>
        <v>1032.51</v>
      </c>
      <c r="I55" s="649">
        <f t="shared" ref="I55:AE55" si="19">I12+I16+I20+I26+I41+I50</f>
        <v>849.35</v>
      </c>
      <c r="J55" s="649">
        <f t="shared" si="19"/>
        <v>888.79</v>
      </c>
      <c r="K55" s="649">
        <f t="shared" si="19"/>
        <v>854.69</v>
      </c>
      <c r="L55" s="649">
        <f t="shared" si="19"/>
        <v>838.59</v>
      </c>
      <c r="M55" s="649">
        <f t="shared" si="19"/>
        <v>647.1</v>
      </c>
      <c r="N55" s="649">
        <f t="shared" si="19"/>
        <v>1023.84</v>
      </c>
      <c r="O55" s="649">
        <f t="shared" si="19"/>
        <v>767.68999999999994</v>
      </c>
      <c r="P55" s="649">
        <f t="shared" si="19"/>
        <v>1013.76</v>
      </c>
      <c r="Q55" s="649">
        <f t="shared" si="19"/>
        <v>1409</v>
      </c>
      <c r="R55" s="649">
        <f t="shared" si="19"/>
        <v>848.77</v>
      </c>
      <c r="S55" s="649">
        <f t="shared" si="19"/>
        <v>645.73</v>
      </c>
      <c r="T55" s="649">
        <f t="shared" si="19"/>
        <v>977.52</v>
      </c>
      <c r="U55" s="649">
        <f t="shared" si="19"/>
        <v>4.66</v>
      </c>
      <c r="V55" s="649">
        <f t="shared" si="19"/>
        <v>848.77</v>
      </c>
      <c r="W55" s="649">
        <f t="shared" si="19"/>
        <v>0</v>
      </c>
      <c r="X55" s="649">
        <f t="shared" si="19"/>
        <v>848.77</v>
      </c>
      <c r="Y55" s="649">
        <f t="shared" si="19"/>
        <v>0</v>
      </c>
      <c r="Z55" s="649">
        <f t="shared" si="19"/>
        <v>1786.1100000000001</v>
      </c>
      <c r="AA55" s="649">
        <f t="shared" si="19"/>
        <v>0</v>
      </c>
      <c r="AB55" s="649">
        <f t="shared" si="19"/>
        <v>848.75</v>
      </c>
      <c r="AC55" s="649">
        <f t="shared" si="19"/>
        <v>0</v>
      </c>
      <c r="AD55" s="649">
        <f t="shared" si="19"/>
        <v>1188.52</v>
      </c>
      <c r="AE55" s="649">
        <f t="shared" si="19"/>
        <v>0</v>
      </c>
      <c r="AF55" s="29"/>
      <c r="AG55" s="712"/>
    </row>
    <row r="56" spans="1:33" ht="37.5" x14ac:dyDescent="0.3">
      <c r="A56" s="73" t="s">
        <v>130</v>
      </c>
      <c r="B56" s="649">
        <f>B13</f>
        <v>65.319999999999993</v>
      </c>
      <c r="C56" s="649">
        <f>C13</f>
        <v>32.659999999999997</v>
      </c>
      <c r="D56" s="649">
        <f>D13</f>
        <v>16.329999999999998</v>
      </c>
      <c r="E56" s="649">
        <f>E13</f>
        <v>16.329999999999998</v>
      </c>
      <c r="F56" s="32">
        <f t="shared" si="15"/>
        <v>25</v>
      </c>
      <c r="G56" s="32">
        <f t="shared" si="15"/>
        <v>50</v>
      </c>
      <c r="H56" s="649">
        <f>H13</f>
        <v>0</v>
      </c>
      <c r="I56" s="649">
        <f t="shared" ref="I56:AE56" si="20">I13</f>
        <v>0</v>
      </c>
      <c r="J56" s="649">
        <f t="shared" si="20"/>
        <v>0</v>
      </c>
      <c r="K56" s="649">
        <f t="shared" si="20"/>
        <v>0</v>
      </c>
      <c r="L56" s="649">
        <f t="shared" si="20"/>
        <v>0</v>
      </c>
      <c r="M56" s="649">
        <f t="shared" si="20"/>
        <v>0</v>
      </c>
      <c r="N56" s="649">
        <f t="shared" si="20"/>
        <v>16.329999999999998</v>
      </c>
      <c r="O56" s="649">
        <f t="shared" si="20"/>
        <v>16.329999999999998</v>
      </c>
      <c r="P56" s="649">
        <f t="shared" si="20"/>
        <v>0</v>
      </c>
      <c r="Q56" s="649">
        <f t="shared" si="20"/>
        <v>0</v>
      </c>
      <c r="R56" s="649">
        <f t="shared" si="20"/>
        <v>0</v>
      </c>
      <c r="S56" s="649">
        <f t="shared" si="20"/>
        <v>0</v>
      </c>
      <c r="T56" s="649">
        <f t="shared" si="20"/>
        <v>16.329999999999998</v>
      </c>
      <c r="U56" s="649">
        <f t="shared" si="20"/>
        <v>0</v>
      </c>
      <c r="V56" s="649">
        <f t="shared" si="20"/>
        <v>0</v>
      </c>
      <c r="W56" s="649">
        <f t="shared" si="20"/>
        <v>0</v>
      </c>
      <c r="X56" s="649">
        <f t="shared" si="20"/>
        <v>0</v>
      </c>
      <c r="Y56" s="649">
        <f t="shared" si="20"/>
        <v>0</v>
      </c>
      <c r="Z56" s="649">
        <f t="shared" si="20"/>
        <v>16.329999999999998</v>
      </c>
      <c r="AA56" s="649">
        <f t="shared" si="20"/>
        <v>0</v>
      </c>
      <c r="AB56" s="649">
        <f t="shared" si="20"/>
        <v>0</v>
      </c>
      <c r="AC56" s="649">
        <f t="shared" si="20"/>
        <v>0</v>
      </c>
      <c r="AD56" s="649">
        <f t="shared" si="20"/>
        <v>16.329999999999998</v>
      </c>
      <c r="AE56" s="649">
        <f t="shared" si="20"/>
        <v>0</v>
      </c>
      <c r="AF56" s="29"/>
      <c r="AG56" s="712"/>
    </row>
    <row r="57" spans="1:33" ht="37.5" x14ac:dyDescent="0.3">
      <c r="A57" s="28" t="s">
        <v>72</v>
      </c>
      <c r="B57" s="620"/>
      <c r="C57" s="620"/>
      <c r="D57" s="620"/>
      <c r="E57" s="620"/>
      <c r="F57" s="620"/>
      <c r="G57" s="620"/>
      <c r="H57" s="620"/>
      <c r="I57" s="620"/>
      <c r="J57" s="620"/>
      <c r="K57" s="620"/>
      <c r="L57" s="620"/>
      <c r="M57" s="620"/>
      <c r="N57" s="620"/>
      <c r="O57" s="620"/>
      <c r="P57" s="620"/>
      <c r="Q57" s="620"/>
      <c r="R57" s="620"/>
      <c r="S57" s="620"/>
      <c r="T57" s="620"/>
      <c r="U57" s="620"/>
      <c r="V57" s="620"/>
      <c r="W57" s="620"/>
      <c r="X57" s="620"/>
      <c r="Y57" s="620"/>
      <c r="Z57" s="620"/>
      <c r="AA57" s="620"/>
      <c r="AB57" s="620"/>
      <c r="AC57" s="620"/>
      <c r="AD57" s="620"/>
      <c r="AE57" s="620"/>
      <c r="AF57" s="29"/>
      <c r="AG57" s="712"/>
    </row>
    <row r="58" spans="1:33" ht="18.75" x14ac:dyDescent="0.3">
      <c r="A58" s="8" t="s">
        <v>31</v>
      </c>
      <c r="B58" s="649">
        <f>B61+B59+B60</f>
        <v>15476.98</v>
      </c>
      <c r="C58" s="649">
        <f>C61+C59+C60</f>
        <v>7477.7000000000007</v>
      </c>
      <c r="D58" s="649">
        <f>D61+D59+D60</f>
        <v>4807.5600000000004</v>
      </c>
      <c r="E58" s="649">
        <f>E61+E59+E60</f>
        <v>4812.22</v>
      </c>
      <c r="F58" s="32">
        <f>E58/B58*100</f>
        <v>31.092758406355763</v>
      </c>
      <c r="G58" s="32">
        <f>E58/C58*100</f>
        <v>64.354280059376549</v>
      </c>
      <c r="H58" s="649">
        <f>H61+H59+H60</f>
        <v>1376.28</v>
      </c>
      <c r="I58" s="649">
        <f t="shared" ref="I58:AE58" si="21">I61+I59+I60</f>
        <v>1098.06</v>
      </c>
      <c r="J58" s="649">
        <f t="shared" si="21"/>
        <v>1105.46</v>
      </c>
      <c r="K58" s="649">
        <f t="shared" si="21"/>
        <v>1106.3200000000002</v>
      </c>
      <c r="L58" s="649">
        <f t="shared" si="21"/>
        <v>1224.58</v>
      </c>
      <c r="M58" s="649">
        <f t="shared" si="21"/>
        <v>965.78</v>
      </c>
      <c r="N58" s="649">
        <f t="shared" si="21"/>
        <v>1375.9</v>
      </c>
      <c r="O58" s="649">
        <f t="shared" si="21"/>
        <v>1076.55</v>
      </c>
      <c r="P58" s="649">
        <f t="shared" si="21"/>
        <v>1322.78</v>
      </c>
      <c r="Q58" s="649">
        <f t="shared" si="21"/>
        <v>1674.96</v>
      </c>
      <c r="R58" s="649">
        <f t="shared" si="21"/>
        <v>1127.23</v>
      </c>
      <c r="S58" s="649">
        <f t="shared" si="21"/>
        <v>933.87</v>
      </c>
      <c r="T58" s="649">
        <f t="shared" si="21"/>
        <v>1397.78</v>
      </c>
      <c r="U58" s="649">
        <f t="shared" si="21"/>
        <v>4.66</v>
      </c>
      <c r="V58" s="649">
        <f t="shared" si="21"/>
        <v>1020.37</v>
      </c>
      <c r="W58" s="649">
        <f t="shared" si="21"/>
        <v>0</v>
      </c>
      <c r="X58" s="649">
        <f t="shared" si="21"/>
        <v>999.03</v>
      </c>
      <c r="Y58" s="649">
        <f t="shared" si="21"/>
        <v>0</v>
      </c>
      <c r="Z58" s="649">
        <f t="shared" si="21"/>
        <v>2054.79</v>
      </c>
      <c r="AA58" s="649">
        <f t="shared" si="21"/>
        <v>0</v>
      </c>
      <c r="AB58" s="649">
        <f t="shared" si="21"/>
        <v>1020.36</v>
      </c>
      <c r="AC58" s="649">
        <f t="shared" si="21"/>
        <v>0</v>
      </c>
      <c r="AD58" s="649">
        <f t="shared" si="21"/>
        <v>1452.42</v>
      </c>
      <c r="AE58" s="649">
        <f t="shared" si="21"/>
        <v>0</v>
      </c>
      <c r="AF58" s="29"/>
      <c r="AG58" s="712"/>
    </row>
    <row r="59" spans="1:33" ht="18.75" x14ac:dyDescent="0.3">
      <c r="A59" s="13" t="s">
        <v>102</v>
      </c>
      <c r="B59" s="649">
        <f t="shared" ref="B59:E61" si="22">B53</f>
        <v>2.8</v>
      </c>
      <c r="C59" s="649">
        <f t="shared" si="22"/>
        <v>2.8</v>
      </c>
      <c r="D59" s="649">
        <f t="shared" si="22"/>
        <v>2.79</v>
      </c>
      <c r="E59" s="649">
        <f t="shared" si="22"/>
        <v>2.79</v>
      </c>
      <c r="F59" s="32">
        <f>E59/B59*100</f>
        <v>99.642857142857153</v>
      </c>
      <c r="G59" s="32">
        <f>E59/C59*100</f>
        <v>99.642857142857153</v>
      </c>
      <c r="H59" s="649">
        <f>H53</f>
        <v>0</v>
      </c>
      <c r="I59" s="649">
        <f t="shared" ref="I59:AE59" si="23">I53</f>
        <v>0</v>
      </c>
      <c r="J59" s="649">
        <f t="shared" si="23"/>
        <v>0</v>
      </c>
      <c r="K59" s="649">
        <f t="shared" si="23"/>
        <v>0</v>
      </c>
      <c r="L59" s="649">
        <f t="shared" si="23"/>
        <v>0</v>
      </c>
      <c r="M59" s="649">
        <f t="shared" si="23"/>
        <v>0</v>
      </c>
      <c r="N59" s="649">
        <f t="shared" si="23"/>
        <v>0</v>
      </c>
      <c r="O59" s="649">
        <f t="shared" si="23"/>
        <v>0</v>
      </c>
      <c r="P59" s="649">
        <f t="shared" si="23"/>
        <v>2.8</v>
      </c>
      <c r="Q59" s="649">
        <f t="shared" si="23"/>
        <v>2.79</v>
      </c>
      <c r="R59" s="649">
        <f t="shared" si="23"/>
        <v>0</v>
      </c>
      <c r="S59" s="649">
        <f t="shared" si="23"/>
        <v>0</v>
      </c>
      <c r="T59" s="649">
        <f t="shared" si="23"/>
        <v>0</v>
      </c>
      <c r="U59" s="649">
        <f t="shared" si="23"/>
        <v>0</v>
      </c>
      <c r="V59" s="649">
        <f t="shared" si="23"/>
        <v>0</v>
      </c>
      <c r="W59" s="649">
        <f t="shared" si="23"/>
        <v>0</v>
      </c>
      <c r="X59" s="649">
        <f t="shared" si="23"/>
        <v>0</v>
      </c>
      <c r="Y59" s="649">
        <f t="shared" si="23"/>
        <v>0</v>
      </c>
      <c r="Z59" s="649">
        <f t="shared" si="23"/>
        <v>0</v>
      </c>
      <c r="AA59" s="649">
        <f t="shared" si="23"/>
        <v>0</v>
      </c>
      <c r="AB59" s="649">
        <f t="shared" si="23"/>
        <v>0</v>
      </c>
      <c r="AC59" s="649">
        <f t="shared" si="23"/>
        <v>0</v>
      </c>
      <c r="AD59" s="649">
        <f t="shared" si="23"/>
        <v>0</v>
      </c>
      <c r="AE59" s="649">
        <f t="shared" si="23"/>
        <v>0</v>
      </c>
      <c r="AF59" s="29"/>
      <c r="AG59" s="712"/>
    </row>
    <row r="60" spans="1:33" ht="18.75" x14ac:dyDescent="0.3">
      <c r="A60" s="13" t="s">
        <v>97</v>
      </c>
      <c r="B60" s="649">
        <f t="shared" si="22"/>
        <v>3329.4800000000005</v>
      </c>
      <c r="C60" s="649">
        <f t="shared" si="22"/>
        <v>984.5</v>
      </c>
      <c r="D60" s="649">
        <f t="shared" si="22"/>
        <v>1679.1899999999998</v>
      </c>
      <c r="E60" s="649">
        <f t="shared" si="22"/>
        <v>1679.1899999999998</v>
      </c>
      <c r="F60" s="32">
        <f>E60/B60*100</f>
        <v>50.434001705972086</v>
      </c>
      <c r="G60" s="32">
        <f>E60/C60*100</f>
        <v>170.56272219400711</v>
      </c>
      <c r="H60" s="649">
        <f>H54</f>
        <v>343.77</v>
      </c>
      <c r="I60" s="649">
        <f t="shared" ref="I60:AE60" si="24">I54</f>
        <v>248.71</v>
      </c>
      <c r="J60" s="649">
        <f t="shared" si="24"/>
        <v>216.67</v>
      </c>
      <c r="K60" s="649">
        <f t="shared" si="24"/>
        <v>251.63</v>
      </c>
      <c r="L60" s="649">
        <f t="shared" si="24"/>
        <v>385.99</v>
      </c>
      <c r="M60" s="649">
        <f t="shared" si="24"/>
        <v>318.68</v>
      </c>
      <c r="N60" s="649">
        <f t="shared" si="24"/>
        <v>352.06</v>
      </c>
      <c r="O60" s="649">
        <f t="shared" si="24"/>
        <v>308.86</v>
      </c>
      <c r="P60" s="649">
        <f t="shared" si="24"/>
        <v>306.22000000000003</v>
      </c>
      <c r="Q60" s="649">
        <f t="shared" si="24"/>
        <v>263.17</v>
      </c>
      <c r="R60" s="649">
        <f t="shared" si="24"/>
        <v>278.45999999999998</v>
      </c>
      <c r="S60" s="649">
        <f t="shared" si="24"/>
        <v>288.14</v>
      </c>
      <c r="T60" s="649">
        <f t="shared" si="24"/>
        <v>420.26</v>
      </c>
      <c r="U60" s="649">
        <f t="shared" si="24"/>
        <v>0</v>
      </c>
      <c r="V60" s="649">
        <f t="shared" si="24"/>
        <v>171.6</v>
      </c>
      <c r="W60" s="649">
        <f t="shared" si="24"/>
        <v>0</v>
      </c>
      <c r="X60" s="649">
        <f t="shared" si="24"/>
        <v>150.26</v>
      </c>
      <c r="Y60" s="649">
        <f t="shared" si="24"/>
        <v>0</v>
      </c>
      <c r="Z60" s="649">
        <f t="shared" si="24"/>
        <v>268.68</v>
      </c>
      <c r="AA60" s="649">
        <f t="shared" si="24"/>
        <v>0</v>
      </c>
      <c r="AB60" s="649">
        <f t="shared" si="24"/>
        <v>171.61</v>
      </c>
      <c r="AC60" s="649">
        <f t="shared" si="24"/>
        <v>0</v>
      </c>
      <c r="AD60" s="649">
        <f t="shared" si="24"/>
        <v>263.90000000000003</v>
      </c>
      <c r="AE60" s="649">
        <f t="shared" si="24"/>
        <v>0</v>
      </c>
      <c r="AF60" s="29"/>
      <c r="AG60" s="712"/>
    </row>
    <row r="61" spans="1:33" ht="18.75" x14ac:dyDescent="0.3">
      <c r="A61" s="17" t="s">
        <v>33</v>
      </c>
      <c r="B61" s="649">
        <f t="shared" si="22"/>
        <v>12144.7</v>
      </c>
      <c r="C61" s="649">
        <f t="shared" si="22"/>
        <v>6490.4000000000005</v>
      </c>
      <c r="D61" s="649">
        <f t="shared" si="22"/>
        <v>3125.5800000000004</v>
      </c>
      <c r="E61" s="649">
        <f t="shared" si="22"/>
        <v>3130.2400000000002</v>
      </c>
      <c r="F61" s="32">
        <f>E61/B61*100</f>
        <v>25.7745353940402</v>
      </c>
      <c r="G61" s="32">
        <f>E61/C61*100</f>
        <v>48.228768642918773</v>
      </c>
      <c r="H61" s="649">
        <f>H55</f>
        <v>1032.51</v>
      </c>
      <c r="I61" s="649">
        <f t="shared" ref="I61:AE61" si="25">I55</f>
        <v>849.35</v>
      </c>
      <c r="J61" s="649">
        <f t="shared" si="25"/>
        <v>888.79</v>
      </c>
      <c r="K61" s="649">
        <f t="shared" si="25"/>
        <v>854.69</v>
      </c>
      <c r="L61" s="649">
        <f t="shared" si="25"/>
        <v>838.59</v>
      </c>
      <c r="M61" s="649">
        <f t="shared" si="25"/>
        <v>647.1</v>
      </c>
      <c r="N61" s="649">
        <f t="shared" si="25"/>
        <v>1023.84</v>
      </c>
      <c r="O61" s="649">
        <f t="shared" si="25"/>
        <v>767.68999999999994</v>
      </c>
      <c r="P61" s="649">
        <f t="shared" si="25"/>
        <v>1013.76</v>
      </c>
      <c r="Q61" s="649">
        <f t="shared" si="25"/>
        <v>1409</v>
      </c>
      <c r="R61" s="649">
        <f t="shared" si="25"/>
        <v>848.77</v>
      </c>
      <c r="S61" s="649">
        <f t="shared" si="25"/>
        <v>645.73</v>
      </c>
      <c r="T61" s="649">
        <f t="shared" si="25"/>
        <v>977.52</v>
      </c>
      <c r="U61" s="649">
        <f t="shared" si="25"/>
        <v>4.66</v>
      </c>
      <c r="V61" s="649">
        <f t="shared" si="25"/>
        <v>848.77</v>
      </c>
      <c r="W61" s="649">
        <f t="shared" si="25"/>
        <v>0</v>
      </c>
      <c r="X61" s="649">
        <f t="shared" si="25"/>
        <v>848.77</v>
      </c>
      <c r="Y61" s="649">
        <f t="shared" si="25"/>
        <v>0</v>
      </c>
      <c r="Z61" s="649">
        <f t="shared" si="25"/>
        <v>1786.1100000000001</v>
      </c>
      <c r="AA61" s="649">
        <f t="shared" si="25"/>
        <v>0</v>
      </c>
      <c r="AB61" s="649">
        <f t="shared" si="25"/>
        <v>848.75</v>
      </c>
      <c r="AC61" s="649">
        <f t="shared" si="25"/>
        <v>0</v>
      </c>
      <c r="AD61" s="649">
        <f t="shared" si="25"/>
        <v>1188.52</v>
      </c>
      <c r="AE61" s="649">
        <f t="shared" si="25"/>
        <v>0</v>
      </c>
      <c r="AF61" s="29"/>
      <c r="AG61" s="712"/>
    </row>
    <row r="62" spans="1:33" ht="93.75" x14ac:dyDescent="0.3">
      <c r="A62" s="55" t="s">
        <v>111</v>
      </c>
      <c r="B62" s="620"/>
      <c r="C62" s="620"/>
      <c r="D62" s="620"/>
      <c r="E62" s="620"/>
      <c r="F62" s="620"/>
      <c r="G62" s="620"/>
      <c r="H62" s="620"/>
      <c r="I62" s="620"/>
      <c r="J62" s="620"/>
      <c r="K62" s="620"/>
      <c r="L62" s="620"/>
      <c r="M62" s="620"/>
      <c r="N62" s="620"/>
      <c r="O62" s="620"/>
      <c r="P62" s="620"/>
      <c r="Q62" s="620"/>
      <c r="R62" s="620"/>
      <c r="S62" s="620"/>
      <c r="T62" s="620"/>
      <c r="U62" s="620"/>
      <c r="V62" s="620"/>
      <c r="W62" s="620"/>
      <c r="X62" s="620"/>
      <c r="Y62" s="620"/>
      <c r="Z62" s="620"/>
      <c r="AA62" s="620"/>
      <c r="AB62" s="620"/>
      <c r="AC62" s="620"/>
      <c r="AD62" s="620"/>
      <c r="AE62" s="620"/>
      <c r="AF62" s="29"/>
      <c r="AG62" s="712"/>
    </row>
    <row r="63" spans="1:33" ht="18.75" x14ac:dyDescent="0.3">
      <c r="A63" s="52" t="s">
        <v>54</v>
      </c>
      <c r="B63" s="620"/>
      <c r="C63" s="620"/>
      <c r="D63" s="620"/>
      <c r="E63" s="620"/>
      <c r="F63" s="620"/>
      <c r="G63" s="620"/>
      <c r="H63" s="620"/>
      <c r="I63" s="620"/>
      <c r="J63" s="620"/>
      <c r="K63" s="620"/>
      <c r="L63" s="620"/>
      <c r="M63" s="620"/>
      <c r="N63" s="620"/>
      <c r="O63" s="620"/>
      <c r="P63" s="620"/>
      <c r="Q63" s="620"/>
      <c r="R63" s="620"/>
      <c r="S63" s="620"/>
      <c r="T63" s="620"/>
      <c r="U63" s="620"/>
      <c r="V63" s="620"/>
      <c r="W63" s="620"/>
      <c r="X63" s="620"/>
      <c r="Y63" s="620"/>
      <c r="Z63" s="620"/>
      <c r="AA63" s="620"/>
      <c r="AB63" s="620"/>
      <c r="AC63" s="620"/>
      <c r="AD63" s="620"/>
      <c r="AE63" s="620"/>
      <c r="AF63" s="29"/>
      <c r="AG63" s="712"/>
    </row>
    <row r="64" spans="1:33" ht="75" x14ac:dyDescent="0.3">
      <c r="A64" s="51" t="s">
        <v>112</v>
      </c>
      <c r="B64" s="649"/>
      <c r="C64" s="649"/>
      <c r="D64" s="649"/>
      <c r="E64" s="649"/>
      <c r="F64" s="649"/>
      <c r="G64" s="620"/>
      <c r="H64" s="620"/>
      <c r="I64" s="620"/>
      <c r="J64" s="620"/>
      <c r="K64" s="620"/>
      <c r="L64" s="620"/>
      <c r="M64" s="620"/>
      <c r="N64" s="620"/>
      <c r="O64" s="620"/>
      <c r="P64" s="620"/>
      <c r="Q64" s="620"/>
      <c r="R64" s="620"/>
      <c r="S64" s="620"/>
      <c r="T64" s="620"/>
      <c r="U64" s="620"/>
      <c r="V64" s="620"/>
      <c r="W64" s="620"/>
      <c r="X64" s="620"/>
      <c r="Y64" s="620"/>
      <c r="Z64" s="620"/>
      <c r="AA64" s="620"/>
      <c r="AB64" s="620"/>
      <c r="AC64" s="620"/>
      <c r="AD64" s="620"/>
      <c r="AE64" s="620"/>
      <c r="AF64" s="29"/>
      <c r="AG64" s="712"/>
    </row>
    <row r="65" spans="1:33" ht="18.75" x14ac:dyDescent="0.3">
      <c r="A65" s="13" t="s">
        <v>31</v>
      </c>
      <c r="B65" s="47">
        <f>B66</f>
        <v>150.38999999999999</v>
      </c>
      <c r="C65" s="47">
        <f>C66</f>
        <v>150.38999999999999</v>
      </c>
      <c r="D65" s="47">
        <f>D66</f>
        <v>150.38</v>
      </c>
      <c r="E65" s="47">
        <f>E66</f>
        <v>150.38</v>
      </c>
      <c r="F65" s="32">
        <f>E65/B65*100</f>
        <v>99.993350621716885</v>
      </c>
      <c r="G65" s="32">
        <f>E65/C65*100</f>
        <v>99.993350621716885</v>
      </c>
      <c r="H65" s="771">
        <f>H66</f>
        <v>0</v>
      </c>
      <c r="I65" s="771">
        <f t="shared" ref="I65:AE65" si="26">I66</f>
        <v>0</v>
      </c>
      <c r="J65" s="620">
        <f t="shared" si="26"/>
        <v>150.38999999999999</v>
      </c>
      <c r="K65" s="620">
        <f t="shared" si="26"/>
        <v>150.38</v>
      </c>
      <c r="L65" s="771">
        <f t="shared" si="26"/>
        <v>0</v>
      </c>
      <c r="M65" s="771">
        <f t="shared" si="26"/>
        <v>0</v>
      </c>
      <c r="N65" s="771">
        <f t="shared" si="26"/>
        <v>0</v>
      </c>
      <c r="O65" s="771">
        <f t="shared" si="26"/>
        <v>0</v>
      </c>
      <c r="P65" s="771">
        <f t="shared" si="26"/>
        <v>0</v>
      </c>
      <c r="Q65" s="771">
        <f t="shared" si="26"/>
        <v>0</v>
      </c>
      <c r="R65" s="771">
        <f t="shared" si="26"/>
        <v>0</v>
      </c>
      <c r="S65" s="771">
        <f t="shared" si="26"/>
        <v>0</v>
      </c>
      <c r="T65" s="771">
        <f t="shared" si="26"/>
        <v>0</v>
      </c>
      <c r="U65" s="771">
        <f t="shared" si="26"/>
        <v>0</v>
      </c>
      <c r="V65" s="771">
        <f t="shared" si="26"/>
        <v>0</v>
      </c>
      <c r="W65" s="771">
        <f t="shared" si="26"/>
        <v>0</v>
      </c>
      <c r="X65" s="771">
        <f t="shared" si="26"/>
        <v>0</v>
      </c>
      <c r="Y65" s="771">
        <f t="shared" si="26"/>
        <v>0</v>
      </c>
      <c r="Z65" s="771">
        <f t="shared" si="26"/>
        <v>0</v>
      </c>
      <c r="AA65" s="771">
        <f t="shared" si="26"/>
        <v>0</v>
      </c>
      <c r="AB65" s="771">
        <f t="shared" si="26"/>
        <v>0</v>
      </c>
      <c r="AC65" s="771">
        <f t="shared" si="26"/>
        <v>0</v>
      </c>
      <c r="AD65" s="771">
        <f t="shared" si="26"/>
        <v>0</v>
      </c>
      <c r="AE65" s="771">
        <f t="shared" si="26"/>
        <v>0</v>
      </c>
      <c r="AF65" s="29"/>
      <c r="AG65" s="712"/>
    </row>
    <row r="66" spans="1:33" ht="18.75" x14ac:dyDescent="0.3">
      <c r="A66" s="13" t="s">
        <v>33</v>
      </c>
      <c r="B66" s="47">
        <f>B68</f>
        <v>150.38999999999999</v>
      </c>
      <c r="C66" s="47">
        <f>C68</f>
        <v>150.38999999999999</v>
      </c>
      <c r="D66" s="47">
        <f>D68</f>
        <v>150.38</v>
      </c>
      <c r="E66" s="47">
        <f>D66</f>
        <v>150.38</v>
      </c>
      <c r="F66" s="32">
        <f>E66/B66*100</f>
        <v>99.993350621716885</v>
      </c>
      <c r="G66" s="32">
        <f>E66/C66*100</f>
        <v>99.993350621716885</v>
      </c>
      <c r="H66" s="771">
        <f>H68</f>
        <v>0</v>
      </c>
      <c r="I66" s="771">
        <f t="shared" ref="I66:AE66" si="27">I68</f>
        <v>0</v>
      </c>
      <c r="J66" s="620">
        <f t="shared" si="27"/>
        <v>150.38999999999999</v>
      </c>
      <c r="K66" s="620">
        <f t="shared" si="27"/>
        <v>150.38</v>
      </c>
      <c r="L66" s="771">
        <f t="shared" si="27"/>
        <v>0</v>
      </c>
      <c r="M66" s="771">
        <f t="shared" si="27"/>
        <v>0</v>
      </c>
      <c r="N66" s="771">
        <f t="shared" si="27"/>
        <v>0</v>
      </c>
      <c r="O66" s="771">
        <f t="shared" si="27"/>
        <v>0</v>
      </c>
      <c r="P66" s="771">
        <f t="shared" si="27"/>
        <v>0</v>
      </c>
      <c r="Q66" s="771">
        <f t="shared" si="27"/>
        <v>0</v>
      </c>
      <c r="R66" s="771">
        <f t="shared" si="27"/>
        <v>0</v>
      </c>
      <c r="S66" s="771">
        <f t="shared" si="27"/>
        <v>0</v>
      </c>
      <c r="T66" s="771">
        <f t="shared" si="27"/>
        <v>0</v>
      </c>
      <c r="U66" s="771">
        <f t="shared" si="27"/>
        <v>0</v>
      </c>
      <c r="V66" s="771">
        <f t="shared" si="27"/>
        <v>0</v>
      </c>
      <c r="W66" s="771">
        <f t="shared" si="27"/>
        <v>0</v>
      </c>
      <c r="X66" s="771">
        <f t="shared" si="27"/>
        <v>0</v>
      </c>
      <c r="Y66" s="771">
        <f t="shared" si="27"/>
        <v>0</v>
      </c>
      <c r="Z66" s="771">
        <f t="shared" si="27"/>
        <v>0</v>
      </c>
      <c r="AA66" s="771">
        <f t="shared" si="27"/>
        <v>0</v>
      </c>
      <c r="AB66" s="771">
        <f t="shared" si="27"/>
        <v>0</v>
      </c>
      <c r="AC66" s="771">
        <f t="shared" si="27"/>
        <v>0</v>
      </c>
      <c r="AD66" s="771">
        <f t="shared" si="27"/>
        <v>0</v>
      </c>
      <c r="AE66" s="771">
        <f t="shared" si="27"/>
        <v>0</v>
      </c>
      <c r="AF66" s="29"/>
      <c r="AG66" s="712"/>
    </row>
    <row r="67" spans="1:33" ht="318.75" x14ac:dyDescent="0.3">
      <c r="A67" s="72" t="s">
        <v>113</v>
      </c>
      <c r="B67" s="620"/>
      <c r="C67" s="620"/>
      <c r="D67" s="620"/>
      <c r="E67" s="620"/>
      <c r="F67" s="620"/>
      <c r="G67" s="620"/>
      <c r="H67" s="620"/>
      <c r="I67" s="620"/>
      <c r="J67" s="620"/>
      <c r="K67" s="620"/>
      <c r="L67" s="620"/>
      <c r="M67" s="620"/>
      <c r="N67" s="620"/>
      <c r="O67" s="620"/>
      <c r="P67" s="620"/>
      <c r="Q67" s="620"/>
      <c r="R67" s="620"/>
      <c r="S67" s="620"/>
      <c r="T67" s="620"/>
      <c r="U67" s="620"/>
      <c r="V67" s="620"/>
      <c r="W67" s="620"/>
      <c r="X67" s="620"/>
      <c r="Y67" s="620"/>
      <c r="Z67" s="620"/>
      <c r="AA67" s="620"/>
      <c r="AB67" s="620"/>
      <c r="AC67" s="620"/>
      <c r="AD67" s="620"/>
      <c r="AE67" s="620"/>
      <c r="AF67" s="29"/>
      <c r="AG67" s="712"/>
    </row>
    <row r="68" spans="1:33" ht="18.75" x14ac:dyDescent="0.3">
      <c r="A68" s="13" t="s">
        <v>31</v>
      </c>
      <c r="B68" s="47">
        <f>B69</f>
        <v>150.38999999999999</v>
      </c>
      <c r="C68" s="32">
        <f>C69</f>
        <v>150.38999999999999</v>
      </c>
      <c r="D68" s="32">
        <f>D69</f>
        <v>150.38</v>
      </c>
      <c r="E68" s="47">
        <f>E69</f>
        <v>150.38</v>
      </c>
      <c r="F68" s="32">
        <f>E68/B68*100</f>
        <v>99.993350621716885</v>
      </c>
      <c r="G68" s="32">
        <f>E68/C68*100</f>
        <v>99.993350621716885</v>
      </c>
      <c r="H68" s="771">
        <f>H69</f>
        <v>0</v>
      </c>
      <c r="I68" s="771">
        <f t="shared" ref="I68:AE68" si="28">I69</f>
        <v>0</v>
      </c>
      <c r="J68" s="771">
        <f t="shared" si="28"/>
        <v>150.38999999999999</v>
      </c>
      <c r="K68" s="620">
        <f t="shared" si="28"/>
        <v>150.38</v>
      </c>
      <c r="L68" s="771">
        <f t="shared" si="28"/>
        <v>0</v>
      </c>
      <c r="M68" s="771">
        <f t="shared" si="28"/>
        <v>0</v>
      </c>
      <c r="N68" s="771">
        <f t="shared" si="28"/>
        <v>0</v>
      </c>
      <c r="O68" s="771">
        <f t="shared" si="28"/>
        <v>0</v>
      </c>
      <c r="P68" s="771">
        <f t="shared" si="28"/>
        <v>0</v>
      </c>
      <c r="Q68" s="771">
        <f t="shared" si="28"/>
        <v>0</v>
      </c>
      <c r="R68" s="771">
        <f t="shared" si="28"/>
        <v>0</v>
      </c>
      <c r="S68" s="771">
        <f t="shared" si="28"/>
        <v>0</v>
      </c>
      <c r="T68" s="771">
        <f t="shared" si="28"/>
        <v>0</v>
      </c>
      <c r="U68" s="771">
        <f t="shared" si="28"/>
        <v>0</v>
      </c>
      <c r="V68" s="771">
        <f t="shared" si="28"/>
        <v>0</v>
      </c>
      <c r="W68" s="771">
        <f t="shared" si="28"/>
        <v>0</v>
      </c>
      <c r="X68" s="771">
        <f t="shared" si="28"/>
        <v>0</v>
      </c>
      <c r="Y68" s="771">
        <f t="shared" si="28"/>
        <v>0</v>
      </c>
      <c r="Z68" s="771">
        <f t="shared" si="28"/>
        <v>0</v>
      </c>
      <c r="AA68" s="771">
        <f t="shared" si="28"/>
        <v>0</v>
      </c>
      <c r="AB68" s="771">
        <f t="shared" si="28"/>
        <v>0</v>
      </c>
      <c r="AC68" s="771">
        <f t="shared" si="28"/>
        <v>0</v>
      </c>
      <c r="AD68" s="771">
        <f t="shared" si="28"/>
        <v>0</v>
      </c>
      <c r="AE68" s="771">
        <f t="shared" si="28"/>
        <v>0</v>
      </c>
      <c r="AF68" s="29"/>
      <c r="AG68" s="712"/>
    </row>
    <row r="69" spans="1:33" ht="18.75" x14ac:dyDescent="0.3">
      <c r="A69" s="13" t="s">
        <v>33</v>
      </c>
      <c r="B69" s="47">
        <f>H69+J69+L69+N69+P69+R69+T69+V69+X69+Z69+AB69+AD69</f>
        <v>150.38999999999999</v>
      </c>
      <c r="C69" s="32">
        <f>J69+H69+L69+N69+P69+R69</f>
        <v>150.38999999999999</v>
      </c>
      <c r="D69" s="32">
        <f>K69</f>
        <v>150.38</v>
      </c>
      <c r="E69" s="32">
        <f>I69+K69+M69+O69+Q69+S69+U69+W69+Y69+AA69+AC69+AE69</f>
        <v>150.38</v>
      </c>
      <c r="F69" s="32">
        <f>E69/B69*100</f>
        <v>99.993350621716885</v>
      </c>
      <c r="G69" s="32">
        <f>E69/C69*100</f>
        <v>99.993350621716885</v>
      </c>
      <c r="H69" s="771">
        <v>0</v>
      </c>
      <c r="I69" s="771">
        <v>0</v>
      </c>
      <c r="J69" s="771">
        <v>150.38999999999999</v>
      </c>
      <c r="K69" s="620">
        <v>150.38</v>
      </c>
      <c r="L69" s="771">
        <v>0</v>
      </c>
      <c r="M69" s="771">
        <v>0</v>
      </c>
      <c r="N69" s="771">
        <v>0</v>
      </c>
      <c r="O69" s="771">
        <v>0</v>
      </c>
      <c r="P69" s="771">
        <v>0</v>
      </c>
      <c r="Q69" s="771">
        <v>0</v>
      </c>
      <c r="R69" s="771">
        <v>0</v>
      </c>
      <c r="S69" s="771">
        <v>0</v>
      </c>
      <c r="T69" s="771">
        <v>0</v>
      </c>
      <c r="U69" s="771">
        <v>0</v>
      </c>
      <c r="V69" s="771">
        <v>0</v>
      </c>
      <c r="W69" s="771">
        <v>0</v>
      </c>
      <c r="X69" s="771">
        <v>0</v>
      </c>
      <c r="Y69" s="771">
        <v>0</v>
      </c>
      <c r="Z69" s="771">
        <v>0</v>
      </c>
      <c r="AA69" s="771">
        <v>0</v>
      </c>
      <c r="AB69" s="771">
        <v>0</v>
      </c>
      <c r="AC69" s="771">
        <v>0</v>
      </c>
      <c r="AD69" s="771">
        <v>0</v>
      </c>
      <c r="AE69" s="771">
        <v>0</v>
      </c>
      <c r="AF69" s="29"/>
      <c r="AG69" s="712"/>
    </row>
    <row r="70" spans="1:33" ht="56.25" x14ac:dyDescent="0.3">
      <c r="A70" s="48" t="s">
        <v>114</v>
      </c>
      <c r="B70" s="47"/>
      <c r="C70" s="32"/>
      <c r="D70" s="32"/>
      <c r="E70" s="32"/>
      <c r="F70" s="32"/>
      <c r="G70" s="47"/>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712"/>
    </row>
    <row r="71" spans="1:33" ht="18.75" x14ac:dyDescent="0.3">
      <c r="A71" s="13" t="s">
        <v>31</v>
      </c>
      <c r="B71" s="47">
        <f>B72</f>
        <v>84.800000000000011</v>
      </c>
      <c r="C71" s="707">
        <f>C72</f>
        <v>20.399999999999999</v>
      </c>
      <c r="D71" s="707">
        <f>D72</f>
        <v>4.53</v>
      </c>
      <c r="E71" s="707">
        <f>E72</f>
        <v>4.53</v>
      </c>
      <c r="F71" s="707">
        <f>D71/B71*100</f>
        <v>5.3419811320754711</v>
      </c>
      <c r="G71" s="47">
        <f>E71/C71*100</f>
        <v>22.205882352941178</v>
      </c>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712"/>
    </row>
    <row r="72" spans="1:33" ht="18.75" x14ac:dyDescent="0.3">
      <c r="A72" s="13" t="s">
        <v>33</v>
      </c>
      <c r="B72" s="47">
        <f>B75</f>
        <v>84.800000000000011</v>
      </c>
      <c r="C72" s="707">
        <f>C75</f>
        <v>20.399999999999999</v>
      </c>
      <c r="D72" s="707">
        <f>D75</f>
        <v>4.53</v>
      </c>
      <c r="E72" s="707">
        <f>E75</f>
        <v>4.53</v>
      </c>
      <c r="F72" s="707">
        <f>D72/B72*100</f>
        <v>5.3419811320754711</v>
      </c>
      <c r="G72" s="47">
        <f>E72/C72*100</f>
        <v>22.205882352941178</v>
      </c>
      <c r="H72" s="47">
        <v>0</v>
      </c>
      <c r="I72" s="47"/>
      <c r="J72" s="47"/>
      <c r="K72" s="47"/>
      <c r="L72" s="47"/>
      <c r="M72" s="47"/>
      <c r="N72" s="47"/>
      <c r="O72" s="47"/>
      <c r="P72" s="47"/>
      <c r="Q72" s="47"/>
      <c r="R72" s="47"/>
      <c r="S72" s="47"/>
      <c r="T72" s="47"/>
      <c r="U72" s="47"/>
      <c r="V72" s="47"/>
      <c r="W72" s="47"/>
      <c r="X72" s="47"/>
      <c r="Y72" s="47"/>
      <c r="Z72" s="47"/>
      <c r="AA72" s="47"/>
      <c r="AB72" s="47"/>
      <c r="AC72" s="47"/>
      <c r="AD72" s="47"/>
      <c r="AE72" s="47"/>
      <c r="AF72" s="47"/>
      <c r="AG72" s="712"/>
    </row>
    <row r="73" spans="1:33" ht="150" x14ac:dyDescent="0.3">
      <c r="A73" s="13" t="s">
        <v>115</v>
      </c>
      <c r="B73" s="47"/>
      <c r="C73" s="32"/>
      <c r="D73" s="32"/>
      <c r="E73" s="32"/>
      <c r="F73" s="32"/>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999" t="s">
        <v>680</v>
      </c>
      <c r="AG73" s="712"/>
    </row>
    <row r="74" spans="1:33" ht="18.75" x14ac:dyDescent="0.3">
      <c r="A74" s="13" t="s">
        <v>31</v>
      </c>
      <c r="B74" s="32">
        <f>B75</f>
        <v>84.800000000000011</v>
      </c>
      <c r="C74" s="708">
        <f>C75</f>
        <v>20.399999999999999</v>
      </c>
      <c r="D74" s="708">
        <f>D75</f>
        <v>4.53</v>
      </c>
      <c r="E74" s="708">
        <f>E75</f>
        <v>4.53</v>
      </c>
      <c r="F74" s="708">
        <f>E74/B74*100</f>
        <v>5.3419811320754711</v>
      </c>
      <c r="G74" s="47">
        <f>E74/C74*100</f>
        <v>22.205882352941178</v>
      </c>
      <c r="H74" s="707">
        <f>H75</f>
        <v>0</v>
      </c>
      <c r="I74" s="707">
        <f t="shared" ref="I74:AE75" si="29">I75</f>
        <v>0</v>
      </c>
      <c r="J74" s="707">
        <f t="shared" si="29"/>
        <v>0</v>
      </c>
      <c r="K74" s="707">
        <f t="shared" si="29"/>
        <v>0</v>
      </c>
      <c r="L74" s="707">
        <f t="shared" si="29"/>
        <v>0</v>
      </c>
      <c r="M74" s="707">
        <f t="shared" si="29"/>
        <v>0</v>
      </c>
      <c r="N74" s="707">
        <f t="shared" si="29"/>
        <v>0</v>
      </c>
      <c r="O74" s="707">
        <f t="shared" si="29"/>
        <v>0</v>
      </c>
      <c r="P74" s="47">
        <f t="shared" si="29"/>
        <v>10.199999999999999</v>
      </c>
      <c r="Q74" s="47">
        <f t="shared" si="29"/>
        <v>0</v>
      </c>
      <c r="R74" s="47">
        <f t="shared" si="29"/>
        <v>10.199999999999999</v>
      </c>
      <c r="S74" s="47">
        <f t="shared" si="29"/>
        <v>0</v>
      </c>
      <c r="T74" s="47">
        <f t="shared" si="29"/>
        <v>10.199999999999999</v>
      </c>
      <c r="U74" s="47">
        <f t="shared" si="29"/>
        <v>4.53</v>
      </c>
      <c r="V74" s="47">
        <f t="shared" si="29"/>
        <v>13.4</v>
      </c>
      <c r="W74" s="47">
        <f t="shared" si="29"/>
        <v>0</v>
      </c>
      <c r="X74" s="47">
        <f t="shared" si="29"/>
        <v>10.199999999999999</v>
      </c>
      <c r="Y74" s="47">
        <f t="shared" si="29"/>
        <v>0</v>
      </c>
      <c r="Z74" s="47">
        <f t="shared" si="29"/>
        <v>10.199999999999999</v>
      </c>
      <c r="AA74" s="47">
        <f t="shared" si="29"/>
        <v>0</v>
      </c>
      <c r="AB74" s="47">
        <f t="shared" si="29"/>
        <v>10.199999999999999</v>
      </c>
      <c r="AC74" s="47">
        <f t="shared" si="29"/>
        <v>0</v>
      </c>
      <c r="AD74" s="47">
        <f t="shared" si="29"/>
        <v>10.199999999999999</v>
      </c>
      <c r="AE74" s="47">
        <f t="shared" si="29"/>
        <v>0</v>
      </c>
      <c r="AF74" s="47"/>
      <c r="AG74" s="712"/>
    </row>
    <row r="75" spans="1:33" ht="18.75" x14ac:dyDescent="0.3">
      <c r="A75" s="13" t="s">
        <v>33</v>
      </c>
      <c r="B75" s="32">
        <f>H75+J75+L75+N75+P75+R75+T75+V75+X75+Z75+AB75+AD75</f>
        <v>84.800000000000011</v>
      </c>
      <c r="C75" s="708">
        <f>H75+J75+L75+N75+P75+R75</f>
        <v>20.399999999999999</v>
      </c>
      <c r="D75" s="708">
        <f>I75+K75+M75+O75+Q75+S75+U75+W75+Y75++AA75+AC75+AE75</f>
        <v>4.53</v>
      </c>
      <c r="E75" s="32">
        <f>I75+K75+M75+O75+Q75+S75+U75+W75+Y75+AA75+AC75+AE75</f>
        <v>4.53</v>
      </c>
      <c r="F75" s="707">
        <f>D75/B75*100</f>
        <v>5.3419811320754711</v>
      </c>
      <c r="G75" s="47">
        <f>E75/C75*100</f>
        <v>22.205882352941178</v>
      </c>
      <c r="H75" s="707">
        <f>H76</f>
        <v>0</v>
      </c>
      <c r="I75" s="707">
        <f t="shared" si="29"/>
        <v>0</v>
      </c>
      <c r="J75" s="707">
        <f t="shared" si="29"/>
        <v>0</v>
      </c>
      <c r="K75" s="707">
        <f t="shared" si="29"/>
        <v>0</v>
      </c>
      <c r="L75" s="707">
        <f t="shared" si="29"/>
        <v>0</v>
      </c>
      <c r="M75" s="707">
        <f t="shared" si="29"/>
        <v>0</v>
      </c>
      <c r="N75" s="707">
        <f t="shared" si="29"/>
        <v>0</v>
      </c>
      <c r="O75" s="707">
        <f t="shared" si="29"/>
        <v>0</v>
      </c>
      <c r="P75" s="47">
        <v>10.199999999999999</v>
      </c>
      <c r="Q75" s="47"/>
      <c r="R75" s="47">
        <v>10.199999999999999</v>
      </c>
      <c r="S75" s="47"/>
      <c r="T75" s="47">
        <v>10.199999999999999</v>
      </c>
      <c r="U75" s="47">
        <v>4.53</v>
      </c>
      <c r="V75" s="47">
        <v>13.4</v>
      </c>
      <c r="W75" s="47"/>
      <c r="X75" s="47">
        <v>10.199999999999999</v>
      </c>
      <c r="Y75" s="47"/>
      <c r="Z75" s="47">
        <v>10.199999999999999</v>
      </c>
      <c r="AA75" s="47"/>
      <c r="AB75" s="47">
        <v>10.199999999999999</v>
      </c>
      <c r="AC75" s="47"/>
      <c r="AD75" s="47">
        <v>10.199999999999999</v>
      </c>
      <c r="AE75" s="47"/>
      <c r="AF75" s="47"/>
      <c r="AG75" s="712"/>
    </row>
    <row r="76" spans="1:33" ht="56.25" x14ac:dyDescent="0.3">
      <c r="A76" s="48" t="s">
        <v>116</v>
      </c>
      <c r="B76" s="47"/>
      <c r="C76" s="32"/>
      <c r="D76" s="32"/>
      <c r="E76" s="32"/>
      <c r="F76" s="32"/>
      <c r="G76" s="47"/>
      <c r="H76" s="47"/>
      <c r="I76" s="47"/>
      <c r="J76" s="47"/>
      <c r="K76" s="47"/>
      <c r="L76" s="47"/>
      <c r="M76" s="47"/>
      <c r="N76" s="47"/>
      <c r="O76" s="47"/>
      <c r="P76" s="47"/>
      <c r="Q76" s="47"/>
      <c r="R76" s="47"/>
      <c r="S76" s="47"/>
      <c r="T76" s="47"/>
      <c r="U76" s="47"/>
      <c r="V76" s="47"/>
      <c r="W76" s="47"/>
      <c r="X76" s="47"/>
      <c r="Y76" s="47"/>
      <c r="Z76" s="47"/>
      <c r="AA76" s="47"/>
      <c r="AB76" s="47"/>
      <c r="AC76" s="47"/>
      <c r="AD76" s="47"/>
      <c r="AE76" s="47"/>
      <c r="AF76" s="47"/>
      <c r="AG76" s="712"/>
    </row>
    <row r="77" spans="1:33" ht="18.75" x14ac:dyDescent="0.3">
      <c r="A77" s="13" t="s">
        <v>31</v>
      </c>
      <c r="B77" s="32">
        <f>B78</f>
        <v>629.20000000000005</v>
      </c>
      <c r="C77" s="32">
        <f>C78</f>
        <v>128.19</v>
      </c>
      <c r="D77" s="32">
        <f>D78</f>
        <v>124.83</v>
      </c>
      <c r="E77" s="32">
        <f>E78</f>
        <v>0</v>
      </c>
      <c r="F77" s="32">
        <f>E77/B77*100</f>
        <v>0</v>
      </c>
      <c r="G77" s="47">
        <f>E77/C77*100</f>
        <v>0</v>
      </c>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712"/>
    </row>
    <row r="78" spans="1:33" ht="18.75" x14ac:dyDescent="0.3">
      <c r="A78" s="13" t="s">
        <v>33</v>
      </c>
      <c r="B78" s="32">
        <f>B81+B84+B87+B90+B93+B96</f>
        <v>629.20000000000005</v>
      </c>
      <c r="C78" s="32">
        <f>C81+C84+C87+C90+C93+C96</f>
        <v>128.19</v>
      </c>
      <c r="D78" s="32">
        <f>D81+D84+D87+D90+D93+D96</f>
        <v>124.83</v>
      </c>
      <c r="E78" s="32">
        <f>I78+K78+M78+O78+Q78+S78+U78+W78+Y78+AA78+AC78+AE78</f>
        <v>0</v>
      </c>
      <c r="F78" s="47">
        <f>D78/B78*100</f>
        <v>19.839478703115066</v>
      </c>
      <c r="G78" s="47">
        <f>E78/C78*100</f>
        <v>0</v>
      </c>
      <c r="H78" s="47"/>
      <c r="I78" s="47"/>
      <c r="J78" s="47"/>
      <c r="K78" s="47"/>
      <c r="L78" s="47"/>
      <c r="M78" s="47"/>
      <c r="N78" s="47"/>
      <c r="O78" s="47"/>
      <c r="P78" s="47"/>
      <c r="Q78" s="47"/>
      <c r="R78" s="47"/>
      <c r="S78" s="47"/>
      <c r="T78" s="47"/>
      <c r="U78" s="47"/>
      <c r="V78" s="47"/>
      <c r="W78" s="47"/>
      <c r="X78" s="47"/>
      <c r="Y78" s="47"/>
      <c r="Z78" s="47"/>
      <c r="AA78" s="47"/>
      <c r="AB78" s="47"/>
      <c r="AC78" s="47"/>
      <c r="AD78" s="47"/>
      <c r="AE78" s="47"/>
      <c r="AF78" s="47"/>
      <c r="AG78" s="712"/>
    </row>
    <row r="79" spans="1:33" s="10" customFormat="1" ht="56.25" x14ac:dyDescent="0.3">
      <c r="A79" s="14" t="s">
        <v>117</v>
      </c>
      <c r="B79" s="47"/>
      <c r="C79" s="47"/>
      <c r="D79" s="47"/>
      <c r="E79" s="47"/>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712"/>
    </row>
    <row r="80" spans="1:33" s="10" customFormat="1" ht="18.75" x14ac:dyDescent="0.3">
      <c r="A80" s="13" t="s">
        <v>31</v>
      </c>
      <c r="B80" s="47">
        <f>B81</f>
        <v>109</v>
      </c>
      <c r="C80" s="47">
        <f>J80+L80+N80+P80+R80+T80+V80+X80+Z80+AB80+AD80</f>
        <v>109</v>
      </c>
      <c r="D80" s="707">
        <f>D81</f>
        <v>109</v>
      </c>
      <c r="E80" s="47">
        <f>E81</f>
        <v>109</v>
      </c>
      <c r="F80" s="47">
        <f>E80/B80*100</f>
        <v>100</v>
      </c>
      <c r="G80" s="47">
        <f>E80/C80*100</f>
        <v>100</v>
      </c>
      <c r="H80" s="47">
        <f t="shared" ref="H80:O80" si="30">H81</f>
        <v>0</v>
      </c>
      <c r="I80" s="47">
        <f t="shared" si="30"/>
        <v>0</v>
      </c>
      <c r="J80" s="47">
        <f t="shared" si="30"/>
        <v>1</v>
      </c>
      <c r="K80" s="47">
        <f t="shared" si="30"/>
        <v>1</v>
      </c>
      <c r="L80" s="47">
        <f t="shared" si="30"/>
        <v>0</v>
      </c>
      <c r="M80" s="47">
        <f t="shared" si="30"/>
        <v>0</v>
      </c>
      <c r="N80" s="47">
        <f t="shared" si="30"/>
        <v>0</v>
      </c>
      <c r="O80" s="47">
        <f t="shared" si="30"/>
        <v>0</v>
      </c>
      <c r="P80" s="47">
        <f t="shared" ref="P80:AE80" si="31">P81</f>
        <v>108</v>
      </c>
      <c r="Q80" s="47">
        <f t="shared" si="31"/>
        <v>108</v>
      </c>
      <c r="R80" s="47">
        <f t="shared" si="31"/>
        <v>0</v>
      </c>
      <c r="S80" s="47">
        <f t="shared" si="31"/>
        <v>0</v>
      </c>
      <c r="T80" s="47">
        <f t="shared" si="31"/>
        <v>0</v>
      </c>
      <c r="U80" s="47">
        <f t="shared" si="31"/>
        <v>0</v>
      </c>
      <c r="V80" s="47">
        <f t="shared" si="31"/>
        <v>0</v>
      </c>
      <c r="W80" s="47">
        <f t="shared" si="31"/>
        <v>0</v>
      </c>
      <c r="X80" s="47">
        <f t="shared" si="31"/>
        <v>0</v>
      </c>
      <c r="Y80" s="47">
        <f t="shared" si="31"/>
        <v>0</v>
      </c>
      <c r="Z80" s="47">
        <f t="shared" si="31"/>
        <v>0</v>
      </c>
      <c r="AA80" s="47">
        <f t="shared" si="31"/>
        <v>0</v>
      </c>
      <c r="AB80" s="47">
        <f t="shared" si="31"/>
        <v>0</v>
      </c>
      <c r="AC80" s="47">
        <f t="shared" si="31"/>
        <v>0</v>
      </c>
      <c r="AD80" s="47">
        <f t="shared" si="31"/>
        <v>0</v>
      </c>
      <c r="AE80" s="47">
        <f t="shared" si="31"/>
        <v>0</v>
      </c>
      <c r="AF80" s="768"/>
      <c r="AG80" s="712"/>
    </row>
    <row r="81" spans="1:33" s="10" customFormat="1" ht="18.75" x14ac:dyDescent="0.3">
      <c r="A81" s="13" t="s">
        <v>33</v>
      </c>
      <c r="B81" s="47">
        <f>J81+P81</f>
        <v>109</v>
      </c>
      <c r="C81" s="47">
        <f>H81+J81+L81+N81+P81+R81</f>
        <v>109</v>
      </c>
      <c r="D81" s="707">
        <f>K81+M81+O81+Q81+S81+U81+W81+Y81+AA81+AC81+AE81</f>
        <v>109</v>
      </c>
      <c r="E81" s="32">
        <f>I81+K81+M81+O81+Q81+S81+U81+W81+Y81+AA81+AC81+AE81</f>
        <v>109</v>
      </c>
      <c r="F81" s="47">
        <f>E81/B81*100</f>
        <v>100</v>
      </c>
      <c r="G81" s="47">
        <f>E81/C81*100</f>
        <v>100</v>
      </c>
      <c r="H81" s="707">
        <f>H82</f>
        <v>0</v>
      </c>
      <c r="I81" s="707">
        <f t="shared" ref="I81:AE81" si="32">I82</f>
        <v>0</v>
      </c>
      <c r="J81" s="47">
        <v>1</v>
      </c>
      <c r="K81" s="47">
        <v>1</v>
      </c>
      <c r="L81" s="707">
        <v>0</v>
      </c>
      <c r="M81" s="707">
        <f t="shared" si="32"/>
        <v>0</v>
      </c>
      <c r="N81" s="707">
        <f t="shared" si="32"/>
        <v>0</v>
      </c>
      <c r="O81" s="707">
        <f t="shared" si="32"/>
        <v>0</v>
      </c>
      <c r="P81" s="47">
        <v>108</v>
      </c>
      <c r="Q81" s="47">
        <v>108</v>
      </c>
      <c r="R81" s="707">
        <f t="shared" si="32"/>
        <v>0</v>
      </c>
      <c r="S81" s="707">
        <f t="shared" si="32"/>
        <v>0</v>
      </c>
      <c r="T81" s="707">
        <f t="shared" si="32"/>
        <v>0</v>
      </c>
      <c r="U81" s="707">
        <f t="shared" si="32"/>
        <v>0</v>
      </c>
      <c r="V81" s="707">
        <f t="shared" si="32"/>
        <v>0</v>
      </c>
      <c r="W81" s="707">
        <f t="shared" si="32"/>
        <v>0</v>
      </c>
      <c r="X81" s="707">
        <f t="shared" si="32"/>
        <v>0</v>
      </c>
      <c r="Y81" s="707">
        <f t="shared" si="32"/>
        <v>0</v>
      </c>
      <c r="Z81" s="707">
        <f t="shared" si="32"/>
        <v>0</v>
      </c>
      <c r="AA81" s="707">
        <f t="shared" si="32"/>
        <v>0</v>
      </c>
      <c r="AB81" s="707">
        <f t="shared" si="32"/>
        <v>0</v>
      </c>
      <c r="AC81" s="707">
        <f t="shared" si="32"/>
        <v>0</v>
      </c>
      <c r="AD81" s="707">
        <f t="shared" si="32"/>
        <v>0</v>
      </c>
      <c r="AE81" s="707">
        <f t="shared" si="32"/>
        <v>0</v>
      </c>
      <c r="AF81" s="47"/>
      <c r="AG81" s="712"/>
    </row>
    <row r="82" spans="1:33" s="10" customFormat="1" ht="56.25" x14ac:dyDescent="0.3">
      <c r="A82" s="14" t="s">
        <v>118</v>
      </c>
      <c r="B82" s="47"/>
      <c r="C82" s="47"/>
      <c r="D82" s="47"/>
      <c r="E82" s="47"/>
      <c r="F82" s="47"/>
      <c r="G82" s="47"/>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712">
        <f>C81-E81</f>
        <v>0</v>
      </c>
    </row>
    <row r="83" spans="1:33" s="10" customFormat="1" ht="18.75" x14ac:dyDescent="0.3">
      <c r="A83" s="13" t="s">
        <v>31</v>
      </c>
      <c r="B83" s="47">
        <f>B84</f>
        <v>81.099999999999994</v>
      </c>
      <c r="C83" s="707">
        <f>C84</f>
        <v>0</v>
      </c>
      <c r="D83" s="707">
        <f>D84</f>
        <v>0</v>
      </c>
      <c r="E83" s="707">
        <f>E84</f>
        <v>0</v>
      </c>
      <c r="F83" s="707">
        <f>E83/B83*100</f>
        <v>0</v>
      </c>
      <c r="G83" s="47" t="e">
        <f>E83/C83*100</f>
        <v>#DIV/0!</v>
      </c>
      <c r="H83" s="707">
        <f>H84</f>
        <v>0</v>
      </c>
      <c r="I83" s="707">
        <f t="shared" ref="I83:AE84" si="33">I84</f>
        <v>0</v>
      </c>
      <c r="J83" s="707">
        <f t="shared" si="33"/>
        <v>0</v>
      </c>
      <c r="K83" s="707">
        <f t="shared" si="33"/>
        <v>0</v>
      </c>
      <c r="L83" s="707">
        <f t="shared" si="33"/>
        <v>0</v>
      </c>
      <c r="M83" s="707">
        <f t="shared" si="33"/>
        <v>0</v>
      </c>
      <c r="N83" s="707">
        <f t="shared" si="33"/>
        <v>0</v>
      </c>
      <c r="O83" s="707">
        <f t="shared" si="33"/>
        <v>0</v>
      </c>
      <c r="P83" s="707">
        <f t="shared" si="33"/>
        <v>0</v>
      </c>
      <c r="Q83" s="707">
        <f t="shared" si="33"/>
        <v>0</v>
      </c>
      <c r="R83" s="707">
        <f t="shared" si="33"/>
        <v>0</v>
      </c>
      <c r="S83" s="707">
        <f t="shared" si="33"/>
        <v>0</v>
      </c>
      <c r="T83" s="707">
        <f t="shared" si="33"/>
        <v>0</v>
      </c>
      <c r="U83" s="707">
        <f t="shared" si="33"/>
        <v>0</v>
      </c>
      <c r="V83" s="707">
        <f t="shared" si="33"/>
        <v>0</v>
      </c>
      <c r="W83" s="707">
        <f t="shared" si="33"/>
        <v>0</v>
      </c>
      <c r="X83" s="707">
        <f t="shared" si="33"/>
        <v>0</v>
      </c>
      <c r="Y83" s="707">
        <f t="shared" si="33"/>
        <v>0</v>
      </c>
      <c r="Z83" s="47">
        <f t="shared" si="33"/>
        <v>81.099999999999994</v>
      </c>
      <c r="AA83" s="47">
        <f t="shared" si="33"/>
        <v>0</v>
      </c>
      <c r="AB83" s="707">
        <f t="shared" si="33"/>
        <v>0</v>
      </c>
      <c r="AC83" s="707">
        <f t="shared" si="33"/>
        <v>0</v>
      </c>
      <c r="AD83" s="707">
        <f t="shared" si="33"/>
        <v>0</v>
      </c>
      <c r="AE83" s="707">
        <f t="shared" si="33"/>
        <v>0</v>
      </c>
      <c r="AF83" s="47"/>
      <c r="AG83" s="712"/>
    </row>
    <row r="84" spans="1:33" s="10" customFormat="1" ht="18.75" x14ac:dyDescent="0.3">
      <c r="A84" s="13" t="s">
        <v>33</v>
      </c>
      <c r="B84" s="47">
        <f>H84+J84+L84+N84+P84+R84+T84+V84+X84+Z84+AB84+AD84</f>
        <v>81.099999999999994</v>
      </c>
      <c r="C84" s="707">
        <f>H84+J84+L84+N84+P84+R84</f>
        <v>0</v>
      </c>
      <c r="D84" s="707">
        <f>I84+K84+M84+O84+Q84+S84+U84+W84+Y84+AA84+AC84+AE84</f>
        <v>0</v>
      </c>
      <c r="E84" s="32">
        <f>I84+K84+M84+O84+Q84+S84+U84+W84+Y84+AA84+AC84+AE84</f>
        <v>0</v>
      </c>
      <c r="F84" s="707">
        <f>D84/B84*100</f>
        <v>0</v>
      </c>
      <c r="G84" s="47" t="e">
        <f>E84/C84*100</f>
        <v>#DIV/0!</v>
      </c>
      <c r="H84" s="707">
        <f>H85</f>
        <v>0</v>
      </c>
      <c r="I84" s="707">
        <f t="shared" si="33"/>
        <v>0</v>
      </c>
      <c r="J84" s="707">
        <f t="shared" si="33"/>
        <v>0</v>
      </c>
      <c r="K84" s="707">
        <f t="shared" si="33"/>
        <v>0</v>
      </c>
      <c r="L84" s="707">
        <f t="shared" si="33"/>
        <v>0</v>
      </c>
      <c r="M84" s="707">
        <f t="shared" si="33"/>
        <v>0</v>
      </c>
      <c r="N84" s="707">
        <f t="shared" si="33"/>
        <v>0</v>
      </c>
      <c r="O84" s="707">
        <f t="shared" si="33"/>
        <v>0</v>
      </c>
      <c r="P84" s="707">
        <f t="shared" si="33"/>
        <v>0</v>
      </c>
      <c r="Q84" s="707">
        <f t="shared" si="33"/>
        <v>0</v>
      </c>
      <c r="R84" s="707">
        <f t="shared" si="33"/>
        <v>0</v>
      </c>
      <c r="S84" s="707">
        <f t="shared" si="33"/>
        <v>0</v>
      </c>
      <c r="T84" s="707">
        <f t="shared" si="33"/>
        <v>0</v>
      </c>
      <c r="U84" s="707">
        <f t="shared" si="33"/>
        <v>0</v>
      </c>
      <c r="V84" s="707">
        <f t="shared" si="33"/>
        <v>0</v>
      </c>
      <c r="W84" s="707">
        <f t="shared" si="33"/>
        <v>0</v>
      </c>
      <c r="X84" s="707">
        <f t="shared" si="33"/>
        <v>0</v>
      </c>
      <c r="Y84" s="707">
        <f t="shared" si="33"/>
        <v>0</v>
      </c>
      <c r="Z84" s="47">
        <v>81.099999999999994</v>
      </c>
      <c r="AA84" s="47"/>
      <c r="AB84" s="707">
        <f t="shared" si="33"/>
        <v>0</v>
      </c>
      <c r="AC84" s="707">
        <f t="shared" si="33"/>
        <v>0</v>
      </c>
      <c r="AD84" s="707">
        <f t="shared" si="33"/>
        <v>0</v>
      </c>
      <c r="AE84" s="707">
        <f t="shared" si="33"/>
        <v>0</v>
      </c>
      <c r="AF84" s="47"/>
      <c r="AG84" s="712"/>
    </row>
    <row r="85" spans="1:33" s="10" customFormat="1" ht="131.25" x14ac:dyDescent="0.3">
      <c r="A85" s="14" t="s">
        <v>119</v>
      </c>
      <c r="B85" s="47"/>
      <c r="C85" s="47"/>
      <c r="D85" s="47"/>
      <c r="E85" s="47"/>
      <c r="F85" s="47"/>
      <c r="G85" s="47"/>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c r="AG85" s="712"/>
    </row>
    <row r="86" spans="1:33" s="10" customFormat="1" ht="18.75" x14ac:dyDescent="0.3">
      <c r="A86" s="13" t="s">
        <v>31</v>
      </c>
      <c r="B86" s="47">
        <f>B87</f>
        <v>170</v>
      </c>
      <c r="C86" s="707">
        <f t="shared" ref="C86:E87" si="34">C87</f>
        <v>0</v>
      </c>
      <c r="D86" s="707">
        <f t="shared" si="34"/>
        <v>0</v>
      </c>
      <c r="E86" s="707">
        <f t="shared" si="34"/>
        <v>0</v>
      </c>
      <c r="F86" s="707">
        <f>E86/B86*100</f>
        <v>0</v>
      </c>
      <c r="G86" s="47" t="e">
        <f>E86/C86*100</f>
        <v>#DIV/0!</v>
      </c>
      <c r="H86" s="707">
        <v>0</v>
      </c>
      <c r="I86" s="707">
        <v>0</v>
      </c>
      <c r="J86" s="707">
        <v>0</v>
      </c>
      <c r="K86" s="707">
        <v>0</v>
      </c>
      <c r="L86" s="707">
        <v>0</v>
      </c>
      <c r="M86" s="707">
        <v>0</v>
      </c>
      <c r="N86" s="707">
        <v>0</v>
      </c>
      <c r="O86" s="707">
        <v>0</v>
      </c>
      <c r="P86" s="707">
        <v>0</v>
      </c>
      <c r="Q86" s="707">
        <v>0</v>
      </c>
      <c r="R86" s="707">
        <v>0</v>
      </c>
      <c r="S86" s="707">
        <v>0</v>
      </c>
      <c r="T86" s="707">
        <v>0</v>
      </c>
      <c r="U86" s="707">
        <v>0</v>
      </c>
      <c r="V86" s="707">
        <v>0</v>
      </c>
      <c r="W86" s="707">
        <v>0</v>
      </c>
      <c r="X86" s="707">
        <v>0</v>
      </c>
      <c r="Y86" s="707">
        <v>0</v>
      </c>
      <c r="Z86" s="707">
        <v>0</v>
      </c>
      <c r="AA86" s="707">
        <v>0</v>
      </c>
      <c r="AB86" s="707">
        <v>0</v>
      </c>
      <c r="AC86" s="707">
        <v>0</v>
      </c>
      <c r="AD86" s="47">
        <f>AD87</f>
        <v>170</v>
      </c>
      <c r="AE86" s="47"/>
      <c r="AF86" s="47"/>
      <c r="AG86" s="712"/>
    </row>
    <row r="87" spans="1:33" s="10" customFormat="1" ht="18.75" x14ac:dyDescent="0.3">
      <c r="A87" s="13" t="s">
        <v>33</v>
      </c>
      <c r="B87" s="47">
        <f>H87+J87+L87+N87+P87+R87+T87+V87+X87+Z87+AB87+AD87</f>
        <v>170</v>
      </c>
      <c r="C87" s="707">
        <f>H87+J87+L87+N87+P87+R87</f>
        <v>0</v>
      </c>
      <c r="D87" s="707">
        <f t="shared" si="34"/>
        <v>0</v>
      </c>
      <c r="E87" s="32">
        <f>I87+K87+M87+O87+Q87+S87+U87+W87+Y87+AA87+AC87+AE87</f>
        <v>0</v>
      </c>
      <c r="F87" s="707">
        <f>D87/B87*100</f>
        <v>0</v>
      </c>
      <c r="G87" s="47" t="e">
        <f>E87/C87*100</f>
        <v>#DIV/0!</v>
      </c>
      <c r="H87" s="707">
        <v>0</v>
      </c>
      <c r="I87" s="707">
        <v>0</v>
      </c>
      <c r="J87" s="707">
        <v>0</v>
      </c>
      <c r="K87" s="707">
        <v>0</v>
      </c>
      <c r="L87" s="707">
        <v>0</v>
      </c>
      <c r="M87" s="707">
        <v>0</v>
      </c>
      <c r="N87" s="707">
        <v>0</v>
      </c>
      <c r="O87" s="707">
        <v>0</v>
      </c>
      <c r="P87" s="707">
        <v>0</v>
      </c>
      <c r="Q87" s="707">
        <v>0</v>
      </c>
      <c r="R87" s="707">
        <v>0</v>
      </c>
      <c r="S87" s="707">
        <v>0</v>
      </c>
      <c r="T87" s="707">
        <v>0</v>
      </c>
      <c r="U87" s="707">
        <v>0</v>
      </c>
      <c r="V87" s="707">
        <v>0</v>
      </c>
      <c r="W87" s="707">
        <v>0</v>
      </c>
      <c r="X87" s="707">
        <v>0</v>
      </c>
      <c r="Y87" s="707">
        <v>0</v>
      </c>
      <c r="Z87" s="707">
        <v>0</v>
      </c>
      <c r="AA87" s="707">
        <v>0</v>
      </c>
      <c r="AB87" s="707">
        <v>0</v>
      </c>
      <c r="AC87" s="707">
        <v>0</v>
      </c>
      <c r="AD87" s="47">
        <v>170</v>
      </c>
      <c r="AE87" s="47"/>
      <c r="AF87" s="47"/>
      <c r="AG87" s="712"/>
    </row>
    <row r="88" spans="1:33" s="10" customFormat="1" ht="375" x14ac:dyDescent="0.3">
      <c r="A88" s="14" t="s">
        <v>120</v>
      </c>
      <c r="B88" s="47"/>
      <c r="C88" s="47"/>
      <c r="D88" s="47"/>
      <c r="E88" s="47"/>
      <c r="F88" s="47"/>
      <c r="G88" s="47"/>
      <c r="H88" s="47"/>
      <c r="I88" s="47"/>
      <c r="J88" s="47"/>
      <c r="K88" s="47"/>
      <c r="L88" s="47"/>
      <c r="M88" s="47"/>
      <c r="N88" s="47"/>
      <c r="O88" s="47"/>
      <c r="P88" s="47"/>
      <c r="Q88" s="47"/>
      <c r="R88" s="47"/>
      <c r="S88" s="47"/>
      <c r="T88" s="47"/>
      <c r="U88" s="47"/>
      <c r="V88" s="47"/>
      <c r="W88" s="47"/>
      <c r="X88" s="47"/>
      <c r="Y88" s="47"/>
      <c r="Z88" s="47"/>
      <c r="AA88" s="47"/>
      <c r="AB88" s="47"/>
      <c r="AC88" s="47"/>
      <c r="AD88" s="47"/>
      <c r="AE88" s="47"/>
      <c r="AF88" s="47"/>
      <c r="AG88" s="712"/>
    </row>
    <row r="89" spans="1:33" s="10" customFormat="1" ht="18.75" x14ac:dyDescent="0.3">
      <c r="A89" s="13" t="s">
        <v>31</v>
      </c>
      <c r="B89" s="47">
        <f>B90</f>
        <v>20.7</v>
      </c>
      <c r="C89" s="707">
        <f>C90</f>
        <v>13.989999999999998</v>
      </c>
      <c r="D89" s="707">
        <f>D90</f>
        <v>10.629999999999999</v>
      </c>
      <c r="E89" s="707">
        <f>E90</f>
        <v>13.989999999999998</v>
      </c>
      <c r="F89" s="707">
        <f>E89/B89*100</f>
        <v>67.584541062801932</v>
      </c>
      <c r="G89" s="47">
        <f>E89/C89*100</f>
        <v>100</v>
      </c>
      <c r="H89" s="707">
        <f>H90</f>
        <v>0</v>
      </c>
      <c r="I89" s="707">
        <f t="shared" ref="I89:AE90" si="35">I90</f>
        <v>0</v>
      </c>
      <c r="J89" s="47">
        <f t="shared" si="35"/>
        <v>7.27</v>
      </c>
      <c r="K89" s="47">
        <f t="shared" si="35"/>
        <v>7.27</v>
      </c>
      <c r="L89" s="47">
        <f t="shared" si="35"/>
        <v>3.36</v>
      </c>
      <c r="M89" s="47">
        <f t="shared" si="35"/>
        <v>3.36</v>
      </c>
      <c r="N89" s="707">
        <f t="shared" si="35"/>
        <v>0</v>
      </c>
      <c r="O89" s="707">
        <f t="shared" si="35"/>
        <v>0</v>
      </c>
      <c r="P89" s="707">
        <f t="shared" si="35"/>
        <v>0</v>
      </c>
      <c r="Q89" s="707">
        <f t="shared" si="35"/>
        <v>0</v>
      </c>
      <c r="R89" s="47">
        <f t="shared" si="35"/>
        <v>3.36</v>
      </c>
      <c r="S89" s="707">
        <f t="shared" si="35"/>
        <v>3.36</v>
      </c>
      <c r="T89" s="707">
        <f t="shared" si="35"/>
        <v>0</v>
      </c>
      <c r="U89" s="707">
        <f t="shared" si="35"/>
        <v>0</v>
      </c>
      <c r="V89" s="707">
        <f t="shared" si="35"/>
        <v>0</v>
      </c>
      <c r="W89" s="707">
        <f t="shared" si="35"/>
        <v>0</v>
      </c>
      <c r="X89" s="47">
        <f t="shared" si="35"/>
        <v>3.36</v>
      </c>
      <c r="Y89" s="707">
        <f t="shared" si="35"/>
        <v>0</v>
      </c>
      <c r="Z89" s="707">
        <f t="shared" si="35"/>
        <v>0</v>
      </c>
      <c r="AA89" s="707">
        <f t="shared" si="35"/>
        <v>0</v>
      </c>
      <c r="AB89" s="47">
        <f t="shared" si="35"/>
        <v>3.35</v>
      </c>
      <c r="AC89" s="707">
        <f t="shared" si="35"/>
        <v>0</v>
      </c>
      <c r="AD89" s="707">
        <f t="shared" si="35"/>
        <v>0</v>
      </c>
      <c r="AE89" s="707">
        <f t="shared" si="35"/>
        <v>0</v>
      </c>
      <c r="AF89" s="47"/>
      <c r="AG89" s="712"/>
    </row>
    <row r="90" spans="1:33" s="10" customFormat="1" ht="18.75" x14ac:dyDescent="0.3">
      <c r="A90" s="13" t="s">
        <v>33</v>
      </c>
      <c r="B90" s="47">
        <f>H90+J90+L90+N90+P90+R90+T90+V90+X90+Z90+AB90+AD90</f>
        <v>20.7</v>
      </c>
      <c r="C90" s="707">
        <f>H90+J90+L90+N90+P90+R90</f>
        <v>13.989999999999998</v>
      </c>
      <c r="D90" s="707">
        <f>K90+M90</f>
        <v>10.629999999999999</v>
      </c>
      <c r="E90" s="32">
        <f>I90+K90+M90+O90+Q90+S90+U90+W90+Y90+AA90+AC90+AE90</f>
        <v>13.989999999999998</v>
      </c>
      <c r="F90" s="707">
        <f>D90/B90*100</f>
        <v>51.352657004830917</v>
      </c>
      <c r="G90" s="47">
        <f>E90/C90*100</f>
        <v>100</v>
      </c>
      <c r="H90" s="707">
        <f>H91</f>
        <v>0</v>
      </c>
      <c r="I90" s="707">
        <f t="shared" si="35"/>
        <v>0</v>
      </c>
      <c r="J90" s="47">
        <v>7.27</v>
      </c>
      <c r="K90" s="47">
        <v>7.27</v>
      </c>
      <c r="L90" s="47">
        <v>3.36</v>
      </c>
      <c r="M90" s="47">
        <v>3.36</v>
      </c>
      <c r="N90" s="707">
        <v>0</v>
      </c>
      <c r="O90" s="707">
        <v>0</v>
      </c>
      <c r="P90" s="707">
        <v>0</v>
      </c>
      <c r="Q90" s="707">
        <v>0</v>
      </c>
      <c r="R90" s="47">
        <v>3.36</v>
      </c>
      <c r="S90" s="707">
        <v>3.36</v>
      </c>
      <c r="T90" s="707">
        <v>0</v>
      </c>
      <c r="U90" s="707">
        <f t="shared" si="35"/>
        <v>0</v>
      </c>
      <c r="V90" s="707">
        <v>0</v>
      </c>
      <c r="W90" s="707">
        <v>0</v>
      </c>
      <c r="X90" s="47">
        <v>3.36</v>
      </c>
      <c r="Y90" s="707">
        <v>0</v>
      </c>
      <c r="Z90" s="707">
        <v>0</v>
      </c>
      <c r="AA90" s="707">
        <v>0</v>
      </c>
      <c r="AB90" s="47">
        <v>3.35</v>
      </c>
      <c r="AC90" s="707">
        <v>0</v>
      </c>
      <c r="AD90" s="707">
        <v>0</v>
      </c>
      <c r="AE90" s="707">
        <v>0</v>
      </c>
      <c r="AF90" s="47"/>
      <c r="AG90" s="712"/>
    </row>
    <row r="91" spans="1:33" s="10" customFormat="1" ht="56.25" x14ac:dyDescent="0.3">
      <c r="A91" s="14" t="s">
        <v>121</v>
      </c>
      <c r="B91" s="47"/>
      <c r="C91" s="47"/>
      <c r="D91" s="47"/>
      <c r="E91" s="47"/>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712"/>
    </row>
    <row r="92" spans="1:33" s="10" customFormat="1" ht="18.75" x14ac:dyDescent="0.3">
      <c r="A92" s="13" t="s">
        <v>31</v>
      </c>
      <c r="B92" s="47">
        <f>B93</f>
        <v>8.4</v>
      </c>
      <c r="C92" s="707">
        <f>C93</f>
        <v>5.2</v>
      </c>
      <c r="D92" s="707">
        <f>D93</f>
        <v>5.2</v>
      </c>
      <c r="E92" s="707">
        <f>E93</f>
        <v>10.4</v>
      </c>
      <c r="F92" s="707">
        <f>E92/B92*100</f>
        <v>123.80952380952381</v>
      </c>
      <c r="G92" s="47">
        <f>E92/C92*100</f>
        <v>200</v>
      </c>
      <c r="H92" s="707">
        <f>H93</f>
        <v>0</v>
      </c>
      <c r="I92" s="707">
        <f t="shared" ref="I92:AE92" si="36">I93</f>
        <v>0</v>
      </c>
      <c r="J92" s="47">
        <f t="shared" si="36"/>
        <v>5.2</v>
      </c>
      <c r="K92" s="47">
        <f t="shared" si="36"/>
        <v>5.2</v>
      </c>
      <c r="L92" s="707">
        <f t="shared" si="36"/>
        <v>0</v>
      </c>
      <c r="M92" s="707">
        <f t="shared" si="36"/>
        <v>0</v>
      </c>
      <c r="N92" s="707">
        <f t="shared" si="36"/>
        <v>0</v>
      </c>
      <c r="O92" s="707">
        <f t="shared" si="36"/>
        <v>0</v>
      </c>
      <c r="P92" s="707">
        <f t="shared" si="36"/>
        <v>0</v>
      </c>
      <c r="Q92" s="707">
        <f t="shared" si="36"/>
        <v>0</v>
      </c>
      <c r="R92" s="707">
        <f t="shared" si="36"/>
        <v>0</v>
      </c>
      <c r="S92" s="707">
        <f t="shared" si="36"/>
        <v>5.2</v>
      </c>
      <c r="T92" s="707">
        <f t="shared" si="36"/>
        <v>0</v>
      </c>
      <c r="U92" s="707">
        <f t="shared" si="36"/>
        <v>0</v>
      </c>
      <c r="V92" s="707">
        <f t="shared" si="36"/>
        <v>3.2</v>
      </c>
      <c r="W92" s="707">
        <f t="shared" si="36"/>
        <v>0</v>
      </c>
      <c r="X92" s="707">
        <f t="shared" si="36"/>
        <v>0</v>
      </c>
      <c r="Y92" s="707">
        <f t="shared" si="36"/>
        <v>0</v>
      </c>
      <c r="Z92" s="707">
        <f t="shared" si="36"/>
        <v>0</v>
      </c>
      <c r="AA92" s="707">
        <f t="shared" si="36"/>
        <v>0</v>
      </c>
      <c r="AB92" s="707">
        <f t="shared" si="36"/>
        <v>0</v>
      </c>
      <c r="AC92" s="707">
        <f t="shared" si="36"/>
        <v>0</v>
      </c>
      <c r="AD92" s="707">
        <f t="shared" si="36"/>
        <v>0</v>
      </c>
      <c r="AE92" s="707">
        <f t="shared" si="36"/>
        <v>0</v>
      </c>
      <c r="AF92" s="47"/>
      <c r="AG92" s="712"/>
    </row>
    <row r="93" spans="1:33" s="10" customFormat="1" ht="18.75" x14ac:dyDescent="0.3">
      <c r="A93" s="13" t="s">
        <v>33</v>
      </c>
      <c r="B93" s="47">
        <f>H93+J93+L93+N93+P93+R93+T93+V93+X93+Z93+AB93+AD93</f>
        <v>8.4</v>
      </c>
      <c r="C93" s="707">
        <f>H93+J93+L93+N93+P93+R93</f>
        <v>5.2</v>
      </c>
      <c r="D93" s="707">
        <f>K93</f>
        <v>5.2</v>
      </c>
      <c r="E93" s="32">
        <f>I93+K93+M93+O93+Q93+S93+U93+W93+Y93+AA93+AC93+AE93</f>
        <v>10.4</v>
      </c>
      <c r="F93" s="707">
        <f>D93/B93*100</f>
        <v>61.904761904761905</v>
      </c>
      <c r="G93" s="47">
        <f>E93/C93*100</f>
        <v>200</v>
      </c>
      <c r="H93" s="707">
        <v>0</v>
      </c>
      <c r="I93" s="707">
        <v>0</v>
      </c>
      <c r="J93" s="47">
        <v>5.2</v>
      </c>
      <c r="K93" s="47">
        <v>5.2</v>
      </c>
      <c r="L93" s="707">
        <v>0</v>
      </c>
      <c r="M93" s="707">
        <v>0</v>
      </c>
      <c r="N93" s="707">
        <v>0</v>
      </c>
      <c r="O93" s="707">
        <v>0</v>
      </c>
      <c r="P93" s="707">
        <v>0</v>
      </c>
      <c r="Q93" s="707">
        <v>0</v>
      </c>
      <c r="R93" s="707">
        <v>0</v>
      </c>
      <c r="S93" s="707">
        <v>5.2</v>
      </c>
      <c r="T93" s="707">
        <v>0</v>
      </c>
      <c r="U93" s="707">
        <v>0</v>
      </c>
      <c r="V93" s="707">
        <v>3.2</v>
      </c>
      <c r="W93" s="707">
        <v>0</v>
      </c>
      <c r="X93" s="707">
        <v>0</v>
      </c>
      <c r="Y93" s="707">
        <v>0</v>
      </c>
      <c r="Z93" s="707">
        <v>0</v>
      </c>
      <c r="AA93" s="707">
        <v>0</v>
      </c>
      <c r="AB93" s="707">
        <v>0</v>
      </c>
      <c r="AC93" s="707">
        <v>0</v>
      </c>
      <c r="AD93" s="707">
        <v>0</v>
      </c>
      <c r="AE93" s="707">
        <v>0</v>
      </c>
      <c r="AF93" s="47"/>
      <c r="AG93" s="712"/>
    </row>
    <row r="94" spans="1:33" s="10" customFormat="1" ht="56.25" x14ac:dyDescent="0.3">
      <c r="A94" s="14" t="s">
        <v>122</v>
      </c>
      <c r="B94" s="47"/>
      <c r="C94" s="47"/>
      <c r="D94" s="47"/>
      <c r="E94" s="47"/>
      <c r="F94" s="47"/>
      <c r="G94" s="47"/>
      <c r="H94" s="47"/>
      <c r="I94" s="47"/>
      <c r="J94" s="47"/>
      <c r="K94" s="47"/>
      <c r="L94" s="47"/>
      <c r="M94" s="47"/>
      <c r="N94" s="47"/>
      <c r="O94" s="47"/>
      <c r="P94" s="47"/>
      <c r="Q94" s="47"/>
      <c r="R94" s="47"/>
      <c r="S94" s="47"/>
      <c r="T94" s="47"/>
      <c r="U94" s="47"/>
      <c r="V94" s="47"/>
      <c r="W94" s="47"/>
      <c r="X94" s="47"/>
      <c r="Y94" s="47"/>
      <c r="Z94" s="47"/>
      <c r="AA94" s="47"/>
      <c r="AB94" s="47"/>
      <c r="AC94" s="47"/>
      <c r="AD94" s="47"/>
      <c r="AE94" s="47"/>
      <c r="AF94" s="47"/>
      <c r="AG94" s="712"/>
    </row>
    <row r="95" spans="1:33" s="10" customFormat="1" ht="18.75" x14ac:dyDescent="0.3">
      <c r="A95" s="13" t="s">
        <v>31</v>
      </c>
      <c r="B95" s="47">
        <f>B96</f>
        <v>240</v>
      </c>
      <c r="C95" s="707">
        <f>C96</f>
        <v>0</v>
      </c>
      <c r="D95" s="707">
        <f>D96</f>
        <v>0</v>
      </c>
      <c r="E95" s="707">
        <f>E96</f>
        <v>0</v>
      </c>
      <c r="F95" s="707">
        <f>E95/B95*100</f>
        <v>0</v>
      </c>
      <c r="G95" s="47" t="e">
        <f>E95/C95*100</f>
        <v>#DIV/0!</v>
      </c>
      <c r="H95" s="707">
        <f>H96</f>
        <v>0</v>
      </c>
      <c r="I95" s="707">
        <f t="shared" ref="I95:AE96" si="37">I96</f>
        <v>0</v>
      </c>
      <c r="J95" s="707">
        <f t="shared" si="37"/>
        <v>0</v>
      </c>
      <c r="K95" s="707">
        <f t="shared" si="37"/>
        <v>0</v>
      </c>
      <c r="L95" s="707">
        <f t="shared" si="37"/>
        <v>0</v>
      </c>
      <c r="M95" s="707">
        <f t="shared" si="37"/>
        <v>0</v>
      </c>
      <c r="N95" s="707">
        <f t="shared" si="37"/>
        <v>0</v>
      </c>
      <c r="O95" s="707">
        <f t="shared" si="37"/>
        <v>0</v>
      </c>
      <c r="P95" s="707">
        <f t="shared" si="37"/>
        <v>0</v>
      </c>
      <c r="Q95" s="707">
        <f t="shared" si="37"/>
        <v>0</v>
      </c>
      <c r="R95" s="707">
        <f t="shared" si="37"/>
        <v>0</v>
      </c>
      <c r="S95" s="707">
        <f t="shared" si="37"/>
        <v>0</v>
      </c>
      <c r="T95" s="707">
        <f t="shared" si="37"/>
        <v>0</v>
      </c>
      <c r="U95" s="707">
        <f t="shared" si="37"/>
        <v>0</v>
      </c>
      <c r="V95" s="707">
        <f t="shared" si="37"/>
        <v>0</v>
      </c>
      <c r="W95" s="707">
        <f t="shared" si="37"/>
        <v>0</v>
      </c>
      <c r="X95" s="707">
        <f t="shared" si="37"/>
        <v>0</v>
      </c>
      <c r="Y95" s="707">
        <f t="shared" si="37"/>
        <v>0</v>
      </c>
      <c r="Z95" s="47">
        <f t="shared" si="37"/>
        <v>240</v>
      </c>
      <c r="AA95" s="707">
        <f t="shared" si="37"/>
        <v>0</v>
      </c>
      <c r="AB95" s="707">
        <f t="shared" si="37"/>
        <v>0</v>
      </c>
      <c r="AC95" s="707">
        <f t="shared" si="37"/>
        <v>0</v>
      </c>
      <c r="AD95" s="707">
        <f t="shared" si="37"/>
        <v>0</v>
      </c>
      <c r="AE95" s="707">
        <f t="shared" si="37"/>
        <v>0</v>
      </c>
      <c r="AF95" s="47"/>
      <c r="AG95" s="712"/>
    </row>
    <row r="96" spans="1:33" s="10" customFormat="1" ht="18.75" x14ac:dyDescent="0.3">
      <c r="A96" s="13" t="s">
        <v>33</v>
      </c>
      <c r="B96" s="47">
        <f>H96+J96+L96+N96+P96+R96+T96+V96+X96+Z96+AB96+AD96</f>
        <v>240</v>
      </c>
      <c r="C96" s="707">
        <f>H96+J96+L96+N96+P96+R96</f>
        <v>0</v>
      </c>
      <c r="D96" s="707">
        <f>AA96</f>
        <v>0</v>
      </c>
      <c r="E96" s="32">
        <f>I96+K96+M96+O96+Q96+S96+U96+W96+Y96+AA96+AC96+AE96</f>
        <v>0</v>
      </c>
      <c r="F96" s="707">
        <f>D96/B96*100</f>
        <v>0</v>
      </c>
      <c r="G96" s="47" t="e">
        <f>E96/C96*100</f>
        <v>#DIV/0!</v>
      </c>
      <c r="H96" s="707">
        <f>H97</f>
        <v>0</v>
      </c>
      <c r="I96" s="707">
        <f t="shared" si="37"/>
        <v>0</v>
      </c>
      <c r="J96" s="707">
        <f t="shared" si="37"/>
        <v>0</v>
      </c>
      <c r="K96" s="707">
        <f t="shared" si="37"/>
        <v>0</v>
      </c>
      <c r="L96" s="707">
        <f t="shared" si="37"/>
        <v>0</v>
      </c>
      <c r="M96" s="707">
        <f t="shared" si="37"/>
        <v>0</v>
      </c>
      <c r="N96" s="707">
        <f t="shared" si="37"/>
        <v>0</v>
      </c>
      <c r="O96" s="707">
        <f t="shared" si="37"/>
        <v>0</v>
      </c>
      <c r="P96" s="707">
        <f t="shared" si="37"/>
        <v>0</v>
      </c>
      <c r="Q96" s="707">
        <f t="shared" si="37"/>
        <v>0</v>
      </c>
      <c r="R96" s="707">
        <f t="shared" si="37"/>
        <v>0</v>
      </c>
      <c r="S96" s="707">
        <f t="shared" si="37"/>
        <v>0</v>
      </c>
      <c r="T96" s="707">
        <f t="shared" si="37"/>
        <v>0</v>
      </c>
      <c r="U96" s="707">
        <f t="shared" si="37"/>
        <v>0</v>
      </c>
      <c r="V96" s="707">
        <f t="shared" si="37"/>
        <v>0</v>
      </c>
      <c r="W96" s="707">
        <f t="shared" si="37"/>
        <v>0</v>
      </c>
      <c r="X96" s="707">
        <f t="shared" si="37"/>
        <v>0</v>
      </c>
      <c r="Y96" s="707">
        <f t="shared" si="37"/>
        <v>0</v>
      </c>
      <c r="Z96" s="47">
        <v>240</v>
      </c>
      <c r="AA96" s="707">
        <f t="shared" si="37"/>
        <v>0</v>
      </c>
      <c r="AB96" s="707">
        <f t="shared" si="37"/>
        <v>0</v>
      </c>
      <c r="AC96" s="707">
        <f t="shared" si="37"/>
        <v>0</v>
      </c>
      <c r="AD96" s="707">
        <f t="shared" si="37"/>
        <v>0</v>
      </c>
      <c r="AE96" s="707">
        <f t="shared" si="37"/>
        <v>0</v>
      </c>
      <c r="AF96" s="47"/>
      <c r="AG96" s="712"/>
    </row>
    <row r="97" spans="1:33" ht="18.75" x14ac:dyDescent="0.3">
      <c r="A97" s="56" t="s">
        <v>35</v>
      </c>
      <c r="B97" s="47"/>
      <c r="C97" s="32"/>
      <c r="D97" s="32"/>
      <c r="E97" s="32"/>
      <c r="F97" s="32"/>
      <c r="G97" s="47"/>
      <c r="H97" s="47"/>
      <c r="I97" s="47"/>
      <c r="J97" s="47"/>
      <c r="K97" s="47"/>
      <c r="L97" s="47"/>
      <c r="M97" s="47"/>
      <c r="N97" s="47"/>
      <c r="O97" s="47"/>
      <c r="P97" s="47"/>
      <c r="Q97" s="47"/>
      <c r="R97" s="47"/>
      <c r="S97" s="47"/>
      <c r="T97" s="47"/>
      <c r="U97" s="47"/>
      <c r="V97" s="47"/>
      <c r="W97" s="47"/>
      <c r="X97" s="47"/>
      <c r="Y97" s="47"/>
      <c r="Z97" s="47"/>
      <c r="AA97" s="47"/>
      <c r="AB97" s="47"/>
      <c r="AC97" s="47"/>
      <c r="AD97" s="47"/>
      <c r="AE97" s="47"/>
      <c r="AF97" s="47"/>
      <c r="AG97" s="712"/>
    </row>
    <row r="98" spans="1:33" ht="18.75" x14ac:dyDescent="0.3">
      <c r="A98" s="13" t="s">
        <v>31</v>
      </c>
      <c r="B98" s="47">
        <f>B99</f>
        <v>864.3900000000001</v>
      </c>
      <c r="C98" s="47">
        <f>C99</f>
        <v>298.98</v>
      </c>
      <c r="D98" s="47">
        <f>D99</f>
        <v>279.74</v>
      </c>
      <c r="E98" s="47">
        <f>E99</f>
        <v>167.21</v>
      </c>
      <c r="F98" s="47">
        <f>D98/B98*100</f>
        <v>32.362706648619252</v>
      </c>
      <c r="G98" s="47">
        <f>E98/C98*100</f>
        <v>55.926817847347642</v>
      </c>
      <c r="H98" s="47">
        <f t="shared" ref="H98:M98" si="38">H99</f>
        <v>0</v>
      </c>
      <c r="I98" s="47">
        <f t="shared" si="38"/>
        <v>0</v>
      </c>
      <c r="J98" s="47">
        <f t="shared" si="38"/>
        <v>162.85999999999999</v>
      </c>
      <c r="K98" s="47">
        <f t="shared" si="38"/>
        <v>163.85</v>
      </c>
      <c r="L98" s="47">
        <f t="shared" si="38"/>
        <v>3.36</v>
      </c>
      <c r="M98" s="47">
        <f t="shared" si="38"/>
        <v>3.36</v>
      </c>
      <c r="N98" s="47">
        <f t="shared" ref="N98:AE98" si="39">N99</f>
        <v>0</v>
      </c>
      <c r="O98" s="47">
        <f t="shared" si="39"/>
        <v>0</v>
      </c>
      <c r="P98" s="47">
        <f t="shared" si="39"/>
        <v>108</v>
      </c>
      <c r="Q98" s="47">
        <f t="shared" si="39"/>
        <v>108</v>
      </c>
      <c r="R98" s="47">
        <f t="shared" si="39"/>
        <v>3.36</v>
      </c>
      <c r="S98" s="47">
        <f t="shared" si="39"/>
        <v>8.56</v>
      </c>
      <c r="T98" s="47">
        <f t="shared" si="39"/>
        <v>0</v>
      </c>
      <c r="U98" s="47">
        <f t="shared" si="39"/>
        <v>0</v>
      </c>
      <c r="V98" s="47">
        <f t="shared" si="39"/>
        <v>3.2</v>
      </c>
      <c r="W98" s="47">
        <f t="shared" si="39"/>
        <v>0</v>
      </c>
      <c r="X98" s="47">
        <f t="shared" si="39"/>
        <v>3.36</v>
      </c>
      <c r="Y98" s="47">
        <f t="shared" si="39"/>
        <v>0</v>
      </c>
      <c r="Z98" s="47">
        <f t="shared" si="39"/>
        <v>81.099999999999994</v>
      </c>
      <c r="AA98" s="47">
        <f t="shared" si="39"/>
        <v>0</v>
      </c>
      <c r="AB98" s="47">
        <f t="shared" si="39"/>
        <v>3.35</v>
      </c>
      <c r="AC98" s="47">
        <f t="shared" si="39"/>
        <v>0</v>
      </c>
      <c r="AD98" s="47">
        <f t="shared" si="39"/>
        <v>170</v>
      </c>
      <c r="AE98" s="47">
        <f t="shared" si="39"/>
        <v>0</v>
      </c>
      <c r="AF98" s="47"/>
      <c r="AG98" s="712"/>
    </row>
    <row r="99" spans="1:33" ht="18.75" x14ac:dyDescent="0.3">
      <c r="A99" s="13" t="s">
        <v>33</v>
      </c>
      <c r="B99" s="47">
        <f>B66+B72+B78</f>
        <v>864.3900000000001</v>
      </c>
      <c r="C99" s="47">
        <f>C66+C72+C78</f>
        <v>298.98</v>
      </c>
      <c r="D99" s="47">
        <f>D66+D72+D78</f>
        <v>279.74</v>
      </c>
      <c r="E99" s="47">
        <f>K99+M99</f>
        <v>167.21</v>
      </c>
      <c r="F99" s="47">
        <f>D99/B99*100</f>
        <v>32.362706648619252</v>
      </c>
      <c r="G99" s="47">
        <f>E99/C99*100</f>
        <v>55.926817847347642</v>
      </c>
      <c r="H99" s="47">
        <f>H66+H72+H78</f>
        <v>0</v>
      </c>
      <c r="I99" s="47"/>
      <c r="J99" s="47">
        <f>J101</f>
        <v>162.85999999999999</v>
      </c>
      <c r="K99" s="47">
        <f>K101</f>
        <v>163.85</v>
      </c>
      <c r="L99" s="47">
        <f>L101</f>
        <v>3.36</v>
      </c>
      <c r="M99" s="47">
        <f>M101</f>
        <v>3.36</v>
      </c>
      <c r="N99" s="47">
        <f>N101</f>
        <v>0</v>
      </c>
      <c r="O99" s="47">
        <f t="shared" ref="O99:AE99" si="40">O101</f>
        <v>0</v>
      </c>
      <c r="P99" s="47">
        <f t="shared" si="40"/>
        <v>108</v>
      </c>
      <c r="Q99" s="47">
        <f t="shared" si="40"/>
        <v>108</v>
      </c>
      <c r="R99" s="47">
        <f t="shared" si="40"/>
        <v>3.36</v>
      </c>
      <c r="S99" s="47">
        <f t="shared" si="40"/>
        <v>8.56</v>
      </c>
      <c r="T99" s="47">
        <f t="shared" si="40"/>
        <v>0</v>
      </c>
      <c r="U99" s="47">
        <f t="shared" si="40"/>
        <v>0</v>
      </c>
      <c r="V99" s="47">
        <f t="shared" si="40"/>
        <v>3.2</v>
      </c>
      <c r="W99" s="47">
        <f t="shared" si="40"/>
        <v>0</v>
      </c>
      <c r="X99" s="47">
        <f t="shared" si="40"/>
        <v>3.36</v>
      </c>
      <c r="Y99" s="47">
        <f t="shared" si="40"/>
        <v>0</v>
      </c>
      <c r="Z99" s="47">
        <f t="shared" si="40"/>
        <v>81.099999999999994</v>
      </c>
      <c r="AA99" s="47">
        <f t="shared" si="40"/>
        <v>0</v>
      </c>
      <c r="AB99" s="47">
        <f t="shared" si="40"/>
        <v>3.35</v>
      </c>
      <c r="AC99" s="47">
        <f t="shared" si="40"/>
        <v>0</v>
      </c>
      <c r="AD99" s="47">
        <f t="shared" si="40"/>
        <v>170</v>
      </c>
      <c r="AE99" s="47">
        <f t="shared" si="40"/>
        <v>0</v>
      </c>
      <c r="AF99" s="47"/>
      <c r="AG99" s="712"/>
    </row>
    <row r="100" spans="1:33" ht="37.5" x14ac:dyDescent="0.3">
      <c r="A100" s="28" t="s">
        <v>73</v>
      </c>
      <c r="B100" s="620"/>
      <c r="C100" s="620"/>
      <c r="D100" s="620"/>
      <c r="E100" s="620"/>
      <c r="F100" s="620"/>
      <c r="G100" s="620"/>
      <c r="H100" s="620"/>
      <c r="I100" s="620"/>
      <c r="J100" s="620"/>
      <c r="K100" s="620"/>
      <c r="L100" s="620"/>
      <c r="M100" s="620"/>
      <c r="N100" s="620"/>
      <c r="O100" s="620"/>
      <c r="P100" s="620"/>
      <c r="Q100" s="620"/>
      <c r="R100" s="620"/>
      <c r="S100" s="620"/>
      <c r="T100" s="620"/>
      <c r="U100" s="620"/>
      <c r="V100" s="620"/>
      <c r="W100" s="620"/>
      <c r="X100" s="620"/>
      <c r="Y100" s="620"/>
      <c r="Z100" s="620"/>
      <c r="AA100" s="620"/>
      <c r="AB100" s="620"/>
      <c r="AC100" s="620"/>
      <c r="AD100" s="620"/>
      <c r="AE100" s="620"/>
      <c r="AF100" s="29"/>
      <c r="AG100" s="712"/>
    </row>
    <row r="101" spans="1:33" ht="18.75" x14ac:dyDescent="0.3">
      <c r="A101" s="8" t="s">
        <v>31</v>
      </c>
      <c r="B101" s="649">
        <f>B102</f>
        <v>864.3900000000001</v>
      </c>
      <c r="C101" s="649">
        <f>C102</f>
        <v>298.98</v>
      </c>
      <c r="D101" s="649">
        <f>D102</f>
        <v>279.74</v>
      </c>
      <c r="E101" s="649">
        <f>E102</f>
        <v>167.21</v>
      </c>
      <c r="F101" s="32">
        <f>E101/B101*100</f>
        <v>19.344277467346913</v>
      </c>
      <c r="G101" s="47">
        <f>E101/C101*100</f>
        <v>55.926817847347642</v>
      </c>
      <c r="H101" s="649">
        <f t="shared" ref="H101:N101" si="41">H102</f>
        <v>0</v>
      </c>
      <c r="I101" s="649">
        <f t="shared" si="41"/>
        <v>0</v>
      </c>
      <c r="J101" s="649">
        <f t="shared" si="41"/>
        <v>162.85999999999999</v>
      </c>
      <c r="K101" s="649">
        <f t="shared" si="41"/>
        <v>163.85</v>
      </c>
      <c r="L101" s="649">
        <f t="shared" si="41"/>
        <v>3.36</v>
      </c>
      <c r="M101" s="649">
        <f t="shared" si="41"/>
        <v>3.36</v>
      </c>
      <c r="N101" s="649">
        <f t="shared" si="41"/>
        <v>0</v>
      </c>
      <c r="O101" s="649">
        <f t="shared" ref="O101:AE101" si="42">O102</f>
        <v>0</v>
      </c>
      <c r="P101" s="649">
        <f t="shared" si="42"/>
        <v>108</v>
      </c>
      <c r="Q101" s="649">
        <f t="shared" si="42"/>
        <v>108</v>
      </c>
      <c r="R101" s="649">
        <f t="shared" si="42"/>
        <v>3.36</v>
      </c>
      <c r="S101" s="649">
        <f t="shared" si="42"/>
        <v>8.56</v>
      </c>
      <c r="T101" s="649">
        <f t="shared" si="42"/>
        <v>0</v>
      </c>
      <c r="U101" s="649">
        <f t="shared" si="42"/>
        <v>0</v>
      </c>
      <c r="V101" s="649">
        <f t="shared" si="42"/>
        <v>3.2</v>
      </c>
      <c r="W101" s="649">
        <f t="shared" si="42"/>
        <v>0</v>
      </c>
      <c r="X101" s="649">
        <f t="shared" si="42"/>
        <v>3.36</v>
      </c>
      <c r="Y101" s="649">
        <f t="shared" si="42"/>
        <v>0</v>
      </c>
      <c r="Z101" s="649">
        <f t="shared" si="42"/>
        <v>81.099999999999994</v>
      </c>
      <c r="AA101" s="649">
        <f t="shared" si="42"/>
        <v>0</v>
      </c>
      <c r="AB101" s="649">
        <f t="shared" si="42"/>
        <v>3.35</v>
      </c>
      <c r="AC101" s="649">
        <f t="shared" si="42"/>
        <v>0</v>
      </c>
      <c r="AD101" s="649">
        <f t="shared" si="42"/>
        <v>170</v>
      </c>
      <c r="AE101" s="649">
        <f t="shared" si="42"/>
        <v>0</v>
      </c>
      <c r="AF101" s="29"/>
      <c r="AG101" s="712"/>
    </row>
    <row r="102" spans="1:33" ht="18.75" x14ac:dyDescent="0.3">
      <c r="A102" s="13" t="s">
        <v>33</v>
      </c>
      <c r="B102" s="649">
        <f>B99</f>
        <v>864.3900000000001</v>
      </c>
      <c r="C102" s="649">
        <f>C99</f>
        <v>298.98</v>
      </c>
      <c r="D102" s="649">
        <f>D99</f>
        <v>279.74</v>
      </c>
      <c r="E102" s="649">
        <f>E99</f>
        <v>167.21</v>
      </c>
      <c r="F102" s="32">
        <f>E102/B102*100</f>
        <v>19.344277467346913</v>
      </c>
      <c r="G102" s="47">
        <f>E102/C102*100</f>
        <v>55.926817847347642</v>
      </c>
      <c r="H102" s="649">
        <f>H66+H72+H78</f>
        <v>0</v>
      </c>
      <c r="I102" s="649">
        <f>I66+I75+I78</f>
        <v>0</v>
      </c>
      <c r="J102" s="649">
        <f>J69+J78+J90+J93</f>
        <v>162.85999999999999</v>
      </c>
      <c r="K102" s="649">
        <f>K66+K81+K90+K93</f>
        <v>163.85</v>
      </c>
      <c r="L102" s="649">
        <f>L81+L90</f>
        <v>3.36</v>
      </c>
      <c r="M102" s="649">
        <f>M90</f>
        <v>3.36</v>
      </c>
      <c r="N102" s="649">
        <f>N66+N69+N81+N84+N87+N90+N93</f>
        <v>0</v>
      </c>
      <c r="O102" s="649">
        <f t="shared" ref="O102:AE102" si="43">O66+O69+O81+O84+O87+O90+O93</f>
        <v>0</v>
      </c>
      <c r="P102" s="649">
        <f t="shared" si="43"/>
        <v>108</v>
      </c>
      <c r="Q102" s="649">
        <f t="shared" si="43"/>
        <v>108</v>
      </c>
      <c r="R102" s="649">
        <f t="shared" si="43"/>
        <v>3.36</v>
      </c>
      <c r="S102" s="649">
        <f t="shared" si="43"/>
        <v>8.56</v>
      </c>
      <c r="T102" s="649">
        <f t="shared" si="43"/>
        <v>0</v>
      </c>
      <c r="U102" s="649">
        <f t="shared" si="43"/>
        <v>0</v>
      </c>
      <c r="V102" s="649">
        <f t="shared" si="43"/>
        <v>3.2</v>
      </c>
      <c r="W102" s="649">
        <f t="shared" si="43"/>
        <v>0</v>
      </c>
      <c r="X102" s="649">
        <f t="shared" si="43"/>
        <v>3.36</v>
      </c>
      <c r="Y102" s="649">
        <f t="shared" si="43"/>
        <v>0</v>
      </c>
      <c r="Z102" s="649">
        <f t="shared" si="43"/>
        <v>81.099999999999994</v>
      </c>
      <c r="AA102" s="649">
        <f t="shared" si="43"/>
        <v>0</v>
      </c>
      <c r="AB102" s="649">
        <f t="shared" si="43"/>
        <v>3.35</v>
      </c>
      <c r="AC102" s="649">
        <f t="shared" si="43"/>
        <v>0</v>
      </c>
      <c r="AD102" s="649">
        <f t="shared" si="43"/>
        <v>170</v>
      </c>
      <c r="AE102" s="649">
        <f t="shared" si="43"/>
        <v>0</v>
      </c>
      <c r="AF102" s="29"/>
      <c r="AG102" s="712"/>
    </row>
    <row r="103" spans="1:33" ht="37.5" x14ac:dyDescent="0.3">
      <c r="A103" s="55" t="s">
        <v>123</v>
      </c>
      <c r="B103" s="620"/>
      <c r="C103" s="620"/>
      <c r="D103" s="620"/>
      <c r="E103" s="620"/>
      <c r="F103" s="620"/>
      <c r="G103" s="620"/>
      <c r="H103" s="620"/>
      <c r="I103" s="620"/>
      <c r="J103" s="620"/>
      <c r="K103" s="620"/>
      <c r="L103" s="620"/>
      <c r="M103" s="620"/>
      <c r="N103" s="620"/>
      <c r="O103" s="620"/>
      <c r="P103" s="620"/>
      <c r="Q103" s="620"/>
      <c r="R103" s="620"/>
      <c r="S103" s="620"/>
      <c r="T103" s="620"/>
      <c r="U103" s="620"/>
      <c r="V103" s="620"/>
      <c r="W103" s="620"/>
      <c r="X103" s="620"/>
      <c r="Y103" s="620"/>
      <c r="Z103" s="620"/>
      <c r="AA103" s="620"/>
      <c r="AB103" s="620"/>
      <c r="AC103" s="620"/>
      <c r="AD103" s="620"/>
      <c r="AE103" s="620"/>
      <c r="AF103" s="29"/>
      <c r="AG103" s="712"/>
    </row>
    <row r="104" spans="1:33" ht="18.75" x14ac:dyDescent="0.3">
      <c r="A104" s="52" t="s">
        <v>54</v>
      </c>
      <c r="B104" s="620"/>
      <c r="C104" s="620"/>
      <c r="D104" s="620"/>
      <c r="E104" s="620"/>
      <c r="F104" s="620"/>
      <c r="G104" s="620"/>
      <c r="H104" s="620"/>
      <c r="I104" s="620"/>
      <c r="J104" s="620"/>
      <c r="K104" s="620"/>
      <c r="L104" s="620"/>
      <c r="M104" s="620"/>
      <c r="N104" s="620"/>
      <c r="O104" s="620"/>
      <c r="P104" s="620"/>
      <c r="Q104" s="620"/>
      <c r="R104" s="620"/>
      <c r="S104" s="620"/>
      <c r="T104" s="620"/>
      <c r="U104" s="620"/>
      <c r="V104" s="620"/>
      <c r="W104" s="620"/>
      <c r="X104" s="620"/>
      <c r="Y104" s="620"/>
      <c r="Z104" s="620"/>
      <c r="AA104" s="620"/>
      <c r="AB104" s="620"/>
      <c r="AC104" s="620"/>
      <c r="AD104" s="620"/>
      <c r="AE104" s="620"/>
      <c r="AF104" s="29"/>
      <c r="AG104" s="712"/>
    </row>
    <row r="105" spans="1:33" ht="56.25" x14ac:dyDescent="0.3">
      <c r="A105" s="50" t="s">
        <v>124</v>
      </c>
      <c r="B105" s="767">
        <v>0</v>
      </c>
      <c r="C105" s="767">
        <v>0</v>
      </c>
      <c r="D105" s="767">
        <v>0</v>
      </c>
      <c r="E105" s="767">
        <v>0</v>
      </c>
      <c r="F105" s="767">
        <v>0</v>
      </c>
      <c r="G105" s="767">
        <v>0</v>
      </c>
      <c r="H105" s="767">
        <v>0</v>
      </c>
      <c r="I105" s="767">
        <v>0</v>
      </c>
      <c r="J105" s="767">
        <v>0</v>
      </c>
      <c r="K105" s="767">
        <v>0</v>
      </c>
      <c r="L105" s="767">
        <v>0</v>
      </c>
      <c r="M105" s="767">
        <v>0</v>
      </c>
      <c r="N105" s="767">
        <v>0</v>
      </c>
      <c r="O105" s="767">
        <v>0</v>
      </c>
      <c r="P105" s="767">
        <v>0</v>
      </c>
      <c r="Q105" s="767">
        <v>0</v>
      </c>
      <c r="R105" s="767">
        <v>0</v>
      </c>
      <c r="S105" s="767">
        <v>0</v>
      </c>
      <c r="T105" s="767">
        <v>0</v>
      </c>
      <c r="U105" s="767">
        <v>0</v>
      </c>
      <c r="V105" s="767">
        <v>0</v>
      </c>
      <c r="W105" s="767">
        <v>0</v>
      </c>
      <c r="X105" s="767">
        <v>0</v>
      </c>
      <c r="Y105" s="767">
        <v>0</v>
      </c>
      <c r="Z105" s="767">
        <v>0</v>
      </c>
      <c r="AA105" s="767">
        <v>0</v>
      </c>
      <c r="AB105" s="767">
        <v>0</v>
      </c>
      <c r="AC105" s="767">
        <v>0</v>
      </c>
      <c r="AD105" s="767">
        <v>0</v>
      </c>
      <c r="AE105" s="767">
        <v>0</v>
      </c>
      <c r="AF105" s="29"/>
      <c r="AG105" s="712"/>
    </row>
    <row r="106" spans="1:33" ht="18.75" x14ac:dyDescent="0.3">
      <c r="A106" s="18" t="s">
        <v>31</v>
      </c>
      <c r="B106" s="766">
        <f>B107</f>
        <v>0</v>
      </c>
      <c r="C106" s="766">
        <f t="shared" ref="C106:E107" si="44">C107</f>
        <v>0</v>
      </c>
      <c r="D106" s="766">
        <f t="shared" si="44"/>
        <v>0</v>
      </c>
      <c r="E106" s="766">
        <f t="shared" si="44"/>
        <v>0</v>
      </c>
      <c r="F106" s="32" t="e">
        <f>E106/B106*100</f>
        <v>#DIV/0!</v>
      </c>
      <c r="G106" s="47" t="e">
        <f>E106/C106*100</f>
        <v>#DIV/0!</v>
      </c>
      <c r="H106" s="767">
        <v>0</v>
      </c>
      <c r="I106" s="767">
        <v>0</v>
      </c>
      <c r="J106" s="767">
        <v>0</v>
      </c>
      <c r="K106" s="767">
        <v>0</v>
      </c>
      <c r="L106" s="767">
        <v>0</v>
      </c>
      <c r="M106" s="767">
        <v>0</v>
      </c>
      <c r="N106" s="767">
        <v>0</v>
      </c>
      <c r="O106" s="767">
        <v>0</v>
      </c>
      <c r="P106" s="767">
        <v>0</v>
      </c>
      <c r="Q106" s="767">
        <v>0</v>
      </c>
      <c r="R106" s="767">
        <v>0</v>
      </c>
      <c r="S106" s="767">
        <v>0</v>
      </c>
      <c r="T106" s="767">
        <v>0</v>
      </c>
      <c r="U106" s="767">
        <v>0</v>
      </c>
      <c r="V106" s="767">
        <v>0</v>
      </c>
      <c r="W106" s="767">
        <v>0</v>
      </c>
      <c r="X106" s="767">
        <v>0</v>
      </c>
      <c r="Y106" s="767">
        <v>0</v>
      </c>
      <c r="Z106" s="767">
        <v>0</v>
      </c>
      <c r="AA106" s="767">
        <v>0</v>
      </c>
      <c r="AB106" s="767">
        <v>0</v>
      </c>
      <c r="AC106" s="767">
        <v>0</v>
      </c>
      <c r="AD106" s="767">
        <v>0</v>
      </c>
      <c r="AE106" s="767">
        <v>0</v>
      </c>
      <c r="AF106" s="29"/>
      <c r="AG106" s="712"/>
    </row>
    <row r="107" spans="1:33" s="653" customFormat="1" ht="18.75" x14ac:dyDescent="0.3">
      <c r="A107" s="765" t="s">
        <v>33</v>
      </c>
      <c r="B107" s="766">
        <f>B108</f>
        <v>0</v>
      </c>
      <c r="C107" s="766">
        <f t="shared" si="44"/>
        <v>0</v>
      </c>
      <c r="D107" s="766">
        <f t="shared" si="44"/>
        <v>0</v>
      </c>
      <c r="E107" s="766">
        <f t="shared" si="44"/>
        <v>0</v>
      </c>
      <c r="F107" s="32" t="e">
        <f>E107/B107*100</f>
        <v>#DIV/0!</v>
      </c>
      <c r="G107" s="47" t="e">
        <f>E107/C107*100</f>
        <v>#DIV/0!</v>
      </c>
      <c r="H107" s="767">
        <v>0</v>
      </c>
      <c r="I107" s="767">
        <v>0</v>
      </c>
      <c r="J107" s="767">
        <v>0</v>
      </c>
      <c r="K107" s="767">
        <v>0</v>
      </c>
      <c r="L107" s="767">
        <v>0</v>
      </c>
      <c r="M107" s="767">
        <v>0</v>
      </c>
      <c r="N107" s="767">
        <v>0</v>
      </c>
      <c r="O107" s="767">
        <v>0</v>
      </c>
      <c r="P107" s="767">
        <v>0</v>
      </c>
      <c r="Q107" s="767">
        <v>0</v>
      </c>
      <c r="R107" s="767">
        <v>0</v>
      </c>
      <c r="S107" s="767">
        <v>0</v>
      </c>
      <c r="T107" s="767">
        <v>0</v>
      </c>
      <c r="U107" s="767">
        <v>0</v>
      </c>
      <c r="V107" s="767">
        <v>0</v>
      </c>
      <c r="W107" s="767">
        <v>0</v>
      </c>
      <c r="X107" s="767">
        <v>0</v>
      </c>
      <c r="Y107" s="767">
        <v>0</v>
      </c>
      <c r="Z107" s="767">
        <v>0</v>
      </c>
      <c r="AA107" s="767">
        <v>0</v>
      </c>
      <c r="AB107" s="767">
        <v>0</v>
      </c>
      <c r="AC107" s="767">
        <v>0</v>
      </c>
      <c r="AD107" s="767">
        <v>0</v>
      </c>
      <c r="AE107" s="767">
        <v>0</v>
      </c>
      <c r="AF107" s="620"/>
      <c r="AG107" s="712"/>
    </row>
    <row r="108" spans="1:33" ht="18.75" x14ac:dyDescent="0.3">
      <c r="A108" s="56" t="s">
        <v>62</v>
      </c>
      <c r="B108" s="620"/>
      <c r="C108" s="620"/>
      <c r="D108" s="620"/>
      <c r="E108" s="620"/>
      <c r="F108" s="620"/>
      <c r="G108" s="620"/>
      <c r="H108" s="620"/>
      <c r="I108" s="47"/>
      <c r="J108" s="47"/>
      <c r="K108" s="47"/>
      <c r="L108" s="47"/>
      <c r="M108" s="47"/>
      <c r="N108" s="47"/>
      <c r="O108" s="620"/>
      <c r="P108" s="620"/>
      <c r="Q108" s="620"/>
      <c r="R108" s="620"/>
      <c r="S108" s="620"/>
      <c r="T108" s="620"/>
      <c r="U108" s="620"/>
      <c r="V108" s="620"/>
      <c r="W108" s="620"/>
      <c r="X108" s="620"/>
      <c r="Y108" s="620"/>
      <c r="Z108" s="620"/>
      <c r="AA108" s="620"/>
      <c r="AB108" s="620"/>
      <c r="AC108" s="620"/>
      <c r="AD108" s="620"/>
      <c r="AE108" s="620"/>
      <c r="AF108" s="29"/>
      <c r="AG108" s="712"/>
    </row>
    <row r="109" spans="1:33" ht="18.75" x14ac:dyDescent="0.3">
      <c r="A109" s="19" t="s">
        <v>31</v>
      </c>
      <c r="B109" s="766">
        <f>B110</f>
        <v>0</v>
      </c>
      <c r="C109" s="766">
        <f>C110</f>
        <v>0</v>
      </c>
      <c r="D109" s="766">
        <f>D110</f>
        <v>0</v>
      </c>
      <c r="E109" s="766">
        <f>E110</f>
        <v>0</v>
      </c>
      <c r="F109" s="32" t="e">
        <f>E109/B109*100</f>
        <v>#DIV/0!</v>
      </c>
      <c r="G109" s="47" t="e">
        <f>E109/C109*100</f>
        <v>#DIV/0!</v>
      </c>
      <c r="H109" s="766">
        <v>0</v>
      </c>
      <c r="I109" s="766">
        <v>0</v>
      </c>
      <c r="J109" s="766">
        <v>0</v>
      </c>
      <c r="K109" s="766">
        <v>0</v>
      </c>
      <c r="L109" s="766">
        <v>0</v>
      </c>
      <c r="M109" s="766">
        <v>0</v>
      </c>
      <c r="N109" s="766">
        <v>0</v>
      </c>
      <c r="O109" s="766">
        <v>0</v>
      </c>
      <c r="P109" s="766">
        <v>0</v>
      </c>
      <c r="Q109" s="766">
        <v>0</v>
      </c>
      <c r="R109" s="766">
        <v>0</v>
      </c>
      <c r="S109" s="766">
        <v>0</v>
      </c>
      <c r="T109" s="766">
        <v>0</v>
      </c>
      <c r="U109" s="766">
        <v>0</v>
      </c>
      <c r="V109" s="766">
        <v>0</v>
      </c>
      <c r="W109" s="766">
        <v>0</v>
      </c>
      <c r="X109" s="766">
        <v>0</v>
      </c>
      <c r="Y109" s="766">
        <v>0</v>
      </c>
      <c r="Z109" s="766">
        <v>0</v>
      </c>
      <c r="AA109" s="766">
        <v>0</v>
      </c>
      <c r="AB109" s="766">
        <v>0</v>
      </c>
      <c r="AC109" s="766">
        <v>0</v>
      </c>
      <c r="AD109" s="766">
        <v>0</v>
      </c>
      <c r="AE109" s="766">
        <v>0</v>
      </c>
      <c r="AF109" s="29"/>
      <c r="AG109" s="712"/>
    </row>
    <row r="110" spans="1:33" ht="18.75" x14ac:dyDescent="0.3">
      <c r="A110" s="15" t="s">
        <v>33</v>
      </c>
      <c r="B110" s="766">
        <f>B107</f>
        <v>0</v>
      </c>
      <c r="C110" s="766">
        <f>C107</f>
        <v>0</v>
      </c>
      <c r="D110" s="766">
        <f>D107</f>
        <v>0</v>
      </c>
      <c r="E110" s="766">
        <f>E107</f>
        <v>0</v>
      </c>
      <c r="F110" s="32" t="e">
        <f>E110/B110*100</f>
        <v>#DIV/0!</v>
      </c>
      <c r="G110" s="47" t="e">
        <f>E110/C110*100</f>
        <v>#DIV/0!</v>
      </c>
      <c r="H110" s="766">
        <v>0</v>
      </c>
      <c r="I110" s="766">
        <v>0</v>
      </c>
      <c r="J110" s="766">
        <v>0</v>
      </c>
      <c r="K110" s="766">
        <v>0</v>
      </c>
      <c r="L110" s="766">
        <v>0</v>
      </c>
      <c r="M110" s="766">
        <v>0</v>
      </c>
      <c r="N110" s="766">
        <v>0</v>
      </c>
      <c r="O110" s="766">
        <v>0</v>
      </c>
      <c r="P110" s="766">
        <v>0</v>
      </c>
      <c r="Q110" s="766">
        <v>0</v>
      </c>
      <c r="R110" s="766">
        <v>0</v>
      </c>
      <c r="S110" s="766">
        <v>0</v>
      </c>
      <c r="T110" s="766">
        <v>0</v>
      </c>
      <c r="U110" s="766">
        <v>0</v>
      </c>
      <c r="V110" s="766">
        <v>0</v>
      </c>
      <c r="W110" s="766">
        <v>0</v>
      </c>
      <c r="X110" s="766">
        <v>0</v>
      </c>
      <c r="Y110" s="766">
        <v>0</v>
      </c>
      <c r="Z110" s="766">
        <v>0</v>
      </c>
      <c r="AA110" s="766">
        <v>0</v>
      </c>
      <c r="AB110" s="766">
        <v>0</v>
      </c>
      <c r="AC110" s="766">
        <v>0</v>
      </c>
      <c r="AD110" s="766">
        <v>0</v>
      </c>
      <c r="AE110" s="766">
        <v>0</v>
      </c>
      <c r="AF110" s="29"/>
      <c r="AG110" s="712"/>
    </row>
    <row r="111" spans="1:33" ht="37.5" x14ac:dyDescent="0.3">
      <c r="A111" s="28" t="s">
        <v>76</v>
      </c>
      <c r="B111" s="620"/>
      <c r="C111" s="620"/>
      <c r="D111" s="620"/>
      <c r="E111" s="620"/>
      <c r="F111" s="620"/>
      <c r="G111" s="620"/>
      <c r="H111" s="620"/>
      <c r="I111" s="620"/>
      <c r="J111" s="620"/>
      <c r="K111" s="620"/>
      <c r="L111" s="620"/>
      <c r="M111" s="620"/>
      <c r="N111" s="620"/>
      <c r="O111" s="620"/>
      <c r="P111" s="620"/>
      <c r="Q111" s="620"/>
      <c r="R111" s="620"/>
      <c r="S111" s="620"/>
      <c r="T111" s="620"/>
      <c r="U111" s="620"/>
      <c r="V111" s="620"/>
      <c r="W111" s="620"/>
      <c r="X111" s="620"/>
      <c r="Y111" s="620"/>
      <c r="Z111" s="620"/>
      <c r="AA111" s="620"/>
      <c r="AB111" s="620"/>
      <c r="AC111" s="620"/>
      <c r="AD111" s="620"/>
      <c r="AE111" s="620"/>
      <c r="AF111" s="29"/>
      <c r="AG111" s="712"/>
    </row>
    <row r="112" spans="1:33" ht="18.75" x14ac:dyDescent="0.3">
      <c r="A112" s="8" t="s">
        <v>31</v>
      </c>
      <c r="B112" s="766">
        <f>B113</f>
        <v>0</v>
      </c>
      <c r="C112" s="766">
        <f>C113</f>
        <v>0</v>
      </c>
      <c r="D112" s="766">
        <f>D113</f>
        <v>0</v>
      </c>
      <c r="E112" s="766">
        <f>E113</f>
        <v>0</v>
      </c>
      <c r="F112" s="32" t="e">
        <f>E112/B112*100</f>
        <v>#DIV/0!</v>
      </c>
      <c r="G112" s="47" t="e">
        <f>E112/C112*100</f>
        <v>#DIV/0!</v>
      </c>
      <c r="H112" s="766">
        <v>0</v>
      </c>
      <c r="I112" s="766">
        <v>0</v>
      </c>
      <c r="J112" s="766">
        <v>0</v>
      </c>
      <c r="K112" s="766">
        <v>0</v>
      </c>
      <c r="L112" s="766">
        <v>0</v>
      </c>
      <c r="M112" s="766">
        <v>0</v>
      </c>
      <c r="N112" s="766">
        <v>0</v>
      </c>
      <c r="O112" s="766">
        <v>0</v>
      </c>
      <c r="P112" s="766">
        <v>0</v>
      </c>
      <c r="Q112" s="766">
        <v>0</v>
      </c>
      <c r="R112" s="766">
        <v>0</v>
      </c>
      <c r="S112" s="766">
        <v>0</v>
      </c>
      <c r="T112" s="766">
        <v>0</v>
      </c>
      <c r="U112" s="766">
        <v>0</v>
      </c>
      <c r="V112" s="766">
        <v>0</v>
      </c>
      <c r="W112" s="766">
        <v>0</v>
      </c>
      <c r="X112" s="766">
        <v>0</v>
      </c>
      <c r="Y112" s="766">
        <v>0</v>
      </c>
      <c r="Z112" s="766">
        <v>0</v>
      </c>
      <c r="AA112" s="766">
        <v>0</v>
      </c>
      <c r="AB112" s="766">
        <v>0</v>
      </c>
      <c r="AC112" s="766">
        <v>0</v>
      </c>
      <c r="AD112" s="766">
        <v>0</v>
      </c>
      <c r="AE112" s="766">
        <v>0</v>
      </c>
      <c r="AF112" s="29"/>
      <c r="AG112" s="712"/>
    </row>
    <row r="113" spans="1:33" ht="18.75" x14ac:dyDescent="0.3">
      <c r="A113" s="13" t="s">
        <v>33</v>
      </c>
      <c r="B113" s="766">
        <f>B110</f>
        <v>0</v>
      </c>
      <c r="C113" s="766">
        <f>C110</f>
        <v>0</v>
      </c>
      <c r="D113" s="766">
        <f>D110</f>
        <v>0</v>
      </c>
      <c r="E113" s="766">
        <f>E110</f>
        <v>0</v>
      </c>
      <c r="F113" s="32" t="e">
        <f>E113/B113*100</f>
        <v>#DIV/0!</v>
      </c>
      <c r="G113" s="47" t="e">
        <f>E113/C113*100</f>
        <v>#DIV/0!</v>
      </c>
      <c r="H113" s="766">
        <v>0</v>
      </c>
      <c r="I113" s="766">
        <v>0</v>
      </c>
      <c r="J113" s="766">
        <v>0</v>
      </c>
      <c r="K113" s="766">
        <v>0</v>
      </c>
      <c r="L113" s="766">
        <v>0</v>
      </c>
      <c r="M113" s="766">
        <v>0</v>
      </c>
      <c r="N113" s="766">
        <v>0</v>
      </c>
      <c r="O113" s="766">
        <v>0</v>
      </c>
      <c r="P113" s="766">
        <v>0</v>
      </c>
      <c r="Q113" s="766">
        <v>0</v>
      </c>
      <c r="R113" s="766">
        <v>0</v>
      </c>
      <c r="S113" s="766">
        <v>0</v>
      </c>
      <c r="T113" s="766">
        <v>0</v>
      </c>
      <c r="U113" s="766">
        <v>0</v>
      </c>
      <c r="V113" s="766">
        <v>0</v>
      </c>
      <c r="W113" s="766">
        <v>0</v>
      </c>
      <c r="X113" s="766">
        <v>0</v>
      </c>
      <c r="Y113" s="766">
        <v>0</v>
      </c>
      <c r="Z113" s="766">
        <v>0</v>
      </c>
      <c r="AA113" s="766">
        <v>0</v>
      </c>
      <c r="AB113" s="766">
        <v>0</v>
      </c>
      <c r="AC113" s="766">
        <v>0</v>
      </c>
      <c r="AD113" s="766">
        <v>0</v>
      </c>
      <c r="AE113" s="766">
        <v>0</v>
      </c>
      <c r="AF113" s="29"/>
      <c r="AG113" s="712"/>
    </row>
    <row r="114" spans="1:33" ht="112.5" x14ac:dyDescent="0.3">
      <c r="A114" s="50" t="s">
        <v>125</v>
      </c>
      <c r="B114" s="649"/>
      <c r="C114" s="649"/>
      <c r="D114" s="649"/>
      <c r="E114" s="649"/>
      <c r="F114" s="32"/>
      <c r="G114" s="47"/>
      <c r="H114" s="649"/>
      <c r="I114" s="649"/>
      <c r="J114" s="649"/>
      <c r="K114" s="649"/>
      <c r="L114" s="649"/>
      <c r="M114" s="649"/>
      <c r="N114" s="649"/>
      <c r="O114" s="649"/>
      <c r="P114" s="649"/>
      <c r="Q114" s="649"/>
      <c r="R114" s="649"/>
      <c r="S114" s="649"/>
      <c r="T114" s="649"/>
      <c r="U114" s="649"/>
      <c r="V114" s="649"/>
      <c r="W114" s="649"/>
      <c r="X114" s="649"/>
      <c r="Y114" s="649"/>
      <c r="Z114" s="649"/>
      <c r="AA114" s="649"/>
      <c r="AB114" s="649"/>
      <c r="AC114" s="649"/>
      <c r="AD114" s="649"/>
      <c r="AE114" s="649"/>
      <c r="AF114" s="29"/>
      <c r="AG114" s="712"/>
    </row>
    <row r="115" spans="1:33" ht="118.5" customHeight="1" x14ac:dyDescent="0.3">
      <c r="A115" s="50" t="s">
        <v>127</v>
      </c>
      <c r="B115" s="649"/>
      <c r="C115" s="649"/>
      <c r="D115" s="649"/>
      <c r="E115" s="649"/>
      <c r="F115" s="32"/>
      <c r="G115" s="47"/>
      <c r="H115" s="649"/>
      <c r="I115" s="649"/>
      <c r="J115" s="649"/>
      <c r="K115" s="649"/>
      <c r="L115" s="649"/>
      <c r="M115" s="649"/>
      <c r="N115" s="649"/>
      <c r="O115" s="649"/>
      <c r="P115" s="649"/>
      <c r="Q115" s="649"/>
      <c r="R115" s="649"/>
      <c r="S115" s="649"/>
      <c r="T115" s="649"/>
      <c r="U115" s="649"/>
      <c r="V115" s="649"/>
      <c r="W115" s="649"/>
      <c r="X115" s="649"/>
      <c r="Y115" s="649"/>
      <c r="Z115" s="649"/>
      <c r="AA115" s="649"/>
      <c r="AB115" s="649"/>
      <c r="AC115" s="649"/>
      <c r="AD115" s="649"/>
      <c r="AE115" s="649"/>
      <c r="AF115" s="784" t="s">
        <v>622</v>
      </c>
      <c r="AG115" s="712"/>
    </row>
    <row r="116" spans="1:33" ht="18.75" x14ac:dyDescent="0.3">
      <c r="A116" s="19" t="s">
        <v>31</v>
      </c>
      <c r="B116" s="32">
        <f>B117</f>
        <v>6573.3099999999995</v>
      </c>
      <c r="C116" s="32">
        <f>C117</f>
        <v>3600.39</v>
      </c>
      <c r="D116" s="32">
        <f>D117</f>
        <v>3480.1699999999996</v>
      </c>
      <c r="E116" s="32">
        <f>E117</f>
        <v>3480.1699999999996</v>
      </c>
      <c r="F116" s="32">
        <f>E116/B116*100</f>
        <v>52.943950612400748</v>
      </c>
      <c r="G116" s="47">
        <f>E116/C116*100</f>
        <v>96.660917289515851</v>
      </c>
      <c r="H116" s="32">
        <f>H117</f>
        <v>855.75</v>
      </c>
      <c r="I116" s="32">
        <f t="shared" ref="I116:AE116" si="45">I117</f>
        <v>541.91999999999996</v>
      </c>
      <c r="J116" s="32">
        <f t="shared" si="45"/>
        <v>534.54999999999995</v>
      </c>
      <c r="K116" s="32">
        <f t="shared" si="45"/>
        <v>628.73</v>
      </c>
      <c r="L116" s="32">
        <f t="shared" si="45"/>
        <v>429.83</v>
      </c>
      <c r="M116" s="32">
        <f t="shared" si="45"/>
        <v>402.57</v>
      </c>
      <c r="N116" s="32">
        <f t="shared" si="45"/>
        <v>611.53</v>
      </c>
      <c r="O116" s="32">
        <f t="shared" si="45"/>
        <v>439.83</v>
      </c>
      <c r="P116" s="32">
        <f t="shared" si="45"/>
        <v>583.14</v>
      </c>
      <c r="Q116" s="32">
        <f>Q117+Q118</f>
        <v>824.92000000000007</v>
      </c>
      <c r="R116" s="32">
        <f t="shared" si="45"/>
        <v>585.59</v>
      </c>
      <c r="S116" s="32">
        <f t="shared" si="45"/>
        <v>740.64</v>
      </c>
      <c r="T116" s="32">
        <f t="shared" si="45"/>
        <v>611.53</v>
      </c>
      <c r="U116" s="32">
        <f t="shared" si="45"/>
        <v>0</v>
      </c>
      <c r="V116" s="32">
        <f t="shared" si="45"/>
        <v>484.7</v>
      </c>
      <c r="W116" s="32">
        <f t="shared" si="45"/>
        <v>0</v>
      </c>
      <c r="X116" s="32">
        <f t="shared" si="45"/>
        <v>429.82</v>
      </c>
      <c r="Y116" s="32">
        <f t="shared" si="45"/>
        <v>0</v>
      </c>
      <c r="Z116" s="32">
        <f t="shared" si="45"/>
        <v>611.53</v>
      </c>
      <c r="AA116" s="32">
        <f t="shared" si="45"/>
        <v>0</v>
      </c>
      <c r="AB116" s="32">
        <f t="shared" si="45"/>
        <v>484.7</v>
      </c>
      <c r="AC116" s="32">
        <f t="shared" si="45"/>
        <v>0</v>
      </c>
      <c r="AD116" s="32">
        <f t="shared" si="45"/>
        <v>350.64</v>
      </c>
      <c r="AE116" s="32">
        <f t="shared" si="45"/>
        <v>0</v>
      </c>
      <c r="AF116" s="29"/>
      <c r="AG116" s="712"/>
    </row>
    <row r="117" spans="1:33" ht="18.75" x14ac:dyDescent="0.3">
      <c r="A117" s="15" t="s">
        <v>33</v>
      </c>
      <c r="B117" s="32">
        <f>H117+J117+L117+N117+P117+R117+T117+V117+X117+Z117+AB117+AD117</f>
        <v>6573.3099999999995</v>
      </c>
      <c r="C117" s="32">
        <f>H117+J117+L117+N117+P117+R117</f>
        <v>3600.39</v>
      </c>
      <c r="D117" s="32">
        <f>E117</f>
        <v>3480.1699999999996</v>
      </c>
      <c r="E117" s="32">
        <f>I117+K117+M117+O117+Q117+S117+U117+W117+Y117+AA117+AC117+AE117</f>
        <v>3480.1699999999996</v>
      </c>
      <c r="F117" s="47">
        <f>D117/B117*100</f>
        <v>52.943950612400748</v>
      </c>
      <c r="G117" s="47">
        <f>E117/C117*100</f>
        <v>96.660917289515851</v>
      </c>
      <c r="H117" s="32">
        <v>855.75</v>
      </c>
      <c r="I117" s="649">
        <v>541.91999999999996</v>
      </c>
      <c r="J117" s="649">
        <v>534.54999999999995</v>
      </c>
      <c r="K117" s="649">
        <v>628.73</v>
      </c>
      <c r="L117" s="649">
        <v>429.83</v>
      </c>
      <c r="M117" s="649">
        <v>402.57</v>
      </c>
      <c r="N117" s="649">
        <v>611.53</v>
      </c>
      <c r="O117" s="649">
        <v>439.83</v>
      </c>
      <c r="P117" s="649">
        <v>583.14</v>
      </c>
      <c r="Q117" s="649">
        <v>726.48</v>
      </c>
      <c r="R117" s="649">
        <v>585.59</v>
      </c>
      <c r="S117" s="649">
        <v>740.64</v>
      </c>
      <c r="T117" s="649">
        <v>611.53</v>
      </c>
      <c r="U117" s="649"/>
      <c r="V117" s="649">
        <v>484.7</v>
      </c>
      <c r="W117" s="649"/>
      <c r="X117" s="649">
        <v>429.82</v>
      </c>
      <c r="Y117" s="649"/>
      <c r="Z117" s="649">
        <v>611.53</v>
      </c>
      <c r="AA117" s="649"/>
      <c r="AB117" s="649">
        <v>484.7</v>
      </c>
      <c r="AC117" s="649"/>
      <c r="AD117" s="649">
        <v>350.64</v>
      </c>
      <c r="AE117" s="649"/>
      <c r="AF117" s="29"/>
      <c r="AG117" s="712"/>
    </row>
    <row r="118" spans="1:33" ht="18.75" x14ac:dyDescent="0.3">
      <c r="A118" s="15" t="s">
        <v>593</v>
      </c>
      <c r="B118" s="32"/>
      <c r="C118" s="32"/>
      <c r="D118" s="32"/>
      <c r="E118" s="32"/>
      <c r="F118" s="47"/>
      <c r="G118" s="47"/>
      <c r="H118" s="32"/>
      <c r="I118" s="649"/>
      <c r="J118" s="649"/>
      <c r="K118" s="649"/>
      <c r="L118" s="649"/>
      <c r="M118" s="649"/>
      <c r="N118" s="649"/>
      <c r="O118" s="649"/>
      <c r="P118" s="649"/>
      <c r="Q118" s="931">
        <v>98.44</v>
      </c>
      <c r="R118" s="649"/>
      <c r="S118" s="649"/>
      <c r="T118" s="649"/>
      <c r="U118" s="649"/>
      <c r="V118" s="649"/>
      <c r="W118" s="649"/>
      <c r="X118" s="649"/>
      <c r="Y118" s="649"/>
      <c r="Z118" s="649"/>
      <c r="AA118" s="649"/>
      <c r="AB118" s="649"/>
      <c r="AC118" s="649"/>
      <c r="AD118" s="649"/>
      <c r="AE118" s="649"/>
      <c r="AF118" s="930"/>
      <c r="AG118" s="712"/>
    </row>
    <row r="119" spans="1:33" ht="131.25" x14ac:dyDescent="0.3">
      <c r="A119" s="50" t="s">
        <v>128</v>
      </c>
      <c r="B119" s="649"/>
      <c r="C119" s="649"/>
      <c r="D119" s="649"/>
      <c r="E119" s="649"/>
      <c r="F119" s="32"/>
      <c r="G119" s="47"/>
      <c r="H119" s="649"/>
      <c r="I119" s="649"/>
      <c r="J119" s="649"/>
      <c r="K119" s="649"/>
      <c r="L119" s="649"/>
      <c r="M119" s="649"/>
      <c r="N119" s="649"/>
      <c r="O119" s="649"/>
      <c r="P119" s="649"/>
      <c r="Q119" s="649"/>
      <c r="R119" s="649"/>
      <c r="S119" s="649"/>
      <c r="T119" s="649"/>
      <c r="U119" s="649"/>
      <c r="V119" s="649"/>
      <c r="W119" s="649"/>
      <c r="X119" s="649"/>
      <c r="Y119" s="649"/>
      <c r="Z119" s="649"/>
      <c r="AA119" s="649"/>
      <c r="AB119" s="649"/>
      <c r="AC119" s="649"/>
      <c r="AD119" s="649"/>
      <c r="AE119" s="649"/>
      <c r="AF119" s="785" t="s">
        <v>623</v>
      </c>
      <c r="AG119" s="712"/>
    </row>
    <row r="120" spans="1:33" ht="18.75" x14ac:dyDescent="0.3">
      <c r="A120" s="19" t="s">
        <v>31</v>
      </c>
      <c r="B120" s="32">
        <f>B121</f>
        <v>10280.129999999999</v>
      </c>
      <c r="C120" s="32">
        <f>C121</f>
        <v>5630.079999999999</v>
      </c>
      <c r="D120" s="32">
        <f>D121</f>
        <v>4754.8799999999992</v>
      </c>
      <c r="E120" s="32">
        <f>E121</f>
        <v>4754.8799999999992</v>
      </c>
      <c r="F120" s="32">
        <f>E120/B120*100</f>
        <v>46.253111585164774</v>
      </c>
      <c r="G120" s="47">
        <f>E120/C120*100</f>
        <v>84.454927816301023</v>
      </c>
      <c r="H120" s="32">
        <f>H121</f>
        <v>1335.14</v>
      </c>
      <c r="I120" s="32">
        <f t="shared" ref="I120:AE120" si="46">I121</f>
        <v>647.77</v>
      </c>
      <c r="J120" s="32">
        <f t="shared" si="46"/>
        <v>999.81</v>
      </c>
      <c r="K120" s="32">
        <f t="shared" si="46"/>
        <v>935.9</v>
      </c>
      <c r="L120" s="32">
        <f t="shared" si="46"/>
        <v>657.75</v>
      </c>
      <c r="M120" s="32">
        <f t="shared" si="46"/>
        <v>655.78</v>
      </c>
      <c r="N120" s="32">
        <f t="shared" si="46"/>
        <v>1026.81</v>
      </c>
      <c r="O120" s="32">
        <f t="shared" si="46"/>
        <v>595.28</v>
      </c>
      <c r="P120" s="32">
        <f t="shared" si="46"/>
        <v>773.67</v>
      </c>
      <c r="Q120" s="32">
        <f t="shared" si="46"/>
        <v>940.87</v>
      </c>
      <c r="R120" s="32">
        <f t="shared" si="46"/>
        <v>836.9</v>
      </c>
      <c r="S120" s="32">
        <f t="shared" si="46"/>
        <v>979.28</v>
      </c>
      <c r="T120" s="32">
        <f t="shared" si="46"/>
        <v>1139.3699999999999</v>
      </c>
      <c r="U120" s="32">
        <f t="shared" si="46"/>
        <v>0</v>
      </c>
      <c r="V120" s="32">
        <f t="shared" si="46"/>
        <v>713.67</v>
      </c>
      <c r="W120" s="32">
        <f t="shared" si="46"/>
        <v>0</v>
      </c>
      <c r="X120" s="32">
        <f t="shared" si="46"/>
        <v>628.91999999999996</v>
      </c>
      <c r="Y120" s="32">
        <f t="shared" si="46"/>
        <v>0</v>
      </c>
      <c r="Z120" s="32">
        <f t="shared" si="46"/>
        <v>976.45</v>
      </c>
      <c r="AA120" s="32">
        <f t="shared" si="46"/>
        <v>0</v>
      </c>
      <c r="AB120" s="32">
        <f t="shared" si="46"/>
        <v>713.68</v>
      </c>
      <c r="AC120" s="32">
        <f t="shared" si="46"/>
        <v>0</v>
      </c>
      <c r="AD120" s="32">
        <f t="shared" si="46"/>
        <v>477.96</v>
      </c>
      <c r="AE120" s="32">
        <f t="shared" si="46"/>
        <v>0</v>
      </c>
      <c r="AF120" s="936"/>
      <c r="AG120" s="712"/>
    </row>
    <row r="121" spans="1:33" ht="18.75" x14ac:dyDescent="0.3">
      <c r="A121" s="15" t="s">
        <v>97</v>
      </c>
      <c r="B121" s="32">
        <f>H121+J121+L121+N121+P121+R121+T121+V121+X121+Z121+AB121+AD121</f>
        <v>10280.129999999999</v>
      </c>
      <c r="C121" s="32">
        <f>H121+J121+L121+N121+P121+R121</f>
        <v>5630.079999999999</v>
      </c>
      <c r="D121" s="32">
        <f>E121</f>
        <v>4754.8799999999992</v>
      </c>
      <c r="E121" s="32">
        <f>I121+K121+M121+O121+Q121+S121+U121+W121+Y121+AA121+AC121+AE121</f>
        <v>4754.8799999999992</v>
      </c>
      <c r="F121" s="47">
        <f>D121/B121*100</f>
        <v>46.253111585164774</v>
      </c>
      <c r="G121" s="47">
        <f>E121/C121*100</f>
        <v>84.454927816301023</v>
      </c>
      <c r="H121" s="32">
        <v>1335.14</v>
      </c>
      <c r="I121" s="649">
        <v>647.77</v>
      </c>
      <c r="J121" s="649">
        <v>999.81</v>
      </c>
      <c r="K121" s="649">
        <v>935.9</v>
      </c>
      <c r="L121" s="649">
        <v>657.75</v>
      </c>
      <c r="M121" s="649">
        <v>655.78</v>
      </c>
      <c r="N121" s="649">
        <v>1026.81</v>
      </c>
      <c r="O121" s="649">
        <v>595.28</v>
      </c>
      <c r="P121" s="649">
        <v>773.67</v>
      </c>
      <c r="Q121" s="649">
        <v>940.87</v>
      </c>
      <c r="R121" s="649">
        <v>836.9</v>
      </c>
      <c r="S121" s="649">
        <v>979.28</v>
      </c>
      <c r="T121" s="649">
        <v>1139.3699999999999</v>
      </c>
      <c r="U121" s="649"/>
      <c r="V121" s="649">
        <v>713.67</v>
      </c>
      <c r="W121" s="649"/>
      <c r="X121" s="649">
        <v>628.91999999999996</v>
      </c>
      <c r="Y121" s="649"/>
      <c r="Z121" s="649">
        <v>976.45</v>
      </c>
      <c r="AA121" s="649"/>
      <c r="AB121" s="649">
        <v>713.68</v>
      </c>
      <c r="AC121" s="649"/>
      <c r="AD121" s="649">
        <v>477.96</v>
      </c>
      <c r="AE121" s="649"/>
      <c r="AF121" s="936"/>
      <c r="AG121" s="712"/>
    </row>
    <row r="122" spans="1:33" ht="18.75" x14ac:dyDescent="0.3">
      <c r="A122" s="56" t="s">
        <v>85</v>
      </c>
      <c r="B122" s="649"/>
      <c r="C122" s="649"/>
      <c r="D122" s="649"/>
      <c r="E122" s="649"/>
      <c r="F122" s="32"/>
      <c r="G122" s="47"/>
      <c r="H122" s="649"/>
      <c r="I122" s="649"/>
      <c r="J122" s="649"/>
      <c r="K122" s="649"/>
      <c r="L122" s="649"/>
      <c r="M122" s="649"/>
      <c r="N122" s="649"/>
      <c r="O122" s="649"/>
      <c r="P122" s="649"/>
      <c r="Q122" s="649"/>
      <c r="R122" s="649"/>
      <c r="S122" s="649"/>
      <c r="T122" s="649"/>
      <c r="U122" s="649"/>
      <c r="V122" s="649"/>
      <c r="W122" s="649"/>
      <c r="X122" s="649"/>
      <c r="Y122" s="649"/>
      <c r="Z122" s="649"/>
      <c r="AA122" s="649"/>
      <c r="AB122" s="649"/>
      <c r="AC122" s="649"/>
      <c r="AD122" s="649"/>
      <c r="AE122" s="649"/>
      <c r="AF122" s="936"/>
      <c r="AG122" s="712"/>
    </row>
    <row r="123" spans="1:33" ht="18.75" x14ac:dyDescent="0.3">
      <c r="A123" s="19" t="s">
        <v>31</v>
      </c>
      <c r="B123" s="649">
        <f>B124+B125</f>
        <v>16853.439999999999</v>
      </c>
      <c r="C123" s="649">
        <f>C124+C125</f>
        <v>9230.4699999999993</v>
      </c>
      <c r="D123" s="649">
        <f>D124+D125</f>
        <v>8235.0499999999993</v>
      </c>
      <c r="E123" s="649">
        <f>E124+E125</f>
        <v>8235.0499999999993</v>
      </c>
      <c r="F123" s="32">
        <f>E123/B123*100</f>
        <v>48.86272476123569</v>
      </c>
      <c r="G123" s="47">
        <f>E123/C123*100</f>
        <v>89.215933749852397</v>
      </c>
      <c r="H123" s="649">
        <f>H124+H125</f>
        <v>2190.8900000000003</v>
      </c>
      <c r="I123" s="649">
        <f t="shared" ref="I123:AE123" si="47">I124+I125</f>
        <v>1189.69</v>
      </c>
      <c r="J123" s="649">
        <f t="shared" si="47"/>
        <v>1534.36</v>
      </c>
      <c r="K123" s="649">
        <f t="shared" si="47"/>
        <v>1564.63</v>
      </c>
      <c r="L123" s="649">
        <f t="shared" si="47"/>
        <v>1087.58</v>
      </c>
      <c r="M123" s="649">
        <f t="shared" si="47"/>
        <v>1058.3499999999999</v>
      </c>
      <c r="N123" s="649">
        <f t="shared" si="47"/>
        <v>1638.34</v>
      </c>
      <c r="O123" s="649">
        <f t="shared" si="47"/>
        <v>1035.1099999999999</v>
      </c>
      <c r="P123" s="649">
        <f t="shared" si="47"/>
        <v>1356.81</v>
      </c>
      <c r="Q123" s="649">
        <f t="shared" si="47"/>
        <v>1667.35</v>
      </c>
      <c r="R123" s="649">
        <f t="shared" si="47"/>
        <v>1422.49</v>
      </c>
      <c r="S123" s="649">
        <f t="shared" si="47"/>
        <v>1719.92</v>
      </c>
      <c r="T123" s="649">
        <f t="shared" si="47"/>
        <v>1750.8999999999999</v>
      </c>
      <c r="U123" s="649">
        <f t="shared" si="47"/>
        <v>0</v>
      </c>
      <c r="V123" s="649">
        <f t="shared" si="47"/>
        <v>1198.3699999999999</v>
      </c>
      <c r="W123" s="649">
        <f t="shared" si="47"/>
        <v>0</v>
      </c>
      <c r="X123" s="649">
        <f t="shared" si="47"/>
        <v>1058.74</v>
      </c>
      <c r="Y123" s="649">
        <f t="shared" si="47"/>
        <v>0</v>
      </c>
      <c r="Z123" s="649">
        <f t="shared" si="47"/>
        <v>1587.98</v>
      </c>
      <c r="AA123" s="649">
        <f t="shared" si="47"/>
        <v>0</v>
      </c>
      <c r="AB123" s="649">
        <f t="shared" si="47"/>
        <v>1198.3799999999999</v>
      </c>
      <c r="AC123" s="649">
        <f t="shared" si="47"/>
        <v>0</v>
      </c>
      <c r="AD123" s="649">
        <f t="shared" si="47"/>
        <v>828.59999999999991</v>
      </c>
      <c r="AE123" s="649">
        <f t="shared" si="47"/>
        <v>0</v>
      </c>
      <c r="AF123" s="936"/>
      <c r="AG123" s="712"/>
    </row>
    <row r="124" spans="1:33" ht="18.75" x14ac:dyDescent="0.3">
      <c r="A124" s="15" t="s">
        <v>97</v>
      </c>
      <c r="B124" s="649">
        <f>B121</f>
        <v>10280.129999999999</v>
      </c>
      <c r="C124" s="649">
        <f>C121</f>
        <v>5630.079999999999</v>
      </c>
      <c r="D124" s="649">
        <f>D121</f>
        <v>4754.8799999999992</v>
      </c>
      <c r="E124" s="649">
        <f>E121</f>
        <v>4754.8799999999992</v>
      </c>
      <c r="F124" s="32"/>
      <c r="G124" s="47"/>
      <c r="H124" s="649">
        <f>H121</f>
        <v>1335.14</v>
      </c>
      <c r="I124" s="649">
        <f t="shared" ref="I124:AE124" si="48">I121</f>
        <v>647.77</v>
      </c>
      <c r="J124" s="649">
        <f t="shared" si="48"/>
        <v>999.81</v>
      </c>
      <c r="K124" s="649">
        <f t="shared" si="48"/>
        <v>935.9</v>
      </c>
      <c r="L124" s="649">
        <f t="shared" si="48"/>
        <v>657.75</v>
      </c>
      <c r="M124" s="649">
        <f t="shared" si="48"/>
        <v>655.78</v>
      </c>
      <c r="N124" s="649">
        <f t="shared" si="48"/>
        <v>1026.81</v>
      </c>
      <c r="O124" s="649">
        <f t="shared" si="48"/>
        <v>595.28</v>
      </c>
      <c r="P124" s="649">
        <f t="shared" si="48"/>
        <v>773.67</v>
      </c>
      <c r="Q124" s="649">
        <f t="shared" si="48"/>
        <v>940.87</v>
      </c>
      <c r="R124" s="649">
        <f t="shared" si="48"/>
        <v>836.9</v>
      </c>
      <c r="S124" s="649">
        <f t="shared" si="48"/>
        <v>979.28</v>
      </c>
      <c r="T124" s="649">
        <f t="shared" si="48"/>
        <v>1139.3699999999999</v>
      </c>
      <c r="U124" s="649">
        <f t="shared" si="48"/>
        <v>0</v>
      </c>
      <c r="V124" s="649">
        <f t="shared" si="48"/>
        <v>713.67</v>
      </c>
      <c r="W124" s="649">
        <f t="shared" si="48"/>
        <v>0</v>
      </c>
      <c r="X124" s="649">
        <f t="shared" si="48"/>
        <v>628.91999999999996</v>
      </c>
      <c r="Y124" s="649">
        <f t="shared" si="48"/>
        <v>0</v>
      </c>
      <c r="Z124" s="649">
        <f t="shared" si="48"/>
        <v>976.45</v>
      </c>
      <c r="AA124" s="649">
        <f t="shared" si="48"/>
        <v>0</v>
      </c>
      <c r="AB124" s="649">
        <f t="shared" si="48"/>
        <v>713.68</v>
      </c>
      <c r="AC124" s="649">
        <f t="shared" si="48"/>
        <v>0</v>
      </c>
      <c r="AD124" s="649">
        <f t="shared" si="48"/>
        <v>477.96</v>
      </c>
      <c r="AE124" s="649">
        <f t="shared" si="48"/>
        <v>0</v>
      </c>
      <c r="AF124" s="936"/>
      <c r="AG124" s="712"/>
    </row>
    <row r="125" spans="1:33" ht="18.75" x14ac:dyDescent="0.3">
      <c r="A125" s="15" t="s">
        <v>33</v>
      </c>
      <c r="B125" s="649">
        <f>B117</f>
        <v>6573.3099999999995</v>
      </c>
      <c r="C125" s="649">
        <f>C117</f>
        <v>3600.39</v>
      </c>
      <c r="D125" s="649">
        <f>D117</f>
        <v>3480.1699999999996</v>
      </c>
      <c r="E125" s="649">
        <f>E117</f>
        <v>3480.1699999999996</v>
      </c>
      <c r="F125" s="47">
        <f>D125/B125*100</f>
        <v>52.943950612400748</v>
      </c>
      <c r="G125" s="47">
        <f>E125/C125*100</f>
        <v>96.660917289515851</v>
      </c>
      <c r="H125" s="649">
        <f>H117</f>
        <v>855.75</v>
      </c>
      <c r="I125" s="649">
        <f t="shared" ref="I125:AE125" si="49">I117</f>
        <v>541.91999999999996</v>
      </c>
      <c r="J125" s="649">
        <f t="shared" si="49"/>
        <v>534.54999999999995</v>
      </c>
      <c r="K125" s="649">
        <f t="shared" si="49"/>
        <v>628.73</v>
      </c>
      <c r="L125" s="649">
        <f t="shared" si="49"/>
        <v>429.83</v>
      </c>
      <c r="M125" s="649">
        <f t="shared" si="49"/>
        <v>402.57</v>
      </c>
      <c r="N125" s="649">
        <f t="shared" si="49"/>
        <v>611.53</v>
      </c>
      <c r="O125" s="649">
        <f t="shared" si="49"/>
        <v>439.83</v>
      </c>
      <c r="P125" s="649">
        <f t="shared" si="49"/>
        <v>583.14</v>
      </c>
      <c r="Q125" s="649">
        <f t="shared" si="49"/>
        <v>726.48</v>
      </c>
      <c r="R125" s="649">
        <f t="shared" si="49"/>
        <v>585.59</v>
      </c>
      <c r="S125" s="649">
        <f t="shared" si="49"/>
        <v>740.64</v>
      </c>
      <c r="T125" s="649">
        <f t="shared" si="49"/>
        <v>611.53</v>
      </c>
      <c r="U125" s="649">
        <f t="shared" si="49"/>
        <v>0</v>
      </c>
      <c r="V125" s="649">
        <f t="shared" si="49"/>
        <v>484.7</v>
      </c>
      <c r="W125" s="649">
        <f t="shared" si="49"/>
        <v>0</v>
      </c>
      <c r="X125" s="649">
        <f t="shared" si="49"/>
        <v>429.82</v>
      </c>
      <c r="Y125" s="649">
        <f t="shared" si="49"/>
        <v>0</v>
      </c>
      <c r="Z125" s="649">
        <f t="shared" si="49"/>
        <v>611.53</v>
      </c>
      <c r="AA125" s="649">
        <f t="shared" si="49"/>
        <v>0</v>
      </c>
      <c r="AB125" s="649">
        <f t="shared" si="49"/>
        <v>484.7</v>
      </c>
      <c r="AC125" s="649">
        <f t="shared" si="49"/>
        <v>0</v>
      </c>
      <c r="AD125" s="649">
        <f t="shared" si="49"/>
        <v>350.64</v>
      </c>
      <c r="AE125" s="649">
        <f t="shared" si="49"/>
        <v>0</v>
      </c>
      <c r="AF125" s="29"/>
      <c r="AG125" s="712"/>
    </row>
    <row r="126" spans="1:33" ht="37.5" x14ac:dyDescent="0.3">
      <c r="A126" s="28" t="s">
        <v>92</v>
      </c>
      <c r="B126" s="649"/>
      <c r="C126" s="649"/>
      <c r="D126" s="649"/>
      <c r="E126" s="649"/>
      <c r="F126" s="32"/>
      <c r="G126" s="47"/>
      <c r="H126" s="649"/>
      <c r="I126" s="649"/>
      <c r="J126" s="649"/>
      <c r="K126" s="649"/>
      <c r="L126" s="649"/>
      <c r="M126" s="649"/>
      <c r="N126" s="649"/>
      <c r="O126" s="649"/>
      <c r="P126" s="649"/>
      <c r="Q126" s="649"/>
      <c r="R126" s="649"/>
      <c r="S126" s="649"/>
      <c r="T126" s="649"/>
      <c r="U126" s="649"/>
      <c r="V126" s="649"/>
      <c r="W126" s="649"/>
      <c r="X126" s="649"/>
      <c r="Y126" s="649"/>
      <c r="Z126" s="649"/>
      <c r="AA126" s="649"/>
      <c r="AB126" s="649"/>
      <c r="AC126" s="649"/>
      <c r="AD126" s="649"/>
      <c r="AE126" s="649"/>
      <c r="AF126" s="29"/>
      <c r="AG126" s="712"/>
    </row>
    <row r="127" spans="1:33" ht="18.75" x14ac:dyDescent="0.3">
      <c r="A127" s="8" t="s">
        <v>31</v>
      </c>
      <c r="B127" s="649">
        <f>B128+B129</f>
        <v>16853.439999999999</v>
      </c>
      <c r="C127" s="649">
        <f>C128+C129</f>
        <v>9230.4699999999993</v>
      </c>
      <c r="D127" s="649">
        <f>D128+D129</f>
        <v>8235.0499999999993</v>
      </c>
      <c r="E127" s="649">
        <f>E128+E129</f>
        <v>8235.0499999999993</v>
      </c>
      <c r="F127" s="32">
        <f>E127/B127*100</f>
        <v>48.86272476123569</v>
      </c>
      <c r="G127" s="47">
        <f>E127/C127*100</f>
        <v>89.215933749852397</v>
      </c>
      <c r="H127" s="649">
        <f>H128+H129</f>
        <v>2190.8900000000003</v>
      </c>
      <c r="I127" s="649">
        <f t="shared" ref="I127:AE127" si="50">I128+I129</f>
        <v>1189.69</v>
      </c>
      <c r="J127" s="649">
        <f t="shared" si="50"/>
        <v>1534.36</v>
      </c>
      <c r="K127" s="649">
        <f t="shared" si="50"/>
        <v>1564.63</v>
      </c>
      <c r="L127" s="649">
        <f t="shared" si="50"/>
        <v>1087.58</v>
      </c>
      <c r="M127" s="649">
        <f t="shared" si="50"/>
        <v>1058.3499999999999</v>
      </c>
      <c r="N127" s="649">
        <f t="shared" si="50"/>
        <v>1638.34</v>
      </c>
      <c r="O127" s="649">
        <f t="shared" si="50"/>
        <v>1035.1099999999999</v>
      </c>
      <c r="P127" s="649">
        <f t="shared" si="50"/>
        <v>1356.81</v>
      </c>
      <c r="Q127" s="649">
        <f t="shared" si="50"/>
        <v>1667.35</v>
      </c>
      <c r="R127" s="649">
        <f t="shared" si="50"/>
        <v>1422.49</v>
      </c>
      <c r="S127" s="649">
        <f t="shared" si="50"/>
        <v>1719.92</v>
      </c>
      <c r="T127" s="649">
        <f t="shared" si="50"/>
        <v>1750.8999999999999</v>
      </c>
      <c r="U127" s="649">
        <f t="shared" si="50"/>
        <v>0</v>
      </c>
      <c r="V127" s="649">
        <f t="shared" si="50"/>
        <v>1198.3699999999999</v>
      </c>
      <c r="W127" s="649">
        <f t="shared" si="50"/>
        <v>0</v>
      </c>
      <c r="X127" s="649">
        <f t="shared" si="50"/>
        <v>1058.74</v>
      </c>
      <c r="Y127" s="649">
        <f t="shared" si="50"/>
        <v>0</v>
      </c>
      <c r="Z127" s="649">
        <f t="shared" si="50"/>
        <v>1587.98</v>
      </c>
      <c r="AA127" s="649">
        <f t="shared" si="50"/>
        <v>0</v>
      </c>
      <c r="AB127" s="649">
        <f t="shared" si="50"/>
        <v>1198.3799999999999</v>
      </c>
      <c r="AC127" s="649">
        <f t="shared" si="50"/>
        <v>0</v>
      </c>
      <c r="AD127" s="649">
        <f t="shared" si="50"/>
        <v>828.59999999999991</v>
      </c>
      <c r="AE127" s="649">
        <f t="shared" si="50"/>
        <v>0</v>
      </c>
      <c r="AF127" s="29"/>
      <c r="AG127" s="712"/>
    </row>
    <row r="128" spans="1:33" ht="18.75" x14ac:dyDescent="0.3">
      <c r="A128" s="15" t="s">
        <v>97</v>
      </c>
      <c r="B128" s="649">
        <f t="shared" ref="B128:E129" si="51">B124</f>
        <v>10280.129999999999</v>
      </c>
      <c r="C128" s="649">
        <f t="shared" si="51"/>
        <v>5630.079999999999</v>
      </c>
      <c r="D128" s="649">
        <f t="shared" si="51"/>
        <v>4754.8799999999992</v>
      </c>
      <c r="E128" s="649">
        <f t="shared" si="51"/>
        <v>4754.8799999999992</v>
      </c>
      <c r="F128" s="32"/>
      <c r="G128" s="47"/>
      <c r="H128" s="649">
        <f>H124</f>
        <v>1335.14</v>
      </c>
      <c r="I128" s="649">
        <f t="shared" ref="I128:AE128" si="52">I124</f>
        <v>647.77</v>
      </c>
      <c r="J128" s="649">
        <f t="shared" si="52"/>
        <v>999.81</v>
      </c>
      <c r="K128" s="649">
        <f t="shared" si="52"/>
        <v>935.9</v>
      </c>
      <c r="L128" s="649">
        <f t="shared" si="52"/>
        <v>657.75</v>
      </c>
      <c r="M128" s="649">
        <f t="shared" si="52"/>
        <v>655.78</v>
      </c>
      <c r="N128" s="649">
        <f t="shared" si="52"/>
        <v>1026.81</v>
      </c>
      <c r="O128" s="649">
        <f t="shared" si="52"/>
        <v>595.28</v>
      </c>
      <c r="P128" s="649">
        <f t="shared" si="52"/>
        <v>773.67</v>
      </c>
      <c r="Q128" s="649">
        <f t="shared" si="52"/>
        <v>940.87</v>
      </c>
      <c r="R128" s="649">
        <f t="shared" si="52"/>
        <v>836.9</v>
      </c>
      <c r="S128" s="649">
        <f t="shared" si="52"/>
        <v>979.28</v>
      </c>
      <c r="T128" s="649">
        <f t="shared" si="52"/>
        <v>1139.3699999999999</v>
      </c>
      <c r="U128" s="649">
        <f t="shared" si="52"/>
        <v>0</v>
      </c>
      <c r="V128" s="649">
        <f t="shared" si="52"/>
        <v>713.67</v>
      </c>
      <c r="W128" s="649">
        <f t="shared" si="52"/>
        <v>0</v>
      </c>
      <c r="X128" s="649">
        <f t="shared" si="52"/>
        <v>628.91999999999996</v>
      </c>
      <c r="Y128" s="649">
        <f t="shared" si="52"/>
        <v>0</v>
      </c>
      <c r="Z128" s="649">
        <f t="shared" si="52"/>
        <v>976.45</v>
      </c>
      <c r="AA128" s="649">
        <f t="shared" si="52"/>
        <v>0</v>
      </c>
      <c r="AB128" s="649">
        <f t="shared" si="52"/>
        <v>713.68</v>
      </c>
      <c r="AC128" s="649">
        <f t="shared" si="52"/>
        <v>0</v>
      </c>
      <c r="AD128" s="649">
        <f t="shared" si="52"/>
        <v>477.96</v>
      </c>
      <c r="AE128" s="649">
        <f t="shared" si="52"/>
        <v>0</v>
      </c>
      <c r="AF128" s="29"/>
      <c r="AG128" s="712"/>
    </row>
    <row r="129" spans="1:33" ht="18.75" x14ac:dyDescent="0.3">
      <c r="A129" s="13" t="s">
        <v>33</v>
      </c>
      <c r="B129" s="649">
        <f t="shared" si="51"/>
        <v>6573.3099999999995</v>
      </c>
      <c r="C129" s="649">
        <f t="shared" si="51"/>
        <v>3600.39</v>
      </c>
      <c r="D129" s="649">
        <f t="shared" si="51"/>
        <v>3480.1699999999996</v>
      </c>
      <c r="E129" s="649">
        <f t="shared" si="51"/>
        <v>3480.1699999999996</v>
      </c>
      <c r="F129" s="47">
        <f>D129/B129*100</f>
        <v>52.943950612400748</v>
      </c>
      <c r="G129" s="47">
        <f>E129/C129*100</f>
        <v>96.660917289515851</v>
      </c>
      <c r="H129" s="649">
        <f>H125</f>
        <v>855.75</v>
      </c>
      <c r="I129" s="649">
        <f t="shared" ref="I129:AE129" si="53">I125</f>
        <v>541.91999999999996</v>
      </c>
      <c r="J129" s="649">
        <f t="shared" si="53"/>
        <v>534.54999999999995</v>
      </c>
      <c r="K129" s="649">
        <f t="shared" si="53"/>
        <v>628.73</v>
      </c>
      <c r="L129" s="649">
        <f t="shared" si="53"/>
        <v>429.83</v>
      </c>
      <c r="M129" s="649">
        <f t="shared" si="53"/>
        <v>402.57</v>
      </c>
      <c r="N129" s="649">
        <f t="shared" si="53"/>
        <v>611.53</v>
      </c>
      <c r="O129" s="649">
        <f t="shared" si="53"/>
        <v>439.83</v>
      </c>
      <c r="P129" s="649">
        <f t="shared" si="53"/>
        <v>583.14</v>
      </c>
      <c r="Q129" s="649">
        <f t="shared" si="53"/>
        <v>726.48</v>
      </c>
      <c r="R129" s="649">
        <f t="shared" si="53"/>
        <v>585.59</v>
      </c>
      <c r="S129" s="649">
        <f t="shared" si="53"/>
        <v>740.64</v>
      </c>
      <c r="T129" s="649">
        <f t="shared" si="53"/>
        <v>611.53</v>
      </c>
      <c r="U129" s="649">
        <f t="shared" si="53"/>
        <v>0</v>
      </c>
      <c r="V129" s="649">
        <f t="shared" si="53"/>
        <v>484.7</v>
      </c>
      <c r="W129" s="649">
        <f t="shared" si="53"/>
        <v>0</v>
      </c>
      <c r="X129" s="649">
        <f t="shared" si="53"/>
        <v>429.82</v>
      </c>
      <c r="Y129" s="649">
        <f t="shared" si="53"/>
        <v>0</v>
      </c>
      <c r="Z129" s="649">
        <f t="shared" si="53"/>
        <v>611.53</v>
      </c>
      <c r="AA129" s="649">
        <f t="shared" si="53"/>
        <v>0</v>
      </c>
      <c r="AB129" s="649">
        <f t="shared" si="53"/>
        <v>484.7</v>
      </c>
      <c r="AC129" s="649">
        <f t="shared" si="53"/>
        <v>0</v>
      </c>
      <c r="AD129" s="649">
        <f t="shared" si="53"/>
        <v>350.64</v>
      </c>
      <c r="AE129" s="649">
        <f t="shared" si="53"/>
        <v>0</v>
      </c>
      <c r="AF129" s="29"/>
      <c r="AG129" s="712"/>
    </row>
    <row r="130" spans="1:33" ht="37.5" x14ac:dyDescent="0.3">
      <c r="A130" s="56" t="s">
        <v>63</v>
      </c>
      <c r="B130" s="649">
        <f>B52+B98+B123</f>
        <v>33194.81</v>
      </c>
      <c r="C130" s="649">
        <f>C131+C132+C133</f>
        <v>17007.150000000001</v>
      </c>
      <c r="D130" s="649">
        <f>D131+D132+D133</f>
        <v>13322.349999999999</v>
      </c>
      <c r="E130" s="649">
        <f>I130+K130+M130+O130+Q130+S130+U130+W130+Y130+AA130+AC130+AE130</f>
        <v>15379.02</v>
      </c>
      <c r="F130" s="32">
        <f>E130/B130*100</f>
        <v>46.329591884996482</v>
      </c>
      <c r="G130" s="47">
        <f>E130/C130*100</f>
        <v>90.426791084926037</v>
      </c>
      <c r="H130" s="649">
        <f>H131+H132+H133</f>
        <v>3567.17</v>
      </c>
      <c r="I130" s="649">
        <f t="shared" ref="I130:AE130" si="54">I131+I132+I133</f>
        <v>2287.75</v>
      </c>
      <c r="J130" s="649">
        <f t="shared" si="54"/>
        <v>2802.68</v>
      </c>
      <c r="K130" s="649">
        <f t="shared" si="54"/>
        <v>2834.8</v>
      </c>
      <c r="L130" s="649">
        <f t="shared" si="54"/>
        <v>2315.52</v>
      </c>
      <c r="M130" s="649">
        <f t="shared" si="54"/>
        <v>2027.49</v>
      </c>
      <c r="N130" s="649">
        <f t="shared" si="54"/>
        <v>3014.24</v>
      </c>
      <c r="O130" s="649">
        <f t="shared" si="54"/>
        <v>2111.66</v>
      </c>
      <c r="P130" s="649">
        <f t="shared" si="54"/>
        <v>2787.59</v>
      </c>
      <c r="Q130" s="649">
        <f t="shared" si="54"/>
        <v>3450.31</v>
      </c>
      <c r="R130" s="649">
        <f t="shared" si="54"/>
        <v>2553.08</v>
      </c>
      <c r="S130" s="649">
        <f t="shared" si="54"/>
        <v>2662.35</v>
      </c>
      <c r="T130" s="649">
        <f t="shared" si="54"/>
        <v>3148.68</v>
      </c>
      <c r="U130" s="649">
        <f t="shared" si="54"/>
        <v>4.66</v>
      </c>
      <c r="V130" s="649">
        <f t="shared" si="54"/>
        <v>2221.94</v>
      </c>
      <c r="W130" s="649">
        <f t="shared" si="54"/>
        <v>0</v>
      </c>
      <c r="X130" s="649">
        <f t="shared" si="54"/>
        <v>2061.13</v>
      </c>
      <c r="Y130" s="649">
        <f t="shared" si="54"/>
        <v>0</v>
      </c>
      <c r="Z130" s="649">
        <f t="shared" si="54"/>
        <v>3723.87</v>
      </c>
      <c r="AA130" s="649">
        <f t="shared" si="54"/>
        <v>0</v>
      </c>
      <c r="AB130" s="649">
        <f t="shared" si="54"/>
        <v>2222.09</v>
      </c>
      <c r="AC130" s="649">
        <f t="shared" si="54"/>
        <v>0</v>
      </c>
      <c r="AD130" s="649">
        <f t="shared" si="54"/>
        <v>2451.02</v>
      </c>
      <c r="AE130" s="649">
        <f t="shared" si="54"/>
        <v>0</v>
      </c>
      <c r="AF130" s="29"/>
      <c r="AG130" s="712"/>
    </row>
    <row r="131" spans="1:33" ht="18.75" x14ac:dyDescent="0.3">
      <c r="A131" s="15" t="s">
        <v>102</v>
      </c>
      <c r="B131" s="649">
        <f>B59</f>
        <v>2.8</v>
      </c>
      <c r="C131" s="649">
        <f>C23</f>
        <v>2.8</v>
      </c>
      <c r="D131" s="649">
        <f>D23</f>
        <v>2.79</v>
      </c>
      <c r="E131" s="649">
        <f>E23</f>
        <v>2.79</v>
      </c>
      <c r="F131" s="32"/>
      <c r="G131" s="47"/>
      <c r="H131" s="649">
        <f t="shared" ref="H131:AE131" si="55">H23</f>
        <v>0</v>
      </c>
      <c r="I131" s="649">
        <f t="shared" si="55"/>
        <v>0</v>
      </c>
      <c r="J131" s="649">
        <f t="shared" si="55"/>
        <v>0</v>
      </c>
      <c r="K131" s="649">
        <f t="shared" si="55"/>
        <v>0</v>
      </c>
      <c r="L131" s="649">
        <f t="shared" si="55"/>
        <v>0</v>
      </c>
      <c r="M131" s="649">
        <f t="shared" si="55"/>
        <v>0</v>
      </c>
      <c r="N131" s="649">
        <f t="shared" si="55"/>
        <v>0</v>
      </c>
      <c r="O131" s="649">
        <f t="shared" si="55"/>
        <v>0</v>
      </c>
      <c r="P131" s="649">
        <f t="shared" si="55"/>
        <v>2.8</v>
      </c>
      <c r="Q131" s="649">
        <f t="shared" si="55"/>
        <v>2.79</v>
      </c>
      <c r="R131" s="649">
        <f t="shared" si="55"/>
        <v>0</v>
      </c>
      <c r="S131" s="649">
        <f t="shared" si="55"/>
        <v>0</v>
      </c>
      <c r="T131" s="649">
        <f t="shared" si="55"/>
        <v>0</v>
      </c>
      <c r="U131" s="649">
        <f t="shared" si="55"/>
        <v>0</v>
      </c>
      <c r="V131" s="649">
        <f t="shared" si="55"/>
        <v>0</v>
      </c>
      <c r="W131" s="649">
        <f t="shared" si="55"/>
        <v>0</v>
      </c>
      <c r="X131" s="649">
        <f t="shared" si="55"/>
        <v>0</v>
      </c>
      <c r="Y131" s="649">
        <f t="shared" si="55"/>
        <v>0</v>
      </c>
      <c r="Z131" s="649">
        <f t="shared" si="55"/>
        <v>0</v>
      </c>
      <c r="AA131" s="649">
        <f t="shared" si="55"/>
        <v>0</v>
      </c>
      <c r="AB131" s="649">
        <f t="shared" si="55"/>
        <v>0</v>
      </c>
      <c r="AC131" s="649">
        <f t="shared" si="55"/>
        <v>0</v>
      </c>
      <c r="AD131" s="649">
        <f t="shared" si="55"/>
        <v>0</v>
      </c>
      <c r="AE131" s="649">
        <f t="shared" si="55"/>
        <v>0</v>
      </c>
      <c r="AF131" s="29"/>
      <c r="AG131" s="712"/>
    </row>
    <row r="132" spans="1:33" ht="18.75" x14ac:dyDescent="0.3">
      <c r="A132" s="15" t="s">
        <v>97</v>
      </c>
      <c r="B132" s="649">
        <f>B54+B124</f>
        <v>13609.61</v>
      </c>
      <c r="C132" s="649">
        <f>C11+C19+C121</f>
        <v>6614.579999999999</v>
      </c>
      <c r="D132" s="649">
        <f>D11+D19+D121</f>
        <v>6434.0699999999988</v>
      </c>
      <c r="E132" s="649">
        <f>I132+K132+M132+O132+Q132+S132+U132+W132+Y132+AA132+AC132</f>
        <v>6434.07</v>
      </c>
      <c r="F132" s="32"/>
      <c r="G132" s="47"/>
      <c r="H132" s="649">
        <f>H54+H124</f>
        <v>1678.91</v>
      </c>
      <c r="I132" s="649">
        <f t="shared" ref="I132:AE132" si="56">I11+I19+I121</f>
        <v>896.48</v>
      </c>
      <c r="J132" s="649">
        <f t="shared" si="56"/>
        <v>1216.48</v>
      </c>
      <c r="K132" s="649">
        <f t="shared" si="56"/>
        <v>1187.53</v>
      </c>
      <c r="L132" s="649">
        <f t="shared" si="56"/>
        <v>1043.74</v>
      </c>
      <c r="M132" s="649">
        <f t="shared" si="56"/>
        <v>974.46</v>
      </c>
      <c r="N132" s="649">
        <f t="shared" si="56"/>
        <v>1378.87</v>
      </c>
      <c r="O132" s="649">
        <f t="shared" si="56"/>
        <v>904.14</v>
      </c>
      <c r="P132" s="649">
        <f t="shared" si="56"/>
        <v>1079.8899999999999</v>
      </c>
      <c r="Q132" s="649">
        <f t="shared" si="56"/>
        <v>1204.04</v>
      </c>
      <c r="R132" s="649">
        <f t="shared" si="56"/>
        <v>1115.3599999999999</v>
      </c>
      <c r="S132" s="649">
        <f t="shared" si="56"/>
        <v>1267.42</v>
      </c>
      <c r="T132" s="649">
        <f t="shared" si="56"/>
        <v>1559.6299999999999</v>
      </c>
      <c r="U132" s="649">
        <f t="shared" si="56"/>
        <v>0</v>
      </c>
      <c r="V132" s="649">
        <f t="shared" si="56"/>
        <v>885.27</v>
      </c>
      <c r="W132" s="649">
        <f t="shared" si="56"/>
        <v>0</v>
      </c>
      <c r="X132" s="649">
        <f t="shared" si="56"/>
        <v>779.18</v>
      </c>
      <c r="Y132" s="649">
        <f t="shared" si="56"/>
        <v>0</v>
      </c>
      <c r="Z132" s="649">
        <f t="shared" si="56"/>
        <v>1245.1300000000001</v>
      </c>
      <c r="AA132" s="649">
        <f t="shared" si="56"/>
        <v>0</v>
      </c>
      <c r="AB132" s="649">
        <f t="shared" si="56"/>
        <v>885.29</v>
      </c>
      <c r="AC132" s="649">
        <f t="shared" si="56"/>
        <v>0</v>
      </c>
      <c r="AD132" s="649">
        <f t="shared" si="56"/>
        <v>741.86</v>
      </c>
      <c r="AE132" s="649">
        <f t="shared" si="56"/>
        <v>0</v>
      </c>
      <c r="AF132" s="29"/>
      <c r="AG132" s="712"/>
    </row>
    <row r="133" spans="1:33" ht="18.75" x14ac:dyDescent="0.3">
      <c r="A133" s="15" t="s">
        <v>33</v>
      </c>
      <c r="B133" s="649">
        <f>B55+B99+B125</f>
        <v>19582.400000000001</v>
      </c>
      <c r="C133" s="649">
        <f>C12+C16+C20+C26+C41+C66+C72+C78+C107+C117</f>
        <v>10389.77</v>
      </c>
      <c r="D133" s="649">
        <f>D12+D16+D20+D26+D41+D66+D72+D78+D107+D117</f>
        <v>6885.49</v>
      </c>
      <c r="E133" s="649">
        <f>I133+K133+M133+O133+Q133+S133+U133+W133+Y133+AA133+AC133+AE133</f>
        <v>8942.16</v>
      </c>
      <c r="F133" s="32">
        <f>E133/B133*100</f>
        <v>45.664269956695804</v>
      </c>
      <c r="G133" s="47">
        <f>E133/C133*100</f>
        <v>86.066967796207223</v>
      </c>
      <c r="H133" s="649">
        <f>H55+H125</f>
        <v>1888.26</v>
      </c>
      <c r="I133" s="649">
        <f>I55+I99+I125</f>
        <v>1391.27</v>
      </c>
      <c r="J133" s="649">
        <f>J55+J102+J125</f>
        <v>1586.1999999999998</v>
      </c>
      <c r="K133" s="649">
        <f t="shared" ref="K133:AE133" si="57">K55+K99+K125</f>
        <v>1647.27</v>
      </c>
      <c r="L133" s="649">
        <f t="shared" si="57"/>
        <v>1271.78</v>
      </c>
      <c r="M133" s="649">
        <f t="shared" si="57"/>
        <v>1053.03</v>
      </c>
      <c r="N133" s="649">
        <f t="shared" si="57"/>
        <v>1635.37</v>
      </c>
      <c r="O133" s="649">
        <f t="shared" si="57"/>
        <v>1207.52</v>
      </c>
      <c r="P133" s="649">
        <f t="shared" si="57"/>
        <v>1704.9</v>
      </c>
      <c r="Q133" s="649">
        <f t="shared" si="57"/>
        <v>2243.48</v>
      </c>
      <c r="R133" s="649">
        <f t="shared" si="57"/>
        <v>1437.72</v>
      </c>
      <c r="S133" s="649">
        <f t="shared" si="57"/>
        <v>1394.9299999999998</v>
      </c>
      <c r="T133" s="649">
        <f t="shared" si="57"/>
        <v>1589.05</v>
      </c>
      <c r="U133" s="649">
        <f t="shared" si="57"/>
        <v>4.66</v>
      </c>
      <c r="V133" s="649">
        <f t="shared" si="57"/>
        <v>1336.67</v>
      </c>
      <c r="W133" s="649">
        <f t="shared" si="57"/>
        <v>0</v>
      </c>
      <c r="X133" s="649">
        <f t="shared" si="57"/>
        <v>1281.95</v>
      </c>
      <c r="Y133" s="649">
        <f t="shared" si="57"/>
        <v>0</v>
      </c>
      <c r="Z133" s="649">
        <f t="shared" si="57"/>
        <v>2478.7399999999998</v>
      </c>
      <c r="AA133" s="649">
        <f t="shared" si="57"/>
        <v>0</v>
      </c>
      <c r="AB133" s="649">
        <f t="shared" si="57"/>
        <v>1336.8</v>
      </c>
      <c r="AC133" s="649">
        <f t="shared" si="57"/>
        <v>0</v>
      </c>
      <c r="AD133" s="649">
        <f t="shared" si="57"/>
        <v>1709.1599999999999</v>
      </c>
      <c r="AE133" s="649">
        <f t="shared" si="57"/>
        <v>0</v>
      </c>
      <c r="AF133" s="29"/>
      <c r="AG133" s="712"/>
    </row>
    <row r="134" spans="1:33" ht="37.5" x14ac:dyDescent="0.3">
      <c r="A134" s="74" t="s">
        <v>130</v>
      </c>
      <c r="B134" s="649">
        <f>K143+B56</f>
        <v>65.319999999999993</v>
      </c>
      <c r="C134" s="649">
        <f>C56</f>
        <v>32.659999999999997</v>
      </c>
      <c r="D134" s="649">
        <f>D56</f>
        <v>16.329999999999998</v>
      </c>
      <c r="E134" s="649">
        <f>E56</f>
        <v>16.329999999999998</v>
      </c>
      <c r="F134" s="32">
        <f>E134/B134*100</f>
        <v>25</v>
      </c>
      <c r="G134" s="47">
        <f>E134/C134*100</f>
        <v>50</v>
      </c>
      <c r="H134" s="649">
        <f t="shared" ref="H134:AE134" si="58">H56</f>
        <v>0</v>
      </c>
      <c r="I134" s="649">
        <f t="shared" si="58"/>
        <v>0</v>
      </c>
      <c r="J134" s="649">
        <f t="shared" si="58"/>
        <v>0</v>
      </c>
      <c r="K134" s="649">
        <f t="shared" si="58"/>
        <v>0</v>
      </c>
      <c r="L134" s="649">
        <f t="shared" si="58"/>
        <v>0</v>
      </c>
      <c r="M134" s="649">
        <f t="shared" si="58"/>
        <v>0</v>
      </c>
      <c r="N134" s="649">
        <f t="shared" si="58"/>
        <v>16.329999999999998</v>
      </c>
      <c r="O134" s="649">
        <f t="shared" si="58"/>
        <v>16.329999999999998</v>
      </c>
      <c r="P134" s="649">
        <f t="shared" si="58"/>
        <v>0</v>
      </c>
      <c r="Q134" s="649">
        <f t="shared" si="58"/>
        <v>0</v>
      </c>
      <c r="R134" s="649">
        <f t="shared" si="58"/>
        <v>0</v>
      </c>
      <c r="S134" s="649">
        <f t="shared" si="58"/>
        <v>0</v>
      </c>
      <c r="T134" s="649">
        <f t="shared" si="58"/>
        <v>16.329999999999998</v>
      </c>
      <c r="U134" s="649">
        <f t="shared" si="58"/>
        <v>0</v>
      </c>
      <c r="V134" s="649">
        <f t="shared" si="58"/>
        <v>0</v>
      </c>
      <c r="W134" s="649">
        <f t="shared" si="58"/>
        <v>0</v>
      </c>
      <c r="X134" s="649">
        <f t="shared" si="58"/>
        <v>0</v>
      </c>
      <c r="Y134" s="649">
        <f t="shared" si="58"/>
        <v>0</v>
      </c>
      <c r="Z134" s="649">
        <f t="shared" si="58"/>
        <v>16.329999999999998</v>
      </c>
      <c r="AA134" s="649">
        <f t="shared" si="58"/>
        <v>0</v>
      </c>
      <c r="AB134" s="649">
        <f t="shared" si="58"/>
        <v>0</v>
      </c>
      <c r="AC134" s="649">
        <f t="shared" si="58"/>
        <v>0</v>
      </c>
      <c r="AD134" s="649">
        <f t="shared" si="58"/>
        <v>16.329999999999998</v>
      </c>
      <c r="AE134" s="649">
        <f t="shared" si="58"/>
        <v>0</v>
      </c>
      <c r="AF134" s="29"/>
      <c r="AG134" s="712"/>
    </row>
    <row r="135" spans="1:33" ht="37.5" x14ac:dyDescent="0.3">
      <c r="A135" s="57" t="s">
        <v>64</v>
      </c>
      <c r="B135" s="649">
        <f>B136+B137+B138</f>
        <v>33194.81</v>
      </c>
      <c r="C135" s="649">
        <f>C136+C137+C138</f>
        <v>17007.150000000001</v>
      </c>
      <c r="D135" s="649">
        <f>D136+D137+D138</f>
        <v>13322.349999999999</v>
      </c>
      <c r="E135" s="649">
        <f>E136+E137+E138</f>
        <v>15379.02</v>
      </c>
      <c r="F135" s="32">
        <f>E135/B135*100</f>
        <v>46.329591884996482</v>
      </c>
      <c r="G135" s="47">
        <f>E135/C135*100</f>
        <v>90.426791084926037</v>
      </c>
      <c r="H135" s="649">
        <f>H136+H137+H138</f>
        <v>3567.17</v>
      </c>
      <c r="I135" s="649">
        <f t="shared" ref="I135:AE135" si="59">I136+I137+I138</f>
        <v>2287.75</v>
      </c>
      <c r="J135" s="649">
        <f t="shared" si="59"/>
        <v>2802.68</v>
      </c>
      <c r="K135" s="649">
        <f t="shared" si="59"/>
        <v>2834.8</v>
      </c>
      <c r="L135" s="649">
        <f t="shared" si="59"/>
        <v>2315.52</v>
      </c>
      <c r="M135" s="649">
        <f t="shared" si="59"/>
        <v>2027.49</v>
      </c>
      <c r="N135" s="649">
        <f t="shared" si="59"/>
        <v>3014.24</v>
      </c>
      <c r="O135" s="649">
        <f t="shared" si="59"/>
        <v>2111.66</v>
      </c>
      <c r="P135" s="649">
        <f t="shared" si="59"/>
        <v>2787.59</v>
      </c>
      <c r="Q135" s="649">
        <f t="shared" si="59"/>
        <v>3450.31</v>
      </c>
      <c r="R135" s="649">
        <f t="shared" si="59"/>
        <v>2553.08</v>
      </c>
      <c r="S135" s="649">
        <f t="shared" si="59"/>
        <v>2662.35</v>
      </c>
      <c r="T135" s="649">
        <f t="shared" si="59"/>
        <v>3148.68</v>
      </c>
      <c r="U135" s="649">
        <f t="shared" si="59"/>
        <v>4.66</v>
      </c>
      <c r="V135" s="649">
        <f t="shared" si="59"/>
        <v>2221.94</v>
      </c>
      <c r="W135" s="649">
        <f t="shared" si="59"/>
        <v>0</v>
      </c>
      <c r="X135" s="649">
        <f t="shared" si="59"/>
        <v>2061.13</v>
      </c>
      <c r="Y135" s="649">
        <f t="shared" si="59"/>
        <v>0</v>
      </c>
      <c r="Z135" s="649">
        <f t="shared" si="59"/>
        <v>3723.87</v>
      </c>
      <c r="AA135" s="649">
        <f t="shared" si="59"/>
        <v>0</v>
      </c>
      <c r="AB135" s="649">
        <f t="shared" si="59"/>
        <v>2222.09</v>
      </c>
      <c r="AC135" s="649">
        <f t="shared" si="59"/>
        <v>0</v>
      </c>
      <c r="AD135" s="649">
        <f t="shared" si="59"/>
        <v>2451.02</v>
      </c>
      <c r="AE135" s="649">
        <f t="shared" si="59"/>
        <v>0</v>
      </c>
      <c r="AF135" s="29"/>
      <c r="AG135" s="712"/>
    </row>
    <row r="136" spans="1:33" ht="18.75" x14ac:dyDescent="0.3">
      <c r="A136" s="15" t="s">
        <v>102</v>
      </c>
      <c r="B136" s="649">
        <f t="shared" ref="B136:E139" si="60">B131</f>
        <v>2.8</v>
      </c>
      <c r="C136" s="649">
        <f t="shared" si="60"/>
        <v>2.8</v>
      </c>
      <c r="D136" s="649">
        <f t="shared" si="60"/>
        <v>2.79</v>
      </c>
      <c r="E136" s="649">
        <f t="shared" si="60"/>
        <v>2.79</v>
      </c>
      <c r="F136" s="32"/>
      <c r="G136" s="47"/>
      <c r="H136" s="649">
        <f>H131</f>
        <v>0</v>
      </c>
      <c r="I136" s="649">
        <f t="shared" ref="I136:AE136" si="61">I131</f>
        <v>0</v>
      </c>
      <c r="J136" s="649">
        <f t="shared" si="61"/>
        <v>0</v>
      </c>
      <c r="K136" s="649">
        <f t="shared" si="61"/>
        <v>0</v>
      </c>
      <c r="L136" s="649">
        <f t="shared" si="61"/>
        <v>0</v>
      </c>
      <c r="M136" s="649">
        <f t="shared" si="61"/>
        <v>0</v>
      </c>
      <c r="N136" s="649">
        <f t="shared" si="61"/>
        <v>0</v>
      </c>
      <c r="O136" s="649">
        <f t="shared" si="61"/>
        <v>0</v>
      </c>
      <c r="P136" s="649">
        <f t="shared" si="61"/>
        <v>2.8</v>
      </c>
      <c r="Q136" s="649">
        <f t="shared" si="61"/>
        <v>2.79</v>
      </c>
      <c r="R136" s="649">
        <f t="shared" si="61"/>
        <v>0</v>
      </c>
      <c r="S136" s="649">
        <f t="shared" si="61"/>
        <v>0</v>
      </c>
      <c r="T136" s="649">
        <f t="shared" si="61"/>
        <v>0</v>
      </c>
      <c r="U136" s="649">
        <f t="shared" si="61"/>
        <v>0</v>
      </c>
      <c r="V136" s="649">
        <f t="shared" si="61"/>
        <v>0</v>
      </c>
      <c r="W136" s="649">
        <f t="shared" si="61"/>
        <v>0</v>
      </c>
      <c r="X136" s="649">
        <f t="shared" si="61"/>
        <v>0</v>
      </c>
      <c r="Y136" s="649">
        <f t="shared" si="61"/>
        <v>0</v>
      </c>
      <c r="Z136" s="649">
        <f t="shared" si="61"/>
        <v>0</v>
      </c>
      <c r="AA136" s="649">
        <f t="shared" si="61"/>
        <v>0</v>
      </c>
      <c r="AB136" s="649">
        <f t="shared" si="61"/>
        <v>0</v>
      </c>
      <c r="AC136" s="649">
        <f t="shared" si="61"/>
        <v>0</v>
      </c>
      <c r="AD136" s="649">
        <f t="shared" si="61"/>
        <v>0</v>
      </c>
      <c r="AE136" s="649">
        <f t="shared" si="61"/>
        <v>0</v>
      </c>
      <c r="AF136" s="29"/>
      <c r="AG136" s="712"/>
    </row>
    <row r="137" spans="1:33" ht="18.75" x14ac:dyDescent="0.3">
      <c r="A137" s="15" t="s">
        <v>97</v>
      </c>
      <c r="B137" s="649">
        <f t="shared" si="60"/>
        <v>13609.61</v>
      </c>
      <c r="C137" s="649">
        <f t="shared" si="60"/>
        <v>6614.579999999999</v>
      </c>
      <c r="D137" s="649">
        <f t="shared" si="60"/>
        <v>6434.0699999999988</v>
      </c>
      <c r="E137" s="649">
        <f t="shared" si="60"/>
        <v>6434.07</v>
      </c>
      <c r="F137" s="32"/>
      <c r="G137" s="47"/>
      <c r="H137" s="649">
        <f>H132</f>
        <v>1678.91</v>
      </c>
      <c r="I137" s="649">
        <f t="shared" ref="I137:AE137" si="62">I132</f>
        <v>896.48</v>
      </c>
      <c r="J137" s="649">
        <f t="shared" si="62"/>
        <v>1216.48</v>
      </c>
      <c r="K137" s="649">
        <f t="shared" si="62"/>
        <v>1187.53</v>
      </c>
      <c r="L137" s="649">
        <f t="shared" si="62"/>
        <v>1043.74</v>
      </c>
      <c r="M137" s="649">
        <f t="shared" si="62"/>
        <v>974.46</v>
      </c>
      <c r="N137" s="649">
        <f t="shared" si="62"/>
        <v>1378.87</v>
      </c>
      <c r="O137" s="649">
        <f t="shared" si="62"/>
        <v>904.14</v>
      </c>
      <c r="P137" s="649">
        <f t="shared" si="62"/>
        <v>1079.8899999999999</v>
      </c>
      <c r="Q137" s="649">
        <f t="shared" si="62"/>
        <v>1204.04</v>
      </c>
      <c r="R137" s="649">
        <f t="shared" si="62"/>
        <v>1115.3599999999999</v>
      </c>
      <c r="S137" s="649">
        <f t="shared" si="62"/>
        <v>1267.42</v>
      </c>
      <c r="T137" s="649">
        <f t="shared" si="62"/>
        <v>1559.6299999999999</v>
      </c>
      <c r="U137" s="649">
        <f t="shared" si="62"/>
        <v>0</v>
      </c>
      <c r="V137" s="649">
        <f t="shared" si="62"/>
        <v>885.27</v>
      </c>
      <c r="W137" s="649">
        <f t="shared" si="62"/>
        <v>0</v>
      </c>
      <c r="X137" s="649">
        <f t="shared" si="62"/>
        <v>779.18</v>
      </c>
      <c r="Y137" s="649">
        <f t="shared" si="62"/>
        <v>0</v>
      </c>
      <c r="Z137" s="649">
        <f t="shared" si="62"/>
        <v>1245.1300000000001</v>
      </c>
      <c r="AA137" s="649">
        <f t="shared" si="62"/>
        <v>0</v>
      </c>
      <c r="AB137" s="649">
        <f t="shared" si="62"/>
        <v>885.29</v>
      </c>
      <c r="AC137" s="649">
        <f t="shared" si="62"/>
        <v>0</v>
      </c>
      <c r="AD137" s="649">
        <f t="shared" si="62"/>
        <v>741.86</v>
      </c>
      <c r="AE137" s="649">
        <f t="shared" si="62"/>
        <v>0</v>
      </c>
      <c r="AF137" s="29"/>
      <c r="AG137" s="712"/>
    </row>
    <row r="138" spans="1:33" ht="18.75" x14ac:dyDescent="0.3">
      <c r="A138" s="15" t="s">
        <v>33</v>
      </c>
      <c r="B138" s="649">
        <f t="shared" si="60"/>
        <v>19582.400000000001</v>
      </c>
      <c r="C138" s="649">
        <f t="shared" si="60"/>
        <v>10389.77</v>
      </c>
      <c r="D138" s="649">
        <f t="shared" si="60"/>
        <v>6885.49</v>
      </c>
      <c r="E138" s="649">
        <f t="shared" si="60"/>
        <v>8942.16</v>
      </c>
      <c r="F138" s="32">
        <f>E138/B138*100</f>
        <v>45.664269956695804</v>
      </c>
      <c r="G138" s="47">
        <f>E138/C138*100</f>
        <v>86.066967796207223</v>
      </c>
      <c r="H138" s="649">
        <f>H133</f>
        <v>1888.26</v>
      </c>
      <c r="I138" s="649">
        <f t="shared" ref="I138:AE138" si="63">I133</f>
        <v>1391.27</v>
      </c>
      <c r="J138" s="649">
        <f t="shared" si="63"/>
        <v>1586.1999999999998</v>
      </c>
      <c r="K138" s="649">
        <f t="shared" si="63"/>
        <v>1647.27</v>
      </c>
      <c r="L138" s="649">
        <f t="shared" si="63"/>
        <v>1271.78</v>
      </c>
      <c r="M138" s="649">
        <f t="shared" si="63"/>
        <v>1053.03</v>
      </c>
      <c r="N138" s="649">
        <f t="shared" si="63"/>
        <v>1635.37</v>
      </c>
      <c r="O138" s="649">
        <f t="shared" si="63"/>
        <v>1207.52</v>
      </c>
      <c r="P138" s="649">
        <f t="shared" si="63"/>
        <v>1704.9</v>
      </c>
      <c r="Q138" s="649">
        <f t="shared" si="63"/>
        <v>2243.48</v>
      </c>
      <c r="R138" s="649">
        <f t="shared" si="63"/>
        <v>1437.72</v>
      </c>
      <c r="S138" s="649">
        <f t="shared" si="63"/>
        <v>1394.9299999999998</v>
      </c>
      <c r="T138" s="649">
        <f t="shared" si="63"/>
        <v>1589.05</v>
      </c>
      <c r="U138" s="649">
        <f t="shared" si="63"/>
        <v>4.66</v>
      </c>
      <c r="V138" s="649">
        <f t="shared" si="63"/>
        <v>1336.67</v>
      </c>
      <c r="W138" s="649">
        <f t="shared" si="63"/>
        <v>0</v>
      </c>
      <c r="X138" s="649">
        <f t="shared" si="63"/>
        <v>1281.95</v>
      </c>
      <c r="Y138" s="649">
        <f t="shared" si="63"/>
        <v>0</v>
      </c>
      <c r="Z138" s="649">
        <f t="shared" si="63"/>
        <v>2478.7399999999998</v>
      </c>
      <c r="AA138" s="649">
        <f t="shared" si="63"/>
        <v>0</v>
      </c>
      <c r="AB138" s="649">
        <f t="shared" si="63"/>
        <v>1336.8</v>
      </c>
      <c r="AC138" s="649">
        <f t="shared" si="63"/>
        <v>0</v>
      </c>
      <c r="AD138" s="649">
        <f t="shared" si="63"/>
        <v>1709.1599999999999</v>
      </c>
      <c r="AE138" s="649">
        <f t="shared" si="63"/>
        <v>0</v>
      </c>
      <c r="AF138" s="29"/>
      <c r="AG138" s="712"/>
    </row>
    <row r="139" spans="1:33" ht="37.5" x14ac:dyDescent="0.3">
      <c r="A139" s="75" t="s">
        <v>130</v>
      </c>
      <c r="B139" s="41">
        <f t="shared" si="60"/>
        <v>65.319999999999993</v>
      </c>
      <c r="C139" s="41">
        <f t="shared" si="60"/>
        <v>32.659999999999997</v>
      </c>
      <c r="D139" s="41">
        <f t="shared" si="60"/>
        <v>16.329999999999998</v>
      </c>
      <c r="E139" s="41">
        <f t="shared" si="60"/>
        <v>16.329999999999998</v>
      </c>
      <c r="F139" s="32">
        <f>E139/B139*100</f>
        <v>25</v>
      </c>
      <c r="G139" s="47">
        <f>E139/C139*100</f>
        <v>50</v>
      </c>
      <c r="H139" s="41">
        <f>H134</f>
        <v>0</v>
      </c>
      <c r="I139" s="41">
        <f t="shared" ref="I139:AE139" si="64">I134</f>
        <v>0</v>
      </c>
      <c r="J139" s="41">
        <f t="shared" si="64"/>
        <v>0</v>
      </c>
      <c r="K139" s="41">
        <f t="shared" si="64"/>
        <v>0</v>
      </c>
      <c r="L139" s="41">
        <f t="shared" si="64"/>
        <v>0</v>
      </c>
      <c r="M139" s="41">
        <f t="shared" si="64"/>
        <v>0</v>
      </c>
      <c r="N139" s="41">
        <f t="shared" si="64"/>
        <v>16.329999999999998</v>
      </c>
      <c r="O139" s="41">
        <f t="shared" si="64"/>
        <v>16.329999999999998</v>
      </c>
      <c r="P139" s="41">
        <f t="shared" si="64"/>
        <v>0</v>
      </c>
      <c r="Q139" s="41">
        <f t="shared" si="64"/>
        <v>0</v>
      </c>
      <c r="R139" s="41">
        <f t="shared" si="64"/>
        <v>0</v>
      </c>
      <c r="S139" s="41">
        <f t="shared" si="64"/>
        <v>0</v>
      </c>
      <c r="T139" s="41">
        <f t="shared" si="64"/>
        <v>16.329999999999998</v>
      </c>
      <c r="U139" s="41">
        <f t="shared" si="64"/>
        <v>0</v>
      </c>
      <c r="V139" s="41">
        <f t="shared" si="64"/>
        <v>0</v>
      </c>
      <c r="W139" s="41">
        <f t="shared" si="64"/>
        <v>0</v>
      </c>
      <c r="X139" s="41">
        <f t="shared" si="64"/>
        <v>0</v>
      </c>
      <c r="Y139" s="41">
        <f t="shared" si="64"/>
        <v>0</v>
      </c>
      <c r="Z139" s="41">
        <f t="shared" si="64"/>
        <v>16.329999999999998</v>
      </c>
      <c r="AA139" s="41">
        <f t="shared" si="64"/>
        <v>0</v>
      </c>
      <c r="AB139" s="41">
        <f t="shared" si="64"/>
        <v>0</v>
      </c>
      <c r="AC139" s="41">
        <f t="shared" si="64"/>
        <v>0</v>
      </c>
      <c r="AD139" s="41">
        <f t="shared" si="64"/>
        <v>16.329999999999998</v>
      </c>
      <c r="AE139" s="41">
        <f t="shared" si="64"/>
        <v>0</v>
      </c>
      <c r="AF139" s="29"/>
      <c r="AG139" s="712"/>
    </row>
    <row r="140" spans="1:33" ht="19.5" x14ac:dyDescent="0.3">
      <c r="B140" s="763"/>
      <c r="C140" s="764"/>
      <c r="D140" s="764"/>
      <c r="E140" s="764"/>
    </row>
    <row r="141" spans="1:33" x14ac:dyDescent="0.25">
      <c r="B141" s="71"/>
      <c r="C141" s="71"/>
    </row>
    <row r="142" spans="1:33" x14ac:dyDescent="0.25">
      <c r="B142" s="71"/>
    </row>
    <row r="143" spans="1:33" ht="37.5" x14ac:dyDescent="0.3">
      <c r="A143" s="775" t="s">
        <v>71</v>
      </c>
      <c r="B143" s="776"/>
      <c r="C143" s="776"/>
      <c r="D143" s="777" t="s">
        <v>524</v>
      </c>
      <c r="E143" s="774"/>
    </row>
    <row r="144" spans="1:33" ht="18.75" x14ac:dyDescent="0.3">
      <c r="A144" s="775"/>
      <c r="B144" s="778" t="s">
        <v>68</v>
      </c>
      <c r="C144" s="778"/>
      <c r="D144" s="779"/>
    </row>
    <row r="145" spans="1:4" ht="56.25" x14ac:dyDescent="0.3">
      <c r="A145" s="780" t="s">
        <v>525</v>
      </c>
      <c r="B145" s="780"/>
      <c r="C145" s="780"/>
      <c r="D145" s="775"/>
    </row>
    <row r="146" spans="1:4" x14ac:dyDescent="0.25">
      <c r="A146" s="781"/>
      <c r="B146" s="782"/>
      <c r="C146" s="782"/>
      <c r="D146" s="782"/>
    </row>
  </sheetData>
  <customSheetViews>
    <customSheetView guid="{7C130984-112A-4861-AA43-E2940708E3DC}" scale="55" state="hidden">
      <pane xSplit="5" ySplit="6" topLeftCell="AC107" activePane="bottomRight" state="frozen"/>
      <selection pane="bottomRight" activeCell="AF119" sqref="AF119"/>
      <pageMargins left="0.70866141732283472" right="0.70866141732283472" top="0.74803149606299213" bottom="0.74803149606299213" header="0.31496062992125984" footer="0.31496062992125984"/>
      <pageSetup paperSize="9" scale="55" orientation="landscape" r:id="rId1"/>
    </customSheetView>
    <customSheetView guid="{4F41B9CC-959D-442C-80B0-1F0DB2C76D27}" scale="55">
      <pane xSplit="5" ySplit="5" topLeftCell="F7" activePane="bottomRight" state="frozen"/>
      <selection pane="bottomRight" activeCell="N7" sqref="N7"/>
      <pageMargins left="0.70866141732283472" right="0.70866141732283472" top="0.74803149606299213" bottom="0.74803149606299213" header="0.31496062992125984" footer="0.31496062992125984"/>
      <pageSetup paperSize="9" scale="55" orientation="landscape" r:id="rId2"/>
    </customSheetView>
    <customSheetView guid="{391AB76E-B386-49C1-800F-016A48AA1A46}" scale="55">
      <pane xSplit="5" ySplit="6" topLeftCell="F7" activePane="bottomRight" state="frozen"/>
      <selection pane="bottomRight" activeCell="N7" sqref="N7"/>
      <pageMargins left="0.70866141732283472" right="0.70866141732283472" top="0.74803149606299213" bottom="0.74803149606299213" header="0.31496062992125984" footer="0.31496062992125984"/>
      <pageSetup paperSize="9" scale="55" orientation="landscape" r:id="rId3"/>
    </customSheetView>
    <customSheetView guid="{D01FA037-9AEC-4167-ADB8-2F327C01ECE6}" scale="55">
      <pane xSplit="5" ySplit="6" topLeftCell="K97" activePane="bottomRight" state="frozen"/>
      <selection pane="bottomRight" activeCell="AF120" sqref="AF120"/>
      <pageMargins left="0.70866141732283472" right="0.70866141732283472" top="0.74803149606299213" bottom="0.74803149606299213" header="0.31496062992125984" footer="0.31496062992125984"/>
      <pageSetup paperSize="9" scale="55" orientation="landscape" r:id="rId4"/>
    </customSheetView>
    <customSheetView guid="{6A602CB8-B24C-4ED4-B378-B27354BE0A1A}" scale="55">
      <pane xSplit="5" ySplit="6" topLeftCell="K112" activePane="bottomRight" state="frozen"/>
      <selection pane="bottomRight" activeCell="AF145" sqref="AF145"/>
      <pageMargins left="0.70866141732283472" right="0.70866141732283472" top="0.74803149606299213" bottom="0.74803149606299213" header="0.31496062992125984" footer="0.31496062992125984"/>
      <pageSetup paperSize="9" scale="55" orientation="landscape" r:id="rId5"/>
    </customSheetView>
    <customSheetView guid="{DAA8A688-7558-4B5B-8DBD-E2629BD9E9A8}" scale="55">
      <pane xSplit="5" ySplit="6" topLeftCell="K112" activePane="bottomRight" state="frozen"/>
      <selection pane="bottomRight" activeCell="AF145" sqref="AF145"/>
      <pageMargins left="0.70866141732283472" right="0.70866141732283472" top="0.74803149606299213" bottom="0.74803149606299213" header="0.31496062992125984" footer="0.31496062992125984"/>
      <pageSetup paperSize="9" scale="55" orientation="landscape" r:id="rId6"/>
    </customSheetView>
    <customSheetView guid="{0C2B9C2A-7B94-41EF-A2E6-F8AC9A67DE25}" scale="55">
      <pane xSplit="5" ySplit="6" topLeftCell="K112" activePane="bottomRight" state="frozen"/>
      <selection pane="bottomRight" activeCell="AF145" sqref="AF145"/>
      <pageMargins left="0.70866141732283472" right="0.70866141732283472" top="0.74803149606299213" bottom="0.74803149606299213" header="0.31496062992125984" footer="0.31496062992125984"/>
      <pageSetup paperSize="9" scale="55" orientation="landscape" r:id="rId7"/>
    </customSheetView>
    <customSheetView guid="{87218168-6C8E-4D5B-A5E5-DCCC26803AA3}" scale="55">
      <pane xSplit="5" ySplit="6" topLeftCell="F7" activePane="bottomRight" state="frozen"/>
      <selection pane="bottomRight" activeCell="G21" sqref="G21"/>
      <pageMargins left="0.70866141732283472" right="0.70866141732283472" top="0.74803149606299213" bottom="0.74803149606299213" header="0.31496062992125984" footer="0.31496062992125984"/>
      <pageSetup paperSize="9" scale="55" orientation="landscape" r:id="rId8"/>
    </customSheetView>
    <customSheetView guid="{533DC55B-6AD4-4674-9488-685EF2039F3E}" scale="55">
      <pane xSplit="5" ySplit="6" topLeftCell="F55" activePane="bottomRight" state="frozen"/>
      <selection pane="bottomRight" activeCell="P13" sqref="P13"/>
      <pageMargins left="0.70866141732283472" right="0.70866141732283472" top="0.74803149606299213" bottom="0.74803149606299213" header="0.31496062992125984" footer="0.31496062992125984"/>
      <pageSetup paperSize="9" scale="55" orientation="landscape" r:id="rId9"/>
    </customSheetView>
    <customSheetView guid="{69DABE6F-6182-4403-A4A2-969F10F1C13A}" scale="55">
      <pane xSplit="5" ySplit="6" topLeftCell="F55" activePane="bottomRight" state="frozen"/>
      <selection pane="bottomRight" activeCell="P13" sqref="P13"/>
      <pageMargins left="0.70866141732283472" right="0.70866141732283472" top="0.74803149606299213" bottom="0.74803149606299213" header="0.31496062992125984" footer="0.31496062992125984"/>
      <pageSetup paperSize="9" scale="55" orientation="landscape" r:id="rId10"/>
    </customSheetView>
    <customSheetView guid="{84867370-1F3E-4368-AF79-FBCE46FFFE92}" scale="55">
      <pane xSplit="5" ySplit="6" topLeftCell="F55" activePane="bottomRight" state="frozen"/>
      <selection pane="bottomRight" activeCell="P13" sqref="P13"/>
      <pageMargins left="0.70866141732283472" right="0.70866141732283472" top="0.74803149606299213" bottom="0.74803149606299213" header="0.31496062992125984" footer="0.31496062992125984"/>
      <pageSetup paperSize="9" scale="55" orientation="landscape" r:id="rId11"/>
    </customSheetView>
    <customSheetView guid="{47B983AB-FE5F-4725-860C-A2F29420596D}" scale="70">
      <pane xSplit="5" ySplit="6" topLeftCell="F55" activePane="bottomRight" state="frozen"/>
      <selection pane="bottomRight" activeCell="H132" sqref="H132"/>
      <pageMargins left="0.70866141732283472" right="0.70866141732283472" top="0.74803149606299213" bottom="0.74803149606299213" header="0.31496062992125984" footer="0.31496062992125984"/>
      <pageSetup paperSize="9" scale="55" orientation="landscape" r:id="rId12"/>
    </customSheetView>
    <customSheetView guid="{959E901C-5DDE-42EE-AE94-AB8976B5E00B}" scale="60">
      <pane xSplit="1" ySplit="6" topLeftCell="B7" activePane="bottomRight" state="frozen"/>
      <selection pane="bottomRight" activeCell="E144" sqref="E144"/>
      <pageMargins left="0.70866141732283472" right="0.70866141732283472" top="0.74803149606299213" bottom="0.74803149606299213" header="0.31496062992125984" footer="0.31496062992125984"/>
      <pageSetup paperSize="9" scale="55" orientation="landscape" r:id="rId13"/>
    </customSheetView>
    <customSheetView guid="{F679EF4A-C5FD-4B86-B87B-D85968E0F2CA}" scale="60">
      <pane xSplit="1" ySplit="6" topLeftCell="B7" activePane="bottomRight" state="frozen"/>
      <selection pane="bottomRight" activeCell="E144" sqref="E144"/>
      <pageMargins left="0.70866141732283472" right="0.70866141732283472" top="0.74803149606299213" bottom="0.74803149606299213" header="0.31496062992125984" footer="0.31496062992125984"/>
      <pageSetup paperSize="9" scale="55" orientation="landscape" r:id="rId14"/>
    </customSheetView>
    <customSheetView guid="{009B3074-D8EC-4952-BF50-43CD64449612}" scale="60">
      <pane xSplit="1" ySplit="6" topLeftCell="B7" activePane="bottomRight" state="frozen"/>
      <selection pane="bottomRight" activeCell="M17" sqref="M17"/>
      <pageMargins left="0.7" right="0.7" top="0.75" bottom="0.75" header="0.3" footer="0.3"/>
      <pageSetup paperSize="9" orientation="portrait" r:id="rId15"/>
    </customSheetView>
    <customSheetView guid="{770624BF-07F3-44B6-94C3-4CC447CDD45C}" scale="60">
      <pane xSplit="1" ySplit="6" topLeftCell="B7" activePane="bottomRight" state="frozen"/>
      <selection pane="bottomRight" activeCell="G10" sqref="G10"/>
      <pageMargins left="0.7" right="0.7" top="0.75" bottom="0.75" header="0.3" footer="0.3"/>
      <pageSetup paperSize="9" orientation="portrait" r:id="rId16"/>
    </customSheetView>
    <customSheetView guid="{B82BA08A-1A30-4F4D-A478-74A6BD09EA97}" scale="60">
      <pane xSplit="1" ySplit="6" topLeftCell="B7" activePane="bottomRight" state="frozen"/>
      <selection pane="bottomRight" activeCell="G10" sqref="G10"/>
      <pageMargins left="0.7" right="0.7" top="0.75" bottom="0.75" header="0.3" footer="0.3"/>
      <pageSetup paperSize="9" orientation="portrait" r:id="rId17"/>
    </customSheetView>
    <customSheetView guid="{874882D1-E741-4CCA-BF0D-E72FA60B771D}" scale="60">
      <pane xSplit="1" ySplit="6" topLeftCell="B35" activePane="bottomRight" state="frozen"/>
      <selection pane="bottomRight" activeCell="G39" sqref="G39"/>
      <pageMargins left="0.7" right="0.7" top="0.75" bottom="0.75" header="0.3" footer="0.3"/>
      <pageSetup paperSize="9" orientation="portrait" r:id="rId18"/>
    </customSheetView>
    <customSheetView guid="{C236B307-BD63-48C4-A75F-B3F3717BF55C}" scale="60">
      <pane xSplit="1" ySplit="6" topLeftCell="B35" activePane="bottomRight" state="frozen"/>
      <selection pane="bottomRight" activeCell="G39" sqref="G39"/>
      <pageMargins left="0.7" right="0.7" top="0.75" bottom="0.75" header="0.3" footer="0.3"/>
      <pageSetup paperSize="9" orientation="portrait" r:id="rId19"/>
    </customSheetView>
    <customSheetView guid="{BCD82A82-B724-4763-8580-D765356E09BA}" scale="60">
      <pane xSplit="1" ySplit="6" topLeftCell="B7" activePane="bottomRight" state="frozen"/>
      <selection pane="bottomRight" activeCell="A2" sqref="A2:AE2"/>
      <pageMargins left="0.7" right="0.7" top="0.75" bottom="0.75" header="0.3" footer="0.3"/>
      <pageSetup paperSize="9" orientation="portrait" r:id="rId20"/>
    </customSheetView>
    <customSheetView guid="{B1BF08D1-D416-4B47-ADD0-4F59132DC9E8}" scale="60">
      <pane xSplit="1" ySplit="6" topLeftCell="J115" activePane="bottomRight" state="frozen"/>
      <selection pane="bottomRight" activeCell="AF115" sqref="AF115"/>
      <pageMargins left="0.70866141732283472" right="0.70866141732283472" top="0.74803149606299213" bottom="0.74803149606299213" header="0.31496062992125984" footer="0.31496062992125984"/>
      <pageSetup paperSize="9" scale="55" orientation="landscape" r:id="rId21"/>
    </customSheetView>
    <customSheetView guid="{85F4575B-DBC5-482A-9916-255D8F0BC94E}" scale="60">
      <pane xSplit="1" ySplit="6" topLeftCell="X103" activePane="bottomRight" state="frozen"/>
      <selection pane="bottomRight" activeCell="AF115" sqref="AF115"/>
      <pageMargins left="0.70866141732283472" right="0.70866141732283472" top="0.74803149606299213" bottom="0.74803149606299213" header="0.31496062992125984" footer="0.31496062992125984"/>
      <pageSetup paperSize="9" scale="55" orientation="landscape" r:id="rId22"/>
    </customSheetView>
    <customSheetView guid="{74870EE6-26B9-40F7-9DC9-260EF16D8959}" scale="55">
      <pane xSplit="5" ySplit="6" topLeftCell="F7" activePane="bottomRight" state="frozen"/>
      <selection pane="bottomRight" activeCell="H14" sqref="H14"/>
      <pageMargins left="0.70866141732283472" right="0.70866141732283472" top="0.74803149606299213" bottom="0.74803149606299213" header="0.31496062992125984" footer="0.31496062992125984"/>
      <pageSetup paperSize="9" scale="55" orientation="landscape" r:id="rId23"/>
    </customSheetView>
    <customSheetView guid="{E508E171-4ED9-4B07-84DF-DA28C60E1969}" scale="55">
      <pane xSplit="5" ySplit="6" topLeftCell="F7" activePane="bottomRight" state="frozen"/>
      <selection pane="bottomRight" activeCell="G21" sqref="G21"/>
      <pageMargins left="0.70866141732283472" right="0.70866141732283472" top="0.74803149606299213" bottom="0.74803149606299213" header="0.31496062992125984" footer="0.31496062992125984"/>
      <pageSetup paperSize="9" scale="55" orientation="landscape" r:id="rId24"/>
    </customSheetView>
    <customSheetView guid="{4D0DFB57-2CBA-42F2-9A97-C453A6851FBA}" scale="55">
      <pane xSplit="5" ySplit="6" topLeftCell="F7" activePane="bottomRight" state="frozen"/>
      <selection pane="bottomRight" activeCell="G21" sqref="G21"/>
      <pageMargins left="0.70866141732283472" right="0.70866141732283472" top="0.74803149606299213" bottom="0.74803149606299213" header="0.31496062992125984" footer="0.31496062992125984"/>
      <pageSetup paperSize="9" scale="55" orientation="landscape" r:id="rId25"/>
    </customSheetView>
    <customSheetView guid="{CE1CCA00-200D-4EAA-9FBE-F8EE7C5F82FE}" scale="55">
      <pane xSplit="5" ySplit="6" topLeftCell="K112" activePane="bottomRight" state="frozen"/>
      <selection pane="bottomRight" activeCell="AF145" sqref="AF145"/>
      <pageMargins left="0.70866141732283472" right="0.70866141732283472" top="0.74803149606299213" bottom="0.74803149606299213" header="0.31496062992125984" footer="0.31496062992125984"/>
      <pageSetup paperSize="9" scale="55" orientation="landscape" r:id="rId26"/>
    </customSheetView>
    <customSheetView guid="{442F2C94-DD1B-4A01-8694-513D4D6F3BD9}" scale="55">
      <pane xSplit="5" ySplit="6" topLeftCell="K112" activePane="bottomRight" state="frozen"/>
      <selection pane="bottomRight" activeCell="AF145" sqref="AF145"/>
      <pageMargins left="0.70866141732283472" right="0.70866141732283472" top="0.74803149606299213" bottom="0.74803149606299213" header="0.31496062992125984" footer="0.31496062992125984"/>
      <pageSetup paperSize="9" scale="55" orientation="landscape" r:id="rId27"/>
    </customSheetView>
    <customSheetView guid="{AC2D5927-4079-4C74-AF69-1BFAC505648F}" scale="55">
      <pane xSplit="5" ySplit="6" topLeftCell="F7" activePane="bottomRight" state="frozen"/>
      <selection pane="bottomRight" activeCell="N7" sqref="N7"/>
      <pageMargins left="0.70866141732283472" right="0.70866141732283472" top="0.74803149606299213" bottom="0.74803149606299213" header="0.31496062992125984" footer="0.31496062992125984"/>
      <pageSetup paperSize="9" scale="55" orientation="landscape" r:id="rId28"/>
    </customSheetView>
    <customSheetView guid="{602C8EDB-B9EF-4C85-B0D5-0558C3A0ABAB}" scale="55">
      <pane xSplit="5" ySplit="6" topLeftCell="F7" activePane="bottomRight" state="frozen"/>
      <selection pane="bottomRight" activeCell="N7" sqref="N7"/>
      <pageMargins left="0.70866141732283472" right="0.70866141732283472" top="0.74803149606299213" bottom="0.74803149606299213" header="0.31496062992125984" footer="0.31496062992125984"/>
      <pageSetup paperSize="9" scale="55" orientation="landscape" r:id="rId29"/>
    </customSheetView>
    <customSheetView guid="{09C3E205-981E-4A4E-BE89-8B7044192060}" scale="55">
      <pane xSplit="5" ySplit="6" topLeftCell="AC112" activePane="bottomRight" state="frozen"/>
      <selection pane="bottomRight" activeCell="AF119" sqref="AF119"/>
      <pageMargins left="0.70866141732283472" right="0.70866141732283472" top="0.74803149606299213" bottom="0.74803149606299213" header="0.31496062992125984" footer="0.31496062992125984"/>
      <pageSetup paperSize="9" scale="55" orientation="landscape" r:id="rId30"/>
    </customSheetView>
  </customSheetViews>
  <mergeCells count="21">
    <mergeCell ref="X3:Y4"/>
    <mergeCell ref="Z3:AA4"/>
    <mergeCell ref="AB3:AC4"/>
    <mergeCell ref="AD3:AE4"/>
    <mergeCell ref="AF3:AF5"/>
    <mergeCell ref="V3:W4"/>
    <mergeCell ref="A1:AF1"/>
    <mergeCell ref="A2:AE2"/>
    <mergeCell ref="A3:A4"/>
    <mergeCell ref="B3:B4"/>
    <mergeCell ref="C3:C4"/>
    <mergeCell ref="D3:D4"/>
    <mergeCell ref="E3:E4"/>
    <mergeCell ref="F3:G4"/>
    <mergeCell ref="H3:I4"/>
    <mergeCell ref="J3:K4"/>
    <mergeCell ref="L3:M4"/>
    <mergeCell ref="N3:O4"/>
    <mergeCell ref="P3:Q4"/>
    <mergeCell ref="R3:S4"/>
    <mergeCell ref="T3:U4"/>
  </mergeCells>
  <hyperlinks>
    <hyperlink ref="A2:AE2" location="Оглавление!A1" display="&quot;Профилактика правонарушений и обеспечение отдельных прав граждан в городе Когалыме&quot;"/>
  </hyperlinks>
  <pageMargins left="0.70866141732283472" right="0.70866141732283472" top="0.74803149606299213" bottom="0.74803149606299213" header="0.31496062992125984" footer="0.31496062992125984"/>
  <pageSetup paperSize="9" scale="55" orientation="landscape" r:id="rId31"/>
  <legacyDrawing r:id="rId3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128"/>
  <sheetViews>
    <sheetView zoomScale="70" zoomScaleNormal="70" workbookViewId="0">
      <pane xSplit="1" ySplit="6" topLeftCell="Y42" activePane="bottomRight" state="frozen"/>
      <selection pane="topRight" activeCell="B1" sqref="B1"/>
      <selection pane="bottomLeft" activeCell="A7" sqref="A7"/>
      <selection pane="bottomRight" activeCell="AF43" sqref="AF43"/>
    </sheetView>
  </sheetViews>
  <sheetFormatPr defaultRowHeight="15" x14ac:dyDescent="0.25"/>
  <cols>
    <col min="1" max="1" width="46.140625" style="89" customWidth="1"/>
    <col min="2" max="2" width="18.85546875" style="62" bestFit="1" customWidth="1"/>
    <col min="3" max="3" width="15.5703125" style="62" bestFit="1" customWidth="1"/>
    <col min="4" max="4" width="24.42578125" customWidth="1"/>
    <col min="5" max="5" width="15.5703125" bestFit="1" customWidth="1"/>
    <col min="6" max="6" width="16.7109375" bestFit="1" customWidth="1"/>
    <col min="7" max="7" width="18.5703125" customWidth="1"/>
    <col min="8" max="8" width="15.7109375" style="62" bestFit="1" customWidth="1"/>
    <col min="9" max="9" width="13.7109375" style="62" bestFit="1" customWidth="1"/>
    <col min="10" max="10" width="17.42578125" style="62" bestFit="1" customWidth="1"/>
    <col min="11" max="11" width="13.7109375" style="62" bestFit="1" customWidth="1"/>
    <col min="12" max="12" width="15.7109375" style="62" bestFit="1" customWidth="1"/>
    <col min="13" max="13" width="13.7109375" style="62" bestFit="1" customWidth="1"/>
    <col min="14" max="14" width="17.42578125" style="62" bestFit="1" customWidth="1"/>
    <col min="15" max="15" width="13.7109375" style="62" bestFit="1" customWidth="1"/>
    <col min="16" max="16" width="17.42578125" style="62" bestFit="1" customWidth="1"/>
    <col min="17" max="17" width="21.7109375" style="62" customWidth="1"/>
    <col min="18" max="18" width="17.42578125" style="62" bestFit="1" customWidth="1"/>
    <col min="19" max="19" width="13.7109375" style="62" bestFit="1" customWidth="1"/>
    <col min="20" max="20" width="17.42578125" style="62" bestFit="1" customWidth="1"/>
    <col min="21" max="21" width="13.7109375" style="62" bestFit="1" customWidth="1"/>
    <col min="22" max="22" width="17.42578125" style="62" bestFit="1" customWidth="1"/>
    <col min="23" max="23" width="13.7109375" style="62" bestFit="1" customWidth="1"/>
    <col min="24" max="24" width="15.7109375" style="62" bestFit="1" customWidth="1"/>
    <col min="25" max="25" width="13.7109375" style="62" bestFit="1" customWidth="1"/>
    <col min="26" max="26" width="17.42578125" style="62" bestFit="1" customWidth="1"/>
    <col min="27" max="27" width="13.7109375" style="62" bestFit="1" customWidth="1"/>
    <col min="28" max="28" width="15.7109375" style="62" bestFit="1" customWidth="1"/>
    <col min="29" max="29" width="13.7109375" style="62" bestFit="1" customWidth="1"/>
    <col min="30" max="30" width="17.140625" style="62" bestFit="1" customWidth="1"/>
    <col min="31" max="31" width="13.7109375" style="62" bestFit="1" customWidth="1"/>
    <col min="32" max="32" width="32.140625" customWidth="1"/>
  </cols>
  <sheetData>
    <row r="1" spans="1:32" ht="18.75" x14ac:dyDescent="0.25">
      <c r="A1" s="1015" t="s">
        <v>0</v>
      </c>
      <c r="B1" s="1015"/>
      <c r="C1" s="1015"/>
      <c r="D1" s="1015"/>
      <c r="E1" s="1015"/>
      <c r="F1" s="1015"/>
      <c r="G1" s="1015"/>
      <c r="H1" s="1015"/>
      <c r="I1" s="1015"/>
      <c r="J1" s="1015"/>
      <c r="K1" s="1015"/>
      <c r="L1" s="1015"/>
      <c r="M1" s="1015"/>
      <c r="N1" s="1015"/>
      <c r="O1" s="1015"/>
      <c r="P1" s="1015"/>
      <c r="Q1" s="1015"/>
      <c r="R1" s="1015"/>
      <c r="S1" s="1015"/>
      <c r="T1" s="1015"/>
      <c r="U1" s="1015"/>
      <c r="V1" s="1015"/>
      <c r="W1" s="1015"/>
      <c r="X1" s="1015"/>
      <c r="Y1" s="1015"/>
      <c r="Z1" s="1015"/>
      <c r="AA1" s="1015"/>
      <c r="AB1" s="1015"/>
      <c r="AC1" s="1015"/>
      <c r="AD1" s="1015"/>
      <c r="AE1" s="1015"/>
      <c r="AF1" s="1015"/>
    </row>
    <row r="2" spans="1:32" ht="18.75" x14ac:dyDescent="0.25">
      <c r="A2" s="1016" t="s">
        <v>131</v>
      </c>
      <c r="B2" s="1016"/>
      <c r="C2" s="1016"/>
      <c r="D2" s="1016"/>
      <c r="E2" s="1016"/>
      <c r="F2" s="1016"/>
      <c r="G2" s="1016"/>
      <c r="H2" s="1016"/>
      <c r="I2" s="1016"/>
      <c r="J2" s="1016"/>
      <c r="K2" s="1016"/>
      <c r="L2" s="1016"/>
      <c r="M2" s="1016"/>
      <c r="N2" s="1016"/>
      <c r="O2" s="1016"/>
      <c r="P2" s="1016"/>
      <c r="Q2" s="1016"/>
      <c r="R2" s="1016"/>
      <c r="S2" s="1016"/>
      <c r="T2" s="1016"/>
      <c r="U2" s="1016"/>
      <c r="V2" s="1016"/>
      <c r="W2" s="1016"/>
      <c r="X2" s="1016"/>
      <c r="Y2" s="1016"/>
      <c r="Z2" s="1016"/>
      <c r="AA2" s="1016"/>
      <c r="AB2" s="1016"/>
      <c r="AC2" s="1016"/>
      <c r="AD2" s="1016"/>
      <c r="AE2" s="1016"/>
      <c r="AF2" s="1" t="s">
        <v>1</v>
      </c>
    </row>
    <row r="3" spans="1:32" x14ac:dyDescent="0.25">
      <c r="A3" s="1024" t="s">
        <v>2</v>
      </c>
      <c r="B3" s="1019" t="s">
        <v>3</v>
      </c>
      <c r="C3" s="1019" t="s">
        <v>3</v>
      </c>
      <c r="D3" s="1019" t="s">
        <v>4</v>
      </c>
      <c r="E3" s="1021" t="s">
        <v>5</v>
      </c>
      <c r="F3" s="1011" t="s">
        <v>6</v>
      </c>
      <c r="G3" s="1012"/>
      <c r="H3" s="1011" t="s">
        <v>7</v>
      </c>
      <c r="I3" s="1012"/>
      <c r="J3" s="1011" t="s">
        <v>8</v>
      </c>
      <c r="K3" s="1012"/>
      <c r="L3" s="1011" t="s">
        <v>9</v>
      </c>
      <c r="M3" s="1012"/>
      <c r="N3" s="1011" t="s">
        <v>10</v>
      </c>
      <c r="O3" s="1012"/>
      <c r="P3" s="1011" t="s">
        <v>11</v>
      </c>
      <c r="Q3" s="1012"/>
      <c r="R3" s="1011" t="s">
        <v>12</v>
      </c>
      <c r="S3" s="1012"/>
      <c r="T3" s="1011" t="s">
        <v>13</v>
      </c>
      <c r="U3" s="1012"/>
      <c r="V3" s="1011" t="s">
        <v>14</v>
      </c>
      <c r="W3" s="1012"/>
      <c r="X3" s="1011" t="s">
        <v>15</v>
      </c>
      <c r="Y3" s="1012"/>
      <c r="Z3" s="1011" t="s">
        <v>16</v>
      </c>
      <c r="AA3" s="1012"/>
      <c r="AB3" s="1011" t="s">
        <v>17</v>
      </c>
      <c r="AC3" s="1012"/>
      <c r="AD3" s="1011" t="s">
        <v>18</v>
      </c>
      <c r="AE3" s="1012"/>
      <c r="AF3" s="1017" t="s">
        <v>19</v>
      </c>
    </row>
    <row r="4" spans="1:32" ht="42.75" customHeight="1" x14ac:dyDescent="0.25">
      <c r="A4" s="1025"/>
      <c r="B4" s="1020"/>
      <c r="C4" s="1020"/>
      <c r="D4" s="1020"/>
      <c r="E4" s="1022"/>
      <c r="F4" s="1013"/>
      <c r="G4" s="1014"/>
      <c r="H4" s="1013"/>
      <c r="I4" s="1014"/>
      <c r="J4" s="1013"/>
      <c r="K4" s="1014"/>
      <c r="L4" s="1013"/>
      <c r="M4" s="1014"/>
      <c r="N4" s="1013"/>
      <c r="O4" s="1014"/>
      <c r="P4" s="1013"/>
      <c r="Q4" s="1014"/>
      <c r="R4" s="1013"/>
      <c r="S4" s="1014"/>
      <c r="T4" s="1013"/>
      <c r="U4" s="1014"/>
      <c r="V4" s="1013"/>
      <c r="W4" s="1014"/>
      <c r="X4" s="1013"/>
      <c r="Y4" s="1014"/>
      <c r="Z4" s="1013"/>
      <c r="AA4" s="1014"/>
      <c r="AB4" s="1013"/>
      <c r="AC4" s="1014"/>
      <c r="AD4" s="1013"/>
      <c r="AE4" s="1014"/>
      <c r="AF4" s="1018"/>
    </row>
    <row r="5" spans="1:32" ht="37.5" x14ac:dyDescent="0.25">
      <c r="A5" s="79"/>
      <c r="B5" s="3">
        <v>2024</v>
      </c>
      <c r="C5" s="4">
        <v>45444</v>
      </c>
      <c r="D5" s="4">
        <v>45444</v>
      </c>
      <c r="E5" s="4">
        <v>45444</v>
      </c>
      <c r="F5" s="5" t="s">
        <v>20</v>
      </c>
      <c r="G5" s="5" t="s">
        <v>21</v>
      </c>
      <c r="H5" s="5" t="s">
        <v>22</v>
      </c>
      <c r="I5" s="5" t="s">
        <v>23</v>
      </c>
      <c r="J5" s="5" t="s">
        <v>22</v>
      </c>
      <c r="K5" s="5" t="s">
        <v>23</v>
      </c>
      <c r="L5" s="5" t="s">
        <v>22</v>
      </c>
      <c r="M5" s="5" t="s">
        <v>23</v>
      </c>
      <c r="N5" s="5" t="s">
        <v>22</v>
      </c>
      <c r="O5" s="5" t="s">
        <v>23</v>
      </c>
      <c r="P5" s="5" t="s">
        <v>22</v>
      </c>
      <c r="Q5" s="5" t="s">
        <v>23</v>
      </c>
      <c r="R5" s="5" t="s">
        <v>22</v>
      </c>
      <c r="S5" s="5" t="s">
        <v>23</v>
      </c>
      <c r="T5" s="5" t="s">
        <v>22</v>
      </c>
      <c r="U5" s="5" t="s">
        <v>23</v>
      </c>
      <c r="V5" s="5" t="s">
        <v>22</v>
      </c>
      <c r="W5" s="5" t="s">
        <v>23</v>
      </c>
      <c r="X5" s="5" t="s">
        <v>22</v>
      </c>
      <c r="Y5" s="5" t="s">
        <v>23</v>
      </c>
      <c r="Z5" s="5" t="s">
        <v>22</v>
      </c>
      <c r="AA5" s="5" t="s">
        <v>23</v>
      </c>
      <c r="AB5" s="5" t="s">
        <v>22</v>
      </c>
      <c r="AC5" s="5" t="s">
        <v>23</v>
      </c>
      <c r="AD5" s="5" t="s">
        <v>22</v>
      </c>
      <c r="AE5" s="5" t="s">
        <v>23</v>
      </c>
      <c r="AF5" s="1023"/>
    </row>
    <row r="6" spans="1:32" ht="18.75" x14ac:dyDescent="0.25">
      <c r="A6" s="2">
        <v>1</v>
      </c>
      <c r="B6" s="6">
        <v>2</v>
      </c>
      <c r="C6" s="6">
        <v>3</v>
      </c>
      <c r="D6" s="6">
        <v>4</v>
      </c>
      <c r="E6" s="6">
        <v>5</v>
      </c>
      <c r="F6" s="6">
        <v>6</v>
      </c>
      <c r="G6" s="6">
        <v>7</v>
      </c>
      <c r="H6" s="6">
        <v>8</v>
      </c>
      <c r="I6" s="6">
        <v>9</v>
      </c>
      <c r="J6" s="6">
        <v>10</v>
      </c>
      <c r="K6" s="6">
        <v>11</v>
      </c>
      <c r="L6" s="6">
        <v>12</v>
      </c>
      <c r="M6" s="6">
        <v>13</v>
      </c>
      <c r="N6" s="6">
        <v>14</v>
      </c>
      <c r="O6" s="6">
        <v>15</v>
      </c>
      <c r="P6" s="6">
        <v>16</v>
      </c>
      <c r="Q6" s="6">
        <v>17</v>
      </c>
      <c r="R6" s="6">
        <v>18</v>
      </c>
      <c r="S6" s="6">
        <v>19</v>
      </c>
      <c r="T6" s="6">
        <v>20</v>
      </c>
      <c r="U6" s="6">
        <v>21</v>
      </c>
      <c r="V6" s="6">
        <v>22</v>
      </c>
      <c r="W6" s="6">
        <v>23</v>
      </c>
      <c r="X6" s="6">
        <v>24</v>
      </c>
      <c r="Y6" s="6">
        <v>25</v>
      </c>
      <c r="Z6" s="6">
        <v>26</v>
      </c>
      <c r="AA6" s="6">
        <v>27</v>
      </c>
      <c r="AB6" s="6">
        <v>28</v>
      </c>
      <c r="AC6" s="6">
        <v>29</v>
      </c>
      <c r="AD6" s="6">
        <v>30</v>
      </c>
      <c r="AE6" s="6">
        <v>31</v>
      </c>
      <c r="AF6" s="2">
        <v>32</v>
      </c>
    </row>
    <row r="7" spans="1:32" ht="206.25" x14ac:dyDescent="0.25">
      <c r="A7" s="80" t="s">
        <v>132</v>
      </c>
      <c r="B7" s="96">
        <v>309.8</v>
      </c>
      <c r="C7" s="6">
        <v>0</v>
      </c>
      <c r="D7" s="6">
        <v>0</v>
      </c>
      <c r="E7" s="6">
        <v>0</v>
      </c>
      <c r="F7" s="6">
        <v>0</v>
      </c>
      <c r="G7" s="6">
        <v>0</v>
      </c>
      <c r="H7" s="6">
        <v>0</v>
      </c>
      <c r="I7" s="6">
        <v>0</v>
      </c>
      <c r="J7" s="6">
        <v>0</v>
      </c>
      <c r="K7" s="593">
        <v>0</v>
      </c>
      <c r="L7" s="6">
        <v>0</v>
      </c>
      <c r="M7" s="6">
        <v>0</v>
      </c>
      <c r="N7" s="6">
        <v>0</v>
      </c>
      <c r="O7" s="6">
        <v>0</v>
      </c>
      <c r="P7" s="6">
        <v>0</v>
      </c>
      <c r="Q7" s="6">
        <v>0</v>
      </c>
      <c r="R7" s="6"/>
      <c r="S7" s="6"/>
      <c r="T7" s="6"/>
      <c r="U7" s="6"/>
      <c r="V7" s="6"/>
      <c r="W7" s="6"/>
      <c r="X7" s="6"/>
      <c r="Y7" s="6"/>
      <c r="Z7" s="6"/>
      <c r="AA7" s="6"/>
      <c r="AB7" s="6"/>
      <c r="AC7" s="6"/>
      <c r="AD7" s="6"/>
      <c r="AE7" s="6"/>
      <c r="AF7" s="2"/>
    </row>
    <row r="8" spans="1:32" ht="18.75" x14ac:dyDescent="0.25">
      <c r="A8" s="81" t="s">
        <v>54</v>
      </c>
      <c r="B8" s="6"/>
      <c r="C8" s="6"/>
      <c r="D8" s="6"/>
      <c r="E8" s="6"/>
      <c r="F8" s="6"/>
      <c r="G8" s="6"/>
      <c r="H8" s="6"/>
      <c r="I8" s="6"/>
      <c r="J8" s="6"/>
      <c r="K8" s="586"/>
      <c r="L8" s="6"/>
      <c r="M8" s="6"/>
      <c r="N8" s="6"/>
      <c r="O8" s="6"/>
      <c r="P8" s="6"/>
      <c r="Q8" s="6"/>
      <c r="R8" s="6"/>
      <c r="S8" s="6"/>
      <c r="T8" s="6"/>
      <c r="U8" s="6"/>
      <c r="V8" s="6"/>
      <c r="W8" s="6"/>
      <c r="X8" s="6"/>
      <c r="Y8" s="6"/>
      <c r="Z8" s="6"/>
      <c r="AA8" s="6"/>
      <c r="AB8" s="6"/>
      <c r="AC8" s="6"/>
      <c r="AD8" s="6"/>
      <c r="AE8" s="6"/>
      <c r="AF8" s="2"/>
    </row>
    <row r="9" spans="1:32" ht="56.25" hidden="1" customHeight="1" x14ac:dyDescent="0.25">
      <c r="A9" s="50" t="s">
        <v>133</v>
      </c>
      <c r="B9" s="30">
        <f>B10</f>
        <v>0</v>
      </c>
      <c r="C9" s="30">
        <f>C10</f>
        <v>0</v>
      </c>
      <c r="D9" s="30">
        <f>D10</f>
        <v>0</v>
      </c>
      <c r="E9" s="30">
        <f>E10</f>
        <v>0</v>
      </c>
      <c r="F9" s="30"/>
      <c r="G9" s="30"/>
      <c r="H9" s="30"/>
      <c r="I9" s="30"/>
      <c r="J9" s="30"/>
      <c r="K9" s="587"/>
      <c r="L9" s="30"/>
      <c r="M9" s="30"/>
      <c r="N9" s="30"/>
      <c r="O9" s="30"/>
      <c r="P9" s="30"/>
      <c r="Q9" s="30"/>
      <c r="R9" s="30"/>
      <c r="S9" s="30"/>
      <c r="T9" s="30"/>
      <c r="U9" s="30"/>
      <c r="V9" s="30"/>
      <c r="W9" s="30"/>
      <c r="X9" s="30"/>
      <c r="Y9" s="30"/>
      <c r="Z9" s="30"/>
      <c r="AA9" s="30"/>
      <c r="AB9" s="30"/>
      <c r="AC9" s="30"/>
      <c r="AD9" s="30"/>
      <c r="AE9" s="30"/>
      <c r="AF9" s="21"/>
    </row>
    <row r="10" spans="1:32" ht="18.75" hidden="1" x14ac:dyDescent="0.3">
      <c r="A10" s="82" t="s">
        <v>31</v>
      </c>
      <c r="B10" s="47">
        <f>B11</f>
        <v>0</v>
      </c>
      <c r="C10" s="47">
        <f>C11</f>
        <v>0</v>
      </c>
      <c r="D10" s="47"/>
      <c r="E10" s="47">
        <f>E11</f>
        <v>0</v>
      </c>
      <c r="F10" s="47" t="e">
        <f>E10/B10*100</f>
        <v>#DIV/0!</v>
      </c>
      <c r="G10" s="47" t="e">
        <f>E10/C10*100</f>
        <v>#DIV/0!</v>
      </c>
      <c r="H10" s="47"/>
      <c r="I10" s="47"/>
      <c r="J10" s="47"/>
      <c r="K10" s="588"/>
      <c r="L10" s="47"/>
      <c r="M10" s="47"/>
      <c r="N10" s="47"/>
      <c r="O10" s="47"/>
      <c r="P10" s="47"/>
      <c r="Q10" s="47"/>
      <c r="R10" s="47"/>
      <c r="S10" s="47"/>
      <c r="T10" s="47"/>
      <c r="U10" s="47"/>
      <c r="V10" s="47"/>
      <c r="W10" s="47"/>
      <c r="X10" s="47"/>
      <c r="Y10" s="47"/>
      <c r="Z10" s="47"/>
      <c r="AA10" s="47"/>
      <c r="AB10" s="47"/>
      <c r="AC10" s="47"/>
      <c r="AD10" s="47"/>
      <c r="AE10" s="47"/>
      <c r="AF10" s="90"/>
    </row>
    <row r="11" spans="1:32" ht="18.75" hidden="1" x14ac:dyDescent="0.3">
      <c r="A11" s="77" t="s">
        <v>33</v>
      </c>
      <c r="B11" s="47">
        <f>H11+J11+L11+N11+P11+R11+T11+V11+X11+Z11+AB11+AD11</f>
        <v>0</v>
      </c>
      <c r="C11" s="47">
        <f>H11</f>
        <v>0</v>
      </c>
      <c r="D11" s="47"/>
      <c r="E11" s="47">
        <f>K11+M11+O11+Q11+S11+U11+W11+Y11+AA11+AC11+AE11+AG11</f>
        <v>0</v>
      </c>
      <c r="F11" s="47" t="e">
        <f>E11/B11*100</f>
        <v>#DIV/0!</v>
      </c>
      <c r="G11" s="47" t="e">
        <f>E11/C11*100</f>
        <v>#DIV/0!</v>
      </c>
      <c r="H11" s="47"/>
      <c r="I11" s="47"/>
      <c r="J11" s="47"/>
      <c r="K11" s="588"/>
      <c r="L11" s="47"/>
      <c r="M11" s="47"/>
      <c r="N11" s="47"/>
      <c r="O11" s="47"/>
      <c r="P11" s="47"/>
      <c r="Q11" s="47"/>
      <c r="R11" s="47"/>
      <c r="S11" s="47"/>
      <c r="T11" s="47"/>
      <c r="U11" s="47"/>
      <c r="V11" s="47"/>
      <c r="W11" s="47"/>
      <c r="X11" s="47"/>
      <c r="Y11" s="47"/>
      <c r="Z11" s="47"/>
      <c r="AA11" s="47"/>
      <c r="AB11" s="47"/>
      <c r="AC11" s="47"/>
      <c r="AD11" s="47"/>
      <c r="AE11" s="47"/>
      <c r="AF11" s="90"/>
    </row>
    <row r="12" spans="1:32" ht="262.5" hidden="1" x14ac:dyDescent="0.3">
      <c r="A12" s="50" t="s">
        <v>134</v>
      </c>
      <c r="B12" s="58"/>
      <c r="C12" s="58"/>
      <c r="D12" s="58"/>
      <c r="E12" s="58"/>
      <c r="F12" s="47"/>
      <c r="G12" s="47"/>
      <c r="H12" s="58"/>
      <c r="I12" s="58"/>
      <c r="J12" s="58"/>
      <c r="K12" s="589"/>
      <c r="L12" s="58"/>
      <c r="M12" s="58"/>
      <c r="N12" s="58"/>
      <c r="O12" s="58"/>
      <c r="P12" s="58"/>
      <c r="Q12" s="58"/>
      <c r="R12" s="58"/>
      <c r="S12" s="58"/>
      <c r="T12" s="58"/>
      <c r="U12" s="58"/>
      <c r="V12" s="58"/>
      <c r="W12" s="58"/>
      <c r="X12" s="58"/>
      <c r="Y12" s="58"/>
      <c r="Z12" s="58"/>
      <c r="AA12" s="58"/>
      <c r="AB12" s="58"/>
      <c r="AC12" s="58"/>
      <c r="AD12" s="58"/>
      <c r="AE12" s="58"/>
      <c r="AF12" s="90"/>
    </row>
    <row r="13" spans="1:32" ht="18.75" hidden="1" x14ac:dyDescent="0.3">
      <c r="A13" s="82" t="s">
        <v>31</v>
      </c>
      <c r="B13" s="58">
        <f>B14</f>
        <v>0</v>
      </c>
      <c r="C13" s="58">
        <f>C14</f>
        <v>0</v>
      </c>
      <c r="D13" s="58"/>
      <c r="E13" s="58">
        <f>E14</f>
        <v>0</v>
      </c>
      <c r="F13" s="47" t="e">
        <f>E13/B13*100</f>
        <v>#DIV/0!</v>
      </c>
      <c r="G13" s="47" t="e">
        <f>E13/C13*100</f>
        <v>#DIV/0!</v>
      </c>
      <c r="H13" s="58"/>
      <c r="I13" s="58"/>
      <c r="J13" s="58"/>
      <c r="K13" s="589"/>
      <c r="L13" s="58"/>
      <c r="M13" s="58"/>
      <c r="N13" s="58"/>
      <c r="O13" s="58"/>
      <c r="P13" s="58"/>
      <c r="Q13" s="58"/>
      <c r="R13" s="58"/>
      <c r="S13" s="58"/>
      <c r="T13" s="58"/>
      <c r="U13" s="58"/>
      <c r="V13" s="58"/>
      <c r="W13" s="58"/>
      <c r="X13" s="58"/>
      <c r="Y13" s="58"/>
      <c r="Z13" s="58"/>
      <c r="AA13" s="58"/>
      <c r="AB13" s="58"/>
      <c r="AC13" s="58"/>
      <c r="AD13" s="58"/>
      <c r="AE13" s="58"/>
      <c r="AF13" s="90"/>
    </row>
    <row r="14" spans="1:32" ht="18.75" hidden="1" x14ac:dyDescent="0.3">
      <c r="A14" s="77" t="s">
        <v>33</v>
      </c>
      <c r="B14" s="47">
        <f>H14+J14+L14+N14+P14+R14+T14+V14+X14+Z14+AB14+AD14</f>
        <v>0</v>
      </c>
      <c r="C14" s="47">
        <f>H14</f>
        <v>0</v>
      </c>
      <c r="D14" s="47"/>
      <c r="E14" s="47">
        <f>K14+M14+O14+Q14+S14+U14+W14+Y14+AA14+AC14+AE14+AG14</f>
        <v>0</v>
      </c>
      <c r="F14" s="47" t="e">
        <f>E14/B14*100</f>
        <v>#DIV/0!</v>
      </c>
      <c r="G14" s="47" t="e">
        <f>E14/C14*100</f>
        <v>#DIV/0!</v>
      </c>
      <c r="H14" s="58"/>
      <c r="I14" s="58"/>
      <c r="J14" s="58"/>
      <c r="K14" s="589"/>
      <c r="L14" s="58"/>
      <c r="M14" s="58"/>
      <c r="N14" s="58"/>
      <c r="O14" s="58"/>
      <c r="P14" s="58"/>
      <c r="Q14" s="58"/>
      <c r="R14" s="58"/>
      <c r="S14" s="58"/>
      <c r="T14" s="58"/>
      <c r="U14" s="58"/>
      <c r="V14" s="58"/>
      <c r="W14" s="58"/>
      <c r="X14" s="58"/>
      <c r="Y14" s="58"/>
      <c r="Z14" s="58"/>
      <c r="AA14" s="58"/>
      <c r="AB14" s="58"/>
      <c r="AC14" s="58"/>
      <c r="AD14" s="58"/>
      <c r="AE14" s="58"/>
      <c r="AF14" s="90"/>
    </row>
    <row r="15" spans="1:32" ht="225" hidden="1" x14ac:dyDescent="0.3">
      <c r="A15" s="78" t="s">
        <v>135</v>
      </c>
      <c r="B15" s="58"/>
      <c r="C15" s="58"/>
      <c r="D15" s="58"/>
      <c r="E15" s="58"/>
      <c r="F15" s="47"/>
      <c r="G15" s="47"/>
      <c r="H15" s="58"/>
      <c r="I15" s="58"/>
      <c r="J15" s="58"/>
      <c r="K15" s="589"/>
      <c r="L15" s="58"/>
      <c r="M15" s="58"/>
      <c r="N15" s="58"/>
      <c r="O15" s="58"/>
      <c r="P15" s="58"/>
      <c r="Q15" s="58"/>
      <c r="R15" s="58"/>
      <c r="S15" s="58"/>
      <c r="T15" s="58"/>
      <c r="U15" s="58"/>
      <c r="V15" s="58"/>
      <c r="W15" s="58"/>
      <c r="X15" s="58"/>
      <c r="Y15" s="58"/>
      <c r="Z15" s="58"/>
      <c r="AA15" s="58"/>
      <c r="AB15" s="58"/>
      <c r="AC15" s="58"/>
      <c r="AD15" s="58"/>
      <c r="AE15" s="58"/>
      <c r="AF15" s="90"/>
    </row>
    <row r="16" spans="1:32" ht="18.75" hidden="1" x14ac:dyDescent="0.3">
      <c r="A16" s="82" t="s">
        <v>31</v>
      </c>
      <c r="B16" s="58">
        <f>B17</f>
        <v>0</v>
      </c>
      <c r="C16" s="58">
        <f>C17</f>
        <v>0</v>
      </c>
      <c r="D16" s="58">
        <f>D17</f>
        <v>0</v>
      </c>
      <c r="E16" s="58" t="e">
        <f>#REF!+E17</f>
        <v>#REF!</v>
      </c>
      <c r="F16" s="47" t="e">
        <f>E16/B16*100</f>
        <v>#REF!</v>
      </c>
      <c r="G16" s="47" t="e">
        <f>E16/C16*100</f>
        <v>#REF!</v>
      </c>
      <c r="H16" s="58"/>
      <c r="I16" s="58"/>
      <c r="J16" s="58"/>
      <c r="K16" s="589"/>
      <c r="L16" s="58"/>
      <c r="M16" s="58"/>
      <c r="N16" s="58"/>
      <c r="O16" s="58"/>
      <c r="P16" s="58"/>
      <c r="Q16" s="58"/>
      <c r="R16" s="58"/>
      <c r="S16" s="58"/>
      <c r="T16" s="58"/>
      <c r="U16" s="58"/>
      <c r="V16" s="58"/>
      <c r="W16" s="58"/>
      <c r="X16" s="58"/>
      <c r="Y16" s="58"/>
      <c r="Z16" s="58"/>
      <c r="AA16" s="58"/>
      <c r="AB16" s="58"/>
      <c r="AC16" s="58"/>
      <c r="AD16" s="58"/>
      <c r="AE16" s="58"/>
      <c r="AF16" s="90"/>
    </row>
    <row r="17" spans="1:32" ht="18.75" hidden="1" x14ac:dyDescent="0.3">
      <c r="A17" s="77" t="s">
        <v>33</v>
      </c>
      <c r="B17" s="47">
        <f>H17+J17+L17+N17+P17+R17+T17+V17+X17+Z17+AB17+AD17</f>
        <v>0</v>
      </c>
      <c r="C17" s="47">
        <f>H17</f>
        <v>0</v>
      </c>
      <c r="D17" s="47"/>
      <c r="E17" s="47">
        <f>K17+M17+O17+Q17+S17+U17+W17+Y17+AA17+AC17+AE17+AG17</f>
        <v>0</v>
      </c>
      <c r="F17" s="47" t="e">
        <f>E17/B17*100</f>
        <v>#DIV/0!</v>
      </c>
      <c r="G17" s="47" t="e">
        <f>E17/C17*100</f>
        <v>#DIV/0!</v>
      </c>
      <c r="H17" s="58"/>
      <c r="I17" s="58"/>
      <c r="J17" s="58"/>
      <c r="K17" s="589"/>
      <c r="L17" s="58"/>
      <c r="M17" s="58"/>
      <c r="N17" s="58"/>
      <c r="O17" s="58"/>
      <c r="P17" s="58"/>
      <c r="Q17" s="58"/>
      <c r="R17" s="58"/>
      <c r="S17" s="58"/>
      <c r="T17" s="58"/>
      <c r="U17" s="58"/>
      <c r="V17" s="58"/>
      <c r="W17" s="58"/>
      <c r="X17" s="58"/>
      <c r="Y17" s="58"/>
      <c r="Z17" s="58"/>
      <c r="AA17" s="58"/>
      <c r="AB17" s="58"/>
      <c r="AC17" s="58"/>
      <c r="AD17" s="58"/>
      <c r="AE17" s="58"/>
      <c r="AF17" s="90"/>
    </row>
    <row r="18" spans="1:32" ht="150" hidden="1" x14ac:dyDescent="0.3">
      <c r="A18" s="78" t="s">
        <v>136</v>
      </c>
      <c r="B18" s="58"/>
      <c r="C18" s="58"/>
      <c r="D18" s="58"/>
      <c r="E18" s="58"/>
      <c r="F18" s="47"/>
      <c r="G18" s="47"/>
      <c r="H18" s="58"/>
      <c r="I18" s="58"/>
      <c r="J18" s="58"/>
      <c r="K18" s="589"/>
      <c r="L18" s="58"/>
      <c r="M18" s="58"/>
      <c r="N18" s="58"/>
      <c r="O18" s="58"/>
      <c r="P18" s="58"/>
      <c r="Q18" s="58"/>
      <c r="R18" s="58"/>
      <c r="S18" s="58"/>
      <c r="T18" s="58"/>
      <c r="U18" s="58"/>
      <c r="V18" s="58"/>
      <c r="W18" s="58"/>
      <c r="X18" s="58"/>
      <c r="Y18" s="58"/>
      <c r="Z18" s="58"/>
      <c r="AA18" s="58"/>
      <c r="AB18" s="58"/>
      <c r="AC18" s="58"/>
      <c r="AD18" s="58"/>
      <c r="AE18" s="58"/>
      <c r="AF18" s="90"/>
    </row>
    <row r="19" spans="1:32" ht="18.75" hidden="1" x14ac:dyDescent="0.3">
      <c r="A19" s="82" t="s">
        <v>31</v>
      </c>
      <c r="B19" s="58">
        <f>B20</f>
        <v>0</v>
      </c>
      <c r="C19" s="58">
        <f>C20</f>
        <v>0</v>
      </c>
      <c r="D19" s="58"/>
      <c r="E19" s="58">
        <f>E20</f>
        <v>0</v>
      </c>
      <c r="F19" s="47" t="e">
        <f>E19/B19*100</f>
        <v>#DIV/0!</v>
      </c>
      <c r="G19" s="47" t="e">
        <f>E19/C19*100</f>
        <v>#DIV/0!</v>
      </c>
      <c r="H19" s="58"/>
      <c r="I19" s="58"/>
      <c r="J19" s="58"/>
      <c r="K19" s="589"/>
      <c r="L19" s="58"/>
      <c r="M19" s="58"/>
      <c r="N19" s="58"/>
      <c r="O19" s="58"/>
      <c r="P19" s="58"/>
      <c r="Q19" s="58"/>
      <c r="R19" s="58"/>
      <c r="S19" s="58"/>
      <c r="T19" s="58"/>
      <c r="U19" s="58"/>
      <c r="V19" s="58"/>
      <c r="W19" s="58"/>
      <c r="X19" s="58"/>
      <c r="Y19" s="58"/>
      <c r="Z19" s="58"/>
      <c r="AA19" s="58"/>
      <c r="AB19" s="58"/>
      <c r="AC19" s="58"/>
      <c r="AD19" s="58"/>
      <c r="AE19" s="58"/>
      <c r="AF19" s="90"/>
    </row>
    <row r="20" spans="1:32" ht="18.75" hidden="1" x14ac:dyDescent="0.3">
      <c r="A20" s="77" t="s">
        <v>33</v>
      </c>
      <c r="B20" s="47">
        <f>H20+J20+L20+N20+P20+R20+T20+V20+X20+Z20+AB20+AD20</f>
        <v>0</v>
      </c>
      <c r="C20" s="47">
        <f>H20</f>
        <v>0</v>
      </c>
      <c r="D20" s="47"/>
      <c r="E20" s="47">
        <f>K20+M20+O20+Q20+S20+U20+W20+Y20+AA20+AC20+AE20+AG20</f>
        <v>0</v>
      </c>
      <c r="F20" s="47" t="e">
        <f>E20/B20*100</f>
        <v>#DIV/0!</v>
      </c>
      <c r="G20" s="47" t="e">
        <f>E20/C20*100</f>
        <v>#DIV/0!</v>
      </c>
      <c r="H20" s="58"/>
      <c r="I20" s="58"/>
      <c r="J20" s="58"/>
      <c r="K20" s="589"/>
      <c r="L20" s="58"/>
      <c r="M20" s="58"/>
      <c r="N20" s="58"/>
      <c r="O20" s="58"/>
      <c r="P20" s="58"/>
      <c r="Q20" s="58"/>
      <c r="R20" s="58"/>
      <c r="S20" s="58"/>
      <c r="T20" s="58"/>
      <c r="U20" s="58"/>
      <c r="V20" s="58"/>
      <c r="W20" s="58"/>
      <c r="X20" s="58"/>
      <c r="Y20" s="58"/>
      <c r="Z20" s="58"/>
      <c r="AA20" s="58"/>
      <c r="AB20" s="58"/>
      <c r="AC20" s="58"/>
      <c r="AD20" s="58"/>
      <c r="AE20" s="58"/>
      <c r="AF20" s="90"/>
    </row>
    <row r="21" spans="1:32" ht="112.5" hidden="1" x14ac:dyDescent="0.3">
      <c r="A21" s="78" t="s">
        <v>137</v>
      </c>
      <c r="B21" s="58"/>
      <c r="C21" s="58"/>
      <c r="D21" s="58"/>
      <c r="E21" s="58"/>
      <c r="F21" s="47"/>
      <c r="G21" s="47"/>
      <c r="H21" s="58"/>
      <c r="I21" s="58"/>
      <c r="J21" s="58"/>
      <c r="K21" s="589"/>
      <c r="L21" s="58"/>
      <c r="M21" s="58"/>
      <c r="N21" s="58"/>
      <c r="O21" s="58"/>
      <c r="P21" s="58"/>
      <c r="Q21" s="58"/>
      <c r="R21" s="58"/>
      <c r="S21" s="58"/>
      <c r="T21" s="58"/>
      <c r="U21" s="58"/>
      <c r="V21" s="58"/>
      <c r="W21" s="58"/>
      <c r="X21" s="58"/>
      <c r="Y21" s="58"/>
      <c r="Z21" s="58"/>
      <c r="AA21" s="58"/>
      <c r="AB21" s="58"/>
      <c r="AC21" s="58"/>
      <c r="AD21" s="58"/>
      <c r="AE21" s="58"/>
      <c r="AF21" s="90"/>
    </row>
    <row r="22" spans="1:32" ht="18.75" hidden="1" x14ac:dyDescent="0.3">
      <c r="A22" s="82" t="s">
        <v>31</v>
      </c>
      <c r="B22" s="58">
        <f>B23</f>
        <v>0</v>
      </c>
      <c r="C22" s="58">
        <f>C23</f>
        <v>0</v>
      </c>
      <c r="D22" s="58"/>
      <c r="E22" s="58">
        <f>E23</f>
        <v>0</v>
      </c>
      <c r="F22" s="47" t="e">
        <f>E22/B22*100</f>
        <v>#DIV/0!</v>
      </c>
      <c r="G22" s="47" t="e">
        <f>E22/C22*100</f>
        <v>#DIV/0!</v>
      </c>
      <c r="H22" s="58"/>
      <c r="I22" s="58"/>
      <c r="J22" s="58"/>
      <c r="K22" s="589"/>
      <c r="L22" s="58"/>
      <c r="M22" s="58"/>
      <c r="N22" s="58"/>
      <c r="O22" s="58"/>
      <c r="P22" s="58"/>
      <c r="Q22" s="58"/>
      <c r="R22" s="58"/>
      <c r="S22" s="58"/>
      <c r="T22" s="58"/>
      <c r="U22" s="58"/>
      <c r="V22" s="58"/>
      <c r="W22" s="58"/>
      <c r="X22" s="58"/>
      <c r="Y22" s="58"/>
      <c r="Z22" s="58"/>
      <c r="AA22" s="58"/>
      <c r="AB22" s="58"/>
      <c r="AC22" s="58"/>
      <c r="AD22" s="58"/>
      <c r="AE22" s="58"/>
      <c r="AF22" s="90"/>
    </row>
    <row r="23" spans="1:32" ht="18.75" hidden="1" x14ac:dyDescent="0.3">
      <c r="A23" s="77" t="s">
        <v>33</v>
      </c>
      <c r="B23" s="47">
        <f>H23+J23+L23+N23+P23+R23+T23+V23+X23+Z23+AB23+AD23</f>
        <v>0</v>
      </c>
      <c r="C23" s="47">
        <f>H23</f>
        <v>0</v>
      </c>
      <c r="D23" s="47"/>
      <c r="E23" s="47">
        <f>K23+M23+O23+Q23+S23+U23+W23+Y23+AA23+AC23+AE23+AG23</f>
        <v>0</v>
      </c>
      <c r="F23" s="47" t="e">
        <f>E23/B23*100</f>
        <v>#DIV/0!</v>
      </c>
      <c r="G23" s="47" t="e">
        <f>E23/C23*100</f>
        <v>#DIV/0!</v>
      </c>
      <c r="H23" s="58"/>
      <c r="I23" s="58"/>
      <c r="J23" s="58"/>
      <c r="K23" s="589"/>
      <c r="L23" s="58"/>
      <c r="M23" s="58"/>
      <c r="N23" s="58"/>
      <c r="O23" s="58"/>
      <c r="P23" s="58"/>
      <c r="Q23" s="58"/>
      <c r="R23" s="58"/>
      <c r="S23" s="58"/>
      <c r="T23" s="58"/>
      <c r="U23" s="58"/>
      <c r="V23" s="58"/>
      <c r="W23" s="58"/>
      <c r="X23" s="58"/>
      <c r="Y23" s="58"/>
      <c r="Z23" s="58"/>
      <c r="AA23" s="58"/>
      <c r="AB23" s="58"/>
      <c r="AC23" s="58"/>
      <c r="AD23" s="58"/>
      <c r="AE23" s="58"/>
      <c r="AF23" s="90"/>
    </row>
    <row r="24" spans="1:32" ht="75" x14ac:dyDescent="0.3">
      <c r="A24" s="83" t="s">
        <v>138</v>
      </c>
      <c r="B24" s="58"/>
      <c r="C24" s="589"/>
      <c r="D24" s="589"/>
      <c r="E24" s="589"/>
      <c r="F24" s="588"/>
      <c r="G24" s="588"/>
      <c r="H24" s="589"/>
      <c r="I24" s="589"/>
      <c r="J24" s="589"/>
      <c r="K24" s="589"/>
      <c r="L24" s="58"/>
      <c r="M24" s="58"/>
      <c r="N24" s="58"/>
      <c r="O24" s="58"/>
      <c r="P24" s="58"/>
      <c r="Q24" s="58"/>
      <c r="R24" s="58"/>
      <c r="S24" s="58"/>
      <c r="T24" s="58"/>
      <c r="U24" s="58"/>
      <c r="V24" s="58"/>
      <c r="W24" s="58"/>
      <c r="X24" s="58"/>
      <c r="Y24" s="58"/>
      <c r="Z24" s="58"/>
      <c r="AA24" s="58"/>
      <c r="AB24" s="58"/>
      <c r="AC24" s="58"/>
      <c r="AD24" s="58"/>
      <c r="AE24" s="58"/>
      <c r="AF24" s="90"/>
    </row>
    <row r="25" spans="1:32" ht="18.75" x14ac:dyDescent="0.3">
      <c r="A25" s="920" t="s">
        <v>31</v>
      </c>
      <c r="B25" s="921">
        <f>B26</f>
        <v>309.8</v>
      </c>
      <c r="C25" s="919">
        <v>0</v>
      </c>
      <c r="D25" s="919">
        <f>D26</f>
        <v>0</v>
      </c>
      <c r="E25" s="919">
        <f>E26</f>
        <v>0</v>
      </c>
      <c r="F25" s="588">
        <f>E25/B25*100</f>
        <v>0</v>
      </c>
      <c r="G25" s="588" t="e">
        <f>E25/C25*100</f>
        <v>#DIV/0!</v>
      </c>
      <c r="H25" s="589">
        <f>H26</f>
        <v>0</v>
      </c>
      <c r="I25" s="589">
        <f t="shared" ref="I25:AE25" si="0">I26</f>
        <v>0</v>
      </c>
      <c r="J25" s="589">
        <f t="shared" si="0"/>
        <v>0</v>
      </c>
      <c r="K25" s="589">
        <v>0</v>
      </c>
      <c r="L25" s="58">
        <f t="shared" si="0"/>
        <v>0</v>
      </c>
      <c r="M25" s="58">
        <f t="shared" si="0"/>
        <v>0</v>
      </c>
      <c r="N25" s="58">
        <f t="shared" si="0"/>
        <v>0</v>
      </c>
      <c r="O25" s="58">
        <f t="shared" si="0"/>
        <v>0</v>
      </c>
      <c r="P25" s="58">
        <f t="shared" si="0"/>
        <v>0</v>
      </c>
      <c r="Q25" s="58">
        <f t="shared" si="0"/>
        <v>0</v>
      </c>
      <c r="R25" s="58">
        <f t="shared" si="0"/>
        <v>0</v>
      </c>
      <c r="S25" s="58">
        <f t="shared" si="0"/>
        <v>0</v>
      </c>
      <c r="T25" s="58">
        <f t="shared" si="0"/>
        <v>0</v>
      </c>
      <c r="U25" s="58">
        <f t="shared" si="0"/>
        <v>0</v>
      </c>
      <c r="V25" s="58">
        <f t="shared" si="0"/>
        <v>0</v>
      </c>
      <c r="W25" s="58">
        <f t="shared" si="0"/>
        <v>0</v>
      </c>
      <c r="X25" s="58">
        <f t="shared" si="0"/>
        <v>0</v>
      </c>
      <c r="Y25" s="58">
        <f t="shared" si="0"/>
        <v>0</v>
      </c>
      <c r="Z25" s="58">
        <f t="shared" si="0"/>
        <v>0</v>
      </c>
      <c r="AA25" s="58">
        <f t="shared" si="0"/>
        <v>0</v>
      </c>
      <c r="AB25" s="58">
        <f t="shared" si="0"/>
        <v>309.8</v>
      </c>
      <c r="AC25" s="58">
        <f t="shared" si="0"/>
        <v>0</v>
      </c>
      <c r="AD25" s="58">
        <f t="shared" si="0"/>
        <v>0</v>
      </c>
      <c r="AE25" s="58">
        <f t="shared" si="0"/>
        <v>0</v>
      </c>
      <c r="AF25" s="90"/>
    </row>
    <row r="26" spans="1:32" ht="18.75" x14ac:dyDescent="0.3">
      <c r="A26" s="77" t="s">
        <v>33</v>
      </c>
      <c r="B26" s="47">
        <f>B29+B32+B35+B38</f>
        <v>309.8</v>
      </c>
      <c r="C26" s="588">
        <f>C29+C32+C35+C38</f>
        <v>0</v>
      </c>
      <c r="D26" s="588">
        <f>D29+D32+D35+D38</f>
        <v>0</v>
      </c>
      <c r="E26" s="588">
        <f>E29+E32+E35+E38</f>
        <v>0</v>
      </c>
      <c r="F26" s="588">
        <f>E26/B26*100</f>
        <v>0</v>
      </c>
      <c r="G26" s="588" t="e">
        <f>E26/C26*100</f>
        <v>#DIV/0!</v>
      </c>
      <c r="H26" s="588">
        <f>H29+H32+H35+H38</f>
        <v>0</v>
      </c>
      <c r="I26" s="588">
        <f t="shared" ref="I26:AE26" si="1">I29+I32+I35+I38</f>
        <v>0</v>
      </c>
      <c r="J26" s="588">
        <f>J29+J32+J35+J38</f>
        <v>0</v>
      </c>
      <c r="K26" s="588">
        <v>0</v>
      </c>
      <c r="L26" s="47">
        <f t="shared" si="1"/>
        <v>0</v>
      </c>
      <c r="M26" s="47">
        <f t="shared" si="1"/>
        <v>0</v>
      </c>
      <c r="N26" s="47">
        <f t="shared" si="1"/>
        <v>0</v>
      </c>
      <c r="O26" s="47">
        <f t="shared" si="1"/>
        <v>0</v>
      </c>
      <c r="P26" s="47">
        <f t="shared" si="1"/>
        <v>0</v>
      </c>
      <c r="Q26" s="47">
        <f t="shared" si="1"/>
        <v>0</v>
      </c>
      <c r="R26" s="47">
        <f t="shared" si="1"/>
        <v>0</v>
      </c>
      <c r="S26" s="47">
        <f t="shared" si="1"/>
        <v>0</v>
      </c>
      <c r="T26" s="47">
        <f t="shared" si="1"/>
        <v>0</v>
      </c>
      <c r="U26" s="47">
        <f t="shared" si="1"/>
        <v>0</v>
      </c>
      <c r="V26" s="47">
        <f t="shared" si="1"/>
        <v>0</v>
      </c>
      <c r="W26" s="47">
        <f t="shared" si="1"/>
        <v>0</v>
      </c>
      <c r="X26" s="47">
        <f t="shared" si="1"/>
        <v>0</v>
      </c>
      <c r="Y26" s="47">
        <f t="shared" si="1"/>
        <v>0</v>
      </c>
      <c r="Z26" s="47">
        <f t="shared" si="1"/>
        <v>0</v>
      </c>
      <c r="AA26" s="47">
        <f t="shared" si="1"/>
        <v>0</v>
      </c>
      <c r="AB26" s="47">
        <f t="shared" si="1"/>
        <v>309.8</v>
      </c>
      <c r="AC26" s="47">
        <f t="shared" si="1"/>
        <v>0</v>
      </c>
      <c r="AD26" s="47">
        <f t="shared" si="1"/>
        <v>0</v>
      </c>
      <c r="AE26" s="47">
        <f t="shared" si="1"/>
        <v>0</v>
      </c>
      <c r="AF26" s="90"/>
    </row>
    <row r="27" spans="1:32" ht="225" x14ac:dyDescent="0.3">
      <c r="A27" s="77" t="s">
        <v>139</v>
      </c>
      <c r="B27" s="58"/>
      <c r="C27" s="589"/>
      <c r="D27" s="589"/>
      <c r="E27" s="589"/>
      <c r="F27" s="588"/>
      <c r="G27" s="588"/>
      <c r="H27" s="589"/>
      <c r="I27" s="589"/>
      <c r="J27" s="589"/>
      <c r="K27" s="589"/>
      <c r="L27" s="58"/>
      <c r="M27" s="58"/>
      <c r="N27" s="58"/>
      <c r="O27" s="58"/>
      <c r="P27" s="58"/>
      <c r="Q27" s="58"/>
      <c r="R27" s="58"/>
      <c r="S27" s="58"/>
      <c r="T27" s="58"/>
      <c r="U27" s="58"/>
      <c r="V27" s="58"/>
      <c r="W27" s="58"/>
      <c r="X27" s="58"/>
      <c r="Y27" s="58"/>
      <c r="Z27" s="58"/>
      <c r="AA27" s="58"/>
      <c r="AB27" s="58"/>
      <c r="AC27" s="58"/>
      <c r="AD27" s="58"/>
      <c r="AE27" s="58"/>
      <c r="AF27" s="90"/>
    </row>
    <row r="28" spans="1:32" ht="18.75" x14ac:dyDescent="0.3">
      <c r="A28" s="82" t="s">
        <v>31</v>
      </c>
      <c r="B28" s="58">
        <f>B29</f>
        <v>309.8</v>
      </c>
      <c r="C28" s="589">
        <f>C29</f>
        <v>0</v>
      </c>
      <c r="D28" s="589">
        <v>0</v>
      </c>
      <c r="E28" s="589">
        <f>E29</f>
        <v>0</v>
      </c>
      <c r="F28" s="588">
        <f>E28/B28*100</f>
        <v>0</v>
      </c>
      <c r="G28" s="588" t="e">
        <f>E28/C28*100</f>
        <v>#DIV/0!</v>
      </c>
      <c r="H28" s="589">
        <f>H29</f>
        <v>0</v>
      </c>
      <c r="I28" s="589">
        <f t="shared" ref="I28:AE28" si="2">I29</f>
        <v>0</v>
      </c>
      <c r="J28" s="589">
        <f t="shared" si="2"/>
        <v>0</v>
      </c>
      <c r="K28" s="589">
        <f t="shared" si="2"/>
        <v>0</v>
      </c>
      <c r="L28" s="58">
        <f t="shared" si="2"/>
        <v>0</v>
      </c>
      <c r="M28" s="58">
        <f t="shared" si="2"/>
        <v>0</v>
      </c>
      <c r="N28" s="58">
        <f t="shared" si="2"/>
        <v>0</v>
      </c>
      <c r="O28" s="58">
        <f t="shared" si="2"/>
        <v>0</v>
      </c>
      <c r="P28" s="58">
        <f t="shared" si="2"/>
        <v>0</v>
      </c>
      <c r="Q28" s="58">
        <f t="shared" si="2"/>
        <v>0</v>
      </c>
      <c r="R28" s="58">
        <f t="shared" si="2"/>
        <v>0</v>
      </c>
      <c r="S28" s="58">
        <f t="shared" si="2"/>
        <v>0</v>
      </c>
      <c r="T28" s="58">
        <f t="shared" si="2"/>
        <v>0</v>
      </c>
      <c r="U28" s="58">
        <f t="shared" si="2"/>
        <v>0</v>
      </c>
      <c r="V28" s="58">
        <f t="shared" si="2"/>
        <v>0</v>
      </c>
      <c r="W28" s="58">
        <f t="shared" si="2"/>
        <v>0</v>
      </c>
      <c r="X28" s="58">
        <f t="shared" si="2"/>
        <v>0</v>
      </c>
      <c r="Y28" s="58">
        <f t="shared" si="2"/>
        <v>0</v>
      </c>
      <c r="Z28" s="58">
        <f t="shared" si="2"/>
        <v>0</v>
      </c>
      <c r="AA28" s="58">
        <f t="shared" si="2"/>
        <v>0</v>
      </c>
      <c r="AB28" s="58">
        <f t="shared" si="2"/>
        <v>309.8</v>
      </c>
      <c r="AC28" s="58">
        <f t="shared" si="2"/>
        <v>0</v>
      </c>
      <c r="AD28" s="58">
        <f t="shared" si="2"/>
        <v>0</v>
      </c>
      <c r="AE28" s="58">
        <f t="shared" si="2"/>
        <v>0</v>
      </c>
      <c r="AF28" s="90"/>
    </row>
    <row r="29" spans="1:32" ht="18.75" x14ac:dyDescent="0.3">
      <c r="A29" s="77" t="s">
        <v>33</v>
      </c>
      <c r="B29" s="47">
        <f>H29+J29+L29+N29+P29+R29+T29+V29+X29+Z29+AB29+AD29</f>
        <v>309.8</v>
      </c>
      <c r="C29" s="588">
        <f>H29</f>
        <v>0</v>
      </c>
      <c r="D29" s="591">
        <v>0</v>
      </c>
      <c r="E29" s="588">
        <f>K29+M29+O29+Q29+S29+U29+W29+Y29+AA29+AC29+AE29+AG29</f>
        <v>0</v>
      </c>
      <c r="F29" s="588">
        <f>E29/B29*100</f>
        <v>0</v>
      </c>
      <c r="G29" s="588" t="e">
        <f>E29/C29*100</f>
        <v>#DIV/0!</v>
      </c>
      <c r="H29" s="589">
        <v>0</v>
      </c>
      <c r="I29" s="589">
        <v>0</v>
      </c>
      <c r="J29" s="589">
        <v>0</v>
      </c>
      <c r="K29" s="589">
        <v>0</v>
      </c>
      <c r="L29" s="58"/>
      <c r="M29" s="58"/>
      <c r="N29" s="58"/>
      <c r="O29" s="58"/>
      <c r="P29" s="58"/>
      <c r="Q29" s="58"/>
      <c r="R29" s="58"/>
      <c r="S29" s="58"/>
      <c r="T29" s="58"/>
      <c r="U29" s="58"/>
      <c r="V29" s="58"/>
      <c r="W29" s="58"/>
      <c r="X29" s="58"/>
      <c r="Y29" s="58"/>
      <c r="Z29" s="58"/>
      <c r="AA29" s="58"/>
      <c r="AB29" s="58">
        <v>309.8</v>
      </c>
      <c r="AC29" s="58"/>
      <c r="AD29" s="58"/>
      <c r="AE29" s="58"/>
      <c r="AF29" s="90"/>
    </row>
    <row r="30" spans="1:32" ht="337.5" hidden="1" x14ac:dyDescent="0.3">
      <c r="A30" s="77" t="s">
        <v>140</v>
      </c>
      <c r="B30" s="58"/>
      <c r="C30" s="589"/>
      <c r="D30" s="589"/>
      <c r="E30" s="589"/>
      <c r="F30" s="588"/>
      <c r="G30" s="588"/>
      <c r="H30" s="589"/>
      <c r="I30" s="589"/>
      <c r="J30" s="589"/>
      <c r="K30" s="589"/>
      <c r="L30" s="58"/>
      <c r="M30" s="58"/>
      <c r="N30" s="58"/>
      <c r="O30" s="58"/>
      <c r="P30" s="58"/>
      <c r="Q30" s="58"/>
      <c r="R30" s="58"/>
      <c r="S30" s="58"/>
      <c r="T30" s="58"/>
      <c r="U30" s="58"/>
      <c r="V30" s="58"/>
      <c r="W30" s="58"/>
      <c r="X30" s="58"/>
      <c r="Y30" s="58"/>
      <c r="Z30" s="58"/>
      <c r="AA30" s="58"/>
      <c r="AB30" s="58"/>
      <c r="AC30" s="58"/>
      <c r="AD30" s="58"/>
      <c r="AE30" s="58"/>
      <c r="AF30" s="90"/>
    </row>
    <row r="31" spans="1:32" ht="18.75" hidden="1" x14ac:dyDescent="0.3">
      <c r="A31" s="82" t="s">
        <v>31</v>
      </c>
      <c r="B31" s="58">
        <f>B32</f>
        <v>0</v>
      </c>
      <c r="C31" s="589">
        <f>C32</f>
        <v>0</v>
      </c>
      <c r="D31" s="589"/>
      <c r="E31" s="589">
        <f>E32</f>
        <v>0</v>
      </c>
      <c r="F31" s="588"/>
      <c r="G31" s="588"/>
      <c r="H31" s="589"/>
      <c r="I31" s="589"/>
      <c r="J31" s="589"/>
      <c r="K31" s="589"/>
      <c r="L31" s="58"/>
      <c r="M31" s="58"/>
      <c r="N31" s="58"/>
      <c r="O31" s="58"/>
      <c r="P31" s="58"/>
      <c r="Q31" s="58"/>
      <c r="R31" s="58"/>
      <c r="S31" s="58"/>
      <c r="T31" s="58"/>
      <c r="U31" s="58"/>
      <c r="V31" s="58"/>
      <c r="W31" s="58"/>
      <c r="X31" s="58"/>
      <c r="Y31" s="58"/>
      <c r="Z31" s="58"/>
      <c r="AA31" s="58"/>
      <c r="AB31" s="58"/>
      <c r="AC31" s="58"/>
      <c r="AD31" s="58"/>
      <c r="AE31" s="58"/>
      <c r="AF31" s="90"/>
    </row>
    <row r="32" spans="1:32" ht="18.75" hidden="1" x14ac:dyDescent="0.3">
      <c r="A32" s="77" t="s">
        <v>33</v>
      </c>
      <c r="B32" s="47">
        <f>H32+J32+L32+N32+P32+R32+T32+V32+X32+Z32+AB32+AD32</f>
        <v>0</v>
      </c>
      <c r="C32" s="588">
        <f>H32</f>
        <v>0</v>
      </c>
      <c r="D32" s="588"/>
      <c r="E32" s="588">
        <f>K32+M32+O32+Q32+S32+U32+W32+Y32+AA32+AC32+AE32+AG32</f>
        <v>0</v>
      </c>
      <c r="F32" s="588" t="e">
        <f>E32/B32*100</f>
        <v>#DIV/0!</v>
      </c>
      <c r="G32" s="588" t="e">
        <f>E32/C32*100</f>
        <v>#DIV/0!</v>
      </c>
      <c r="H32" s="589"/>
      <c r="I32" s="589"/>
      <c r="J32" s="589"/>
      <c r="K32" s="589"/>
      <c r="L32" s="58"/>
      <c r="M32" s="58"/>
      <c r="N32" s="58"/>
      <c r="O32" s="58"/>
      <c r="P32" s="58"/>
      <c r="Q32" s="58"/>
      <c r="R32" s="58"/>
      <c r="S32" s="58"/>
      <c r="T32" s="58"/>
      <c r="U32" s="58"/>
      <c r="V32" s="58"/>
      <c r="W32" s="58"/>
      <c r="X32" s="58"/>
      <c r="Y32" s="58"/>
      <c r="Z32" s="58"/>
      <c r="AA32" s="58"/>
      <c r="AB32" s="58"/>
      <c r="AC32" s="58"/>
      <c r="AD32" s="58"/>
      <c r="AE32" s="58"/>
      <c r="AF32" s="90"/>
    </row>
    <row r="33" spans="1:32" ht="112.5" hidden="1" x14ac:dyDescent="0.3">
      <c r="A33" s="77" t="s">
        <v>141</v>
      </c>
      <c r="B33" s="58"/>
      <c r="C33" s="589"/>
      <c r="D33" s="589"/>
      <c r="E33" s="589"/>
      <c r="F33" s="588"/>
      <c r="G33" s="588"/>
      <c r="H33" s="589"/>
      <c r="I33" s="589"/>
      <c r="J33" s="589"/>
      <c r="K33" s="589"/>
      <c r="L33" s="58"/>
      <c r="M33" s="58"/>
      <c r="N33" s="58"/>
      <c r="O33" s="58"/>
      <c r="P33" s="58"/>
      <c r="Q33" s="58"/>
      <c r="R33" s="58"/>
      <c r="S33" s="58"/>
      <c r="T33" s="58"/>
      <c r="U33" s="58"/>
      <c r="V33" s="58"/>
      <c r="W33" s="58"/>
      <c r="X33" s="58"/>
      <c r="Y33" s="58"/>
      <c r="Z33" s="58"/>
      <c r="AA33" s="58"/>
      <c r="AB33" s="58"/>
      <c r="AC33" s="58"/>
      <c r="AD33" s="58"/>
      <c r="AE33" s="58"/>
      <c r="AF33" s="90"/>
    </row>
    <row r="34" spans="1:32" ht="18.75" hidden="1" x14ac:dyDescent="0.3">
      <c r="A34" s="82" t="s">
        <v>31</v>
      </c>
      <c r="B34" s="58">
        <f>B35</f>
        <v>0</v>
      </c>
      <c r="C34" s="589">
        <f>C35</f>
        <v>0</v>
      </c>
      <c r="D34" s="589">
        <f>D35</f>
        <v>0</v>
      </c>
      <c r="E34" s="589">
        <f>E35</f>
        <v>0</v>
      </c>
      <c r="F34" s="588" t="e">
        <f>E34/B34*100</f>
        <v>#DIV/0!</v>
      </c>
      <c r="G34" s="588" t="e">
        <f>E34/C34*100</f>
        <v>#DIV/0!</v>
      </c>
      <c r="H34" s="590"/>
      <c r="I34" s="590"/>
      <c r="J34" s="590"/>
      <c r="K34" s="590"/>
      <c r="L34" s="94"/>
      <c r="M34" s="94"/>
      <c r="N34" s="94"/>
      <c r="O34" s="94"/>
      <c r="P34" s="94"/>
      <c r="Q34" s="94"/>
      <c r="R34" s="94"/>
      <c r="S34" s="94"/>
      <c r="T34" s="94"/>
      <c r="U34" s="94"/>
      <c r="V34" s="94"/>
      <c r="W34" s="94"/>
      <c r="X34" s="94"/>
      <c r="Y34" s="94"/>
      <c r="Z34" s="94"/>
      <c r="AA34" s="94"/>
      <c r="AB34" s="94"/>
      <c r="AC34" s="94"/>
      <c r="AD34" s="94"/>
      <c r="AE34" s="94"/>
      <c r="AF34" s="90"/>
    </row>
    <row r="35" spans="1:32" ht="18.75" hidden="1" x14ac:dyDescent="0.3">
      <c r="A35" s="77" t="s">
        <v>33</v>
      </c>
      <c r="B35" s="47">
        <f>H35+J35+L35+N35+P35+R35+T35+V35+X35+Z35+AB35+AD35</f>
        <v>0</v>
      </c>
      <c r="C35" s="588">
        <f>H35</f>
        <v>0</v>
      </c>
      <c r="D35" s="588"/>
      <c r="E35" s="588">
        <f>K35+M35+O35+Q35+S35+U35+W35+Y35+AA35+AC35+AE35+AG32</f>
        <v>0</v>
      </c>
      <c r="F35" s="588" t="e">
        <f>E35/B35*100</f>
        <v>#DIV/0!</v>
      </c>
      <c r="G35" s="588" t="e">
        <f>E35/C35*100</f>
        <v>#DIV/0!</v>
      </c>
      <c r="H35" s="590"/>
      <c r="I35" s="590"/>
      <c r="J35" s="590"/>
      <c r="K35" s="590"/>
      <c r="L35" s="94"/>
      <c r="M35" s="94"/>
      <c r="N35" s="94"/>
      <c r="O35" s="94"/>
      <c r="P35" s="94"/>
      <c r="Q35" s="94"/>
      <c r="R35" s="94"/>
      <c r="S35" s="94"/>
      <c r="T35" s="94"/>
      <c r="U35" s="94"/>
      <c r="V35" s="94"/>
      <c r="W35" s="94"/>
      <c r="X35" s="94"/>
      <c r="Y35" s="94"/>
      <c r="Z35" s="94"/>
      <c r="AA35" s="94"/>
      <c r="AB35" s="94"/>
      <c r="AC35" s="94"/>
      <c r="AD35" s="94"/>
      <c r="AE35" s="94"/>
      <c r="AF35" s="90"/>
    </row>
    <row r="36" spans="1:32" ht="187.5" hidden="1" x14ac:dyDescent="0.3">
      <c r="A36" s="77" t="s">
        <v>142</v>
      </c>
      <c r="B36" s="58"/>
      <c r="C36" s="589"/>
      <c r="D36" s="589"/>
      <c r="E36" s="589"/>
      <c r="F36" s="588"/>
      <c r="G36" s="588"/>
      <c r="H36" s="589"/>
      <c r="I36" s="589"/>
      <c r="J36" s="589"/>
      <c r="K36" s="589"/>
      <c r="L36" s="58"/>
      <c r="M36" s="58"/>
      <c r="N36" s="58"/>
      <c r="O36" s="58"/>
      <c r="P36" s="58"/>
      <c r="Q36" s="58"/>
      <c r="R36" s="58"/>
      <c r="S36" s="58"/>
      <c r="T36" s="58"/>
      <c r="U36" s="58"/>
      <c r="V36" s="58"/>
      <c r="W36" s="58"/>
      <c r="X36" s="58"/>
      <c r="Y36" s="58"/>
      <c r="Z36" s="58"/>
      <c r="AA36" s="58"/>
      <c r="AB36" s="58"/>
      <c r="AC36" s="58"/>
      <c r="AD36" s="58"/>
      <c r="AE36" s="58"/>
      <c r="AF36" s="90"/>
    </row>
    <row r="37" spans="1:32" ht="18.75" hidden="1" x14ac:dyDescent="0.3">
      <c r="A37" s="82" t="s">
        <v>31</v>
      </c>
      <c r="B37" s="58">
        <f>B38</f>
        <v>0</v>
      </c>
      <c r="C37" s="589">
        <f>C38</f>
        <v>0</v>
      </c>
      <c r="D37" s="589">
        <f>D38</f>
        <v>0</v>
      </c>
      <c r="E37" s="589">
        <f>E38</f>
        <v>0</v>
      </c>
      <c r="F37" s="588" t="e">
        <f>E37/B37*100</f>
        <v>#DIV/0!</v>
      </c>
      <c r="G37" s="588" t="e">
        <f>E37/C37*100</f>
        <v>#DIV/0!</v>
      </c>
      <c r="H37" s="589"/>
      <c r="I37" s="589"/>
      <c r="J37" s="589"/>
      <c r="K37" s="589"/>
      <c r="L37" s="58"/>
      <c r="M37" s="58"/>
      <c r="N37" s="58"/>
      <c r="O37" s="58"/>
      <c r="P37" s="58"/>
      <c r="Q37" s="58"/>
      <c r="R37" s="58"/>
      <c r="S37" s="58"/>
      <c r="T37" s="58"/>
      <c r="U37" s="58"/>
      <c r="V37" s="58"/>
      <c r="W37" s="58"/>
      <c r="X37" s="58"/>
      <c r="Y37" s="58"/>
      <c r="Z37" s="58"/>
      <c r="AA37" s="58"/>
      <c r="AB37" s="58"/>
      <c r="AC37" s="58"/>
      <c r="AD37" s="58"/>
      <c r="AE37" s="58"/>
      <c r="AF37" s="90"/>
    </row>
    <row r="38" spans="1:32" ht="18.75" hidden="1" x14ac:dyDescent="0.3">
      <c r="A38" s="77" t="s">
        <v>33</v>
      </c>
      <c r="B38" s="47">
        <f>H38+J38+L38+N38+P38+R38+T38+V38+X38+Z38+AB38+AD38</f>
        <v>0</v>
      </c>
      <c r="C38" s="588">
        <f>H38</f>
        <v>0</v>
      </c>
      <c r="D38" s="588"/>
      <c r="E38" s="588">
        <f>K38+M38+O38+Q38+S38+U38+W38+Y38+AA38+AC38+AE38+AG35</f>
        <v>0</v>
      </c>
      <c r="F38" s="588" t="e">
        <f>E38/B38*100</f>
        <v>#DIV/0!</v>
      </c>
      <c r="G38" s="588" t="e">
        <f>E38/C38*100</f>
        <v>#DIV/0!</v>
      </c>
      <c r="H38" s="589"/>
      <c r="I38" s="589"/>
      <c r="J38" s="589"/>
      <c r="K38" s="589"/>
      <c r="L38" s="58"/>
      <c r="M38" s="58"/>
      <c r="N38" s="58"/>
      <c r="O38" s="58"/>
      <c r="P38" s="58"/>
      <c r="Q38" s="58"/>
      <c r="R38" s="58"/>
      <c r="S38" s="58"/>
      <c r="T38" s="58"/>
      <c r="U38" s="58"/>
      <c r="V38" s="58"/>
      <c r="W38" s="58"/>
      <c r="X38" s="58"/>
      <c r="Y38" s="58"/>
      <c r="Z38" s="58"/>
      <c r="AA38" s="58"/>
      <c r="AB38" s="58"/>
      <c r="AC38" s="58"/>
      <c r="AD38" s="58"/>
      <c r="AE38" s="58"/>
      <c r="AF38" s="90"/>
    </row>
    <row r="39" spans="1:32" ht="243.75" x14ac:dyDescent="0.3">
      <c r="A39" s="78" t="s">
        <v>161</v>
      </c>
      <c r="B39" s="58"/>
      <c r="C39" s="589"/>
      <c r="D39" s="589"/>
      <c r="E39" s="589"/>
      <c r="F39" s="588"/>
      <c r="G39" s="588"/>
      <c r="H39" s="589"/>
      <c r="I39" s="589"/>
      <c r="J39" s="589"/>
      <c r="K39" s="589"/>
      <c r="L39" s="58"/>
      <c r="M39" s="58"/>
      <c r="N39" s="58"/>
      <c r="O39" s="58"/>
      <c r="P39" s="58"/>
      <c r="Q39" s="58"/>
      <c r="R39" s="58"/>
      <c r="S39" s="58"/>
      <c r="T39" s="58"/>
      <c r="U39" s="58"/>
      <c r="V39" s="58"/>
      <c r="W39" s="58"/>
      <c r="X39" s="58"/>
      <c r="Y39" s="58"/>
      <c r="Z39" s="58"/>
      <c r="AA39" s="58"/>
      <c r="AB39" s="58"/>
      <c r="AC39" s="58"/>
      <c r="AD39" s="58"/>
      <c r="AE39" s="58"/>
      <c r="AF39" s="685" t="s">
        <v>502</v>
      </c>
    </row>
    <row r="40" spans="1:32" ht="18.75" x14ac:dyDescent="0.3">
      <c r="A40" s="920" t="s">
        <v>31</v>
      </c>
      <c r="B40" s="921">
        <f>B41+B42</f>
        <v>652</v>
      </c>
      <c r="C40" s="919">
        <f>C41+C42</f>
        <v>350</v>
      </c>
      <c r="D40" s="919">
        <f>D41+D42</f>
        <v>350</v>
      </c>
      <c r="E40" s="919">
        <f>E41+E42</f>
        <v>350</v>
      </c>
      <c r="F40" s="588">
        <f>E40/B40*100</f>
        <v>53.680981595092028</v>
      </c>
      <c r="G40" s="588">
        <f>E40/C40*100</f>
        <v>100</v>
      </c>
      <c r="H40" s="589">
        <f>H41+H42</f>
        <v>0</v>
      </c>
      <c r="I40" s="589">
        <f t="shared" ref="I40:AE40" si="3">I41+I42</f>
        <v>0</v>
      </c>
      <c r="J40" s="589">
        <f t="shared" si="3"/>
        <v>0</v>
      </c>
      <c r="K40" s="589">
        <f t="shared" si="3"/>
        <v>0</v>
      </c>
      <c r="L40" s="58">
        <v>350</v>
      </c>
      <c r="M40" s="58">
        <f t="shared" si="3"/>
        <v>122.8</v>
      </c>
      <c r="N40" s="58">
        <f t="shared" si="3"/>
        <v>0</v>
      </c>
      <c r="O40" s="58">
        <f t="shared" si="3"/>
        <v>27.2</v>
      </c>
      <c r="P40" s="58">
        <f t="shared" si="3"/>
        <v>0</v>
      </c>
      <c r="Q40" s="58">
        <f t="shared" si="3"/>
        <v>200</v>
      </c>
      <c r="R40" s="58">
        <f t="shared" si="3"/>
        <v>0</v>
      </c>
      <c r="S40" s="58">
        <f t="shared" si="3"/>
        <v>0</v>
      </c>
      <c r="T40" s="58">
        <f t="shared" si="3"/>
        <v>0</v>
      </c>
      <c r="U40" s="58">
        <f t="shared" si="3"/>
        <v>0</v>
      </c>
      <c r="V40" s="58">
        <f t="shared" si="3"/>
        <v>0</v>
      </c>
      <c r="W40" s="58">
        <f t="shared" si="3"/>
        <v>0</v>
      </c>
      <c r="X40" s="58">
        <f t="shared" si="3"/>
        <v>0</v>
      </c>
      <c r="Y40" s="58">
        <f t="shared" si="3"/>
        <v>0</v>
      </c>
      <c r="Z40" s="58">
        <f t="shared" si="3"/>
        <v>302</v>
      </c>
      <c r="AA40" s="58">
        <f t="shared" si="3"/>
        <v>0</v>
      </c>
      <c r="AB40" s="58">
        <f t="shared" si="3"/>
        <v>0</v>
      </c>
      <c r="AC40" s="58">
        <f t="shared" si="3"/>
        <v>0</v>
      </c>
      <c r="AD40" s="58">
        <f t="shared" si="3"/>
        <v>0</v>
      </c>
      <c r="AE40" s="58">
        <f t="shared" si="3"/>
        <v>0</v>
      </c>
      <c r="AF40" s="90"/>
    </row>
    <row r="41" spans="1:32" ht="18.75" x14ac:dyDescent="0.3">
      <c r="A41" s="920" t="s">
        <v>143</v>
      </c>
      <c r="B41" s="921">
        <f>H41+J41+L41+N41+P41+R41+T41+V41+X41+Z41+AB41+AD41</f>
        <v>195.6</v>
      </c>
      <c r="C41" s="919">
        <f>M41</f>
        <v>97.8</v>
      </c>
      <c r="D41" s="919">
        <f>M41</f>
        <v>97.8</v>
      </c>
      <c r="E41" s="919">
        <f>M41</f>
        <v>97.8</v>
      </c>
      <c r="F41" s="588">
        <f>E41/B41*100</f>
        <v>50</v>
      </c>
      <c r="G41" s="588">
        <f>E41/C41*100</f>
        <v>100</v>
      </c>
      <c r="H41" s="589">
        <v>0</v>
      </c>
      <c r="I41" s="589">
        <v>0</v>
      </c>
      <c r="J41" s="589">
        <v>0</v>
      </c>
      <c r="K41" s="589">
        <v>0</v>
      </c>
      <c r="L41" s="58">
        <v>97.8</v>
      </c>
      <c r="M41" s="58">
        <v>97.8</v>
      </c>
      <c r="N41" s="58">
        <v>0</v>
      </c>
      <c r="O41" s="58">
        <v>0</v>
      </c>
      <c r="P41" s="58">
        <v>0</v>
      </c>
      <c r="Q41" s="58">
        <v>0</v>
      </c>
      <c r="R41" s="58"/>
      <c r="S41" s="58"/>
      <c r="T41" s="58"/>
      <c r="U41" s="58"/>
      <c r="V41" s="58"/>
      <c r="W41" s="58"/>
      <c r="X41" s="58"/>
      <c r="Y41" s="58"/>
      <c r="Z41" s="58">
        <v>97.8</v>
      </c>
      <c r="AA41" s="58"/>
      <c r="AB41" s="58"/>
      <c r="AC41" s="58"/>
      <c r="AD41" s="58"/>
      <c r="AE41" s="58"/>
      <c r="AF41" s="90"/>
    </row>
    <row r="42" spans="1:32" ht="18.75" x14ac:dyDescent="0.3">
      <c r="A42" s="922" t="s">
        <v>33</v>
      </c>
      <c r="B42" s="921">
        <f>H42+J42+L42+N42+P42+R42+T42+V42+X42+Z42+AB42+AD42</f>
        <v>456.4</v>
      </c>
      <c r="C42" s="919">
        <f>M42+O42+Q42</f>
        <v>252.2</v>
      </c>
      <c r="D42" s="919">
        <f>M42+O42+Q42</f>
        <v>252.2</v>
      </c>
      <c r="E42" s="588">
        <f>K42+M42+O42+Q42+S42+U42+W42+Y42+AA42+AC42+AE42+AG38</f>
        <v>252.2</v>
      </c>
      <c r="F42" s="588">
        <f>E42/B42*100</f>
        <v>55.25854513584575</v>
      </c>
      <c r="G42" s="588">
        <f>E42/C42*100</f>
        <v>100</v>
      </c>
      <c r="H42" s="589">
        <v>0</v>
      </c>
      <c r="I42" s="589">
        <v>0</v>
      </c>
      <c r="J42" s="589">
        <v>0</v>
      </c>
      <c r="K42" s="589">
        <v>0</v>
      </c>
      <c r="L42" s="58">
        <v>252.2</v>
      </c>
      <c r="M42" s="58">
        <v>25</v>
      </c>
      <c r="N42" s="58">
        <v>0</v>
      </c>
      <c r="O42" s="58">
        <v>27.2</v>
      </c>
      <c r="P42" s="58">
        <v>0</v>
      </c>
      <c r="Q42" s="58">
        <v>200</v>
      </c>
      <c r="R42" s="58"/>
      <c r="S42" s="58"/>
      <c r="T42" s="58"/>
      <c r="U42" s="58"/>
      <c r="V42" s="58"/>
      <c r="W42" s="58"/>
      <c r="X42" s="58"/>
      <c r="Y42" s="58"/>
      <c r="Z42" s="58">
        <v>204.2</v>
      </c>
      <c r="AA42" s="58"/>
      <c r="AB42" s="58"/>
      <c r="AC42" s="58"/>
      <c r="AD42" s="58"/>
      <c r="AE42" s="58"/>
      <c r="AF42" s="90"/>
    </row>
    <row r="43" spans="1:32" ht="37.5" x14ac:dyDescent="0.3">
      <c r="A43" s="923" t="s">
        <v>130</v>
      </c>
      <c r="B43" s="921">
        <f>H43+J43+L43+N43+P43+R43+T43+V43+X43+Z43+AB43+AD43</f>
        <v>456.4</v>
      </c>
      <c r="C43" s="588">
        <f>M43+O43+Q43</f>
        <v>252.2</v>
      </c>
      <c r="D43" s="588">
        <f>M43+O43+Q43</f>
        <v>252.2</v>
      </c>
      <c r="E43" s="588">
        <f>K43+M43+O43+Q43+S43+U43+W43+Y43+AA43+AC43+AE43+AG39</f>
        <v>252.2</v>
      </c>
      <c r="F43" s="588">
        <f>E43/B43*100</f>
        <v>55.25854513584575</v>
      </c>
      <c r="G43" s="588">
        <f>E43/C43*100</f>
        <v>100</v>
      </c>
      <c r="H43" s="589">
        <v>0</v>
      </c>
      <c r="I43" s="589">
        <v>0</v>
      </c>
      <c r="J43" s="589">
        <v>0</v>
      </c>
      <c r="K43" s="589">
        <v>0</v>
      </c>
      <c r="L43" s="58">
        <v>228.2</v>
      </c>
      <c r="M43" s="58">
        <v>25</v>
      </c>
      <c r="N43" s="58">
        <v>0</v>
      </c>
      <c r="O43" s="58">
        <v>27.2</v>
      </c>
      <c r="P43" s="58">
        <v>0</v>
      </c>
      <c r="Q43" s="58">
        <v>200</v>
      </c>
      <c r="R43" s="58"/>
      <c r="S43" s="58"/>
      <c r="T43" s="58"/>
      <c r="U43" s="58"/>
      <c r="V43" s="58"/>
      <c r="W43" s="58"/>
      <c r="X43" s="58"/>
      <c r="Y43" s="58"/>
      <c r="Z43" s="58">
        <v>228.2</v>
      </c>
      <c r="AA43" s="58"/>
      <c r="AB43" s="58"/>
      <c r="AC43" s="58"/>
      <c r="AD43" s="58"/>
      <c r="AE43" s="58"/>
      <c r="AF43" s="90"/>
    </row>
    <row r="44" spans="1:32" ht="112.5" hidden="1" x14ac:dyDescent="0.3">
      <c r="A44" s="78" t="s">
        <v>144</v>
      </c>
      <c r="B44" s="58"/>
      <c r="C44" s="589"/>
      <c r="D44" s="589"/>
      <c r="E44" s="589"/>
      <c r="F44" s="588"/>
      <c r="G44" s="588"/>
      <c r="H44" s="589"/>
      <c r="I44" s="589"/>
      <c r="J44" s="589"/>
      <c r="K44" s="589"/>
      <c r="L44" s="58"/>
      <c r="M44" s="58"/>
      <c r="N44" s="58"/>
      <c r="O44" s="58"/>
      <c r="P44" s="58"/>
      <c r="Q44" s="58"/>
      <c r="R44" s="58"/>
      <c r="S44" s="58"/>
      <c r="T44" s="58"/>
      <c r="U44" s="58"/>
      <c r="V44" s="58"/>
      <c r="W44" s="58"/>
      <c r="X44" s="58"/>
      <c r="Y44" s="58"/>
      <c r="Z44" s="58"/>
      <c r="AA44" s="58"/>
      <c r="AB44" s="58"/>
      <c r="AC44" s="58"/>
      <c r="AD44" s="58"/>
      <c r="AE44" s="58"/>
      <c r="AF44" s="90"/>
    </row>
    <row r="45" spans="1:32" ht="18.75" hidden="1" x14ac:dyDescent="0.3">
      <c r="A45" s="82" t="s">
        <v>31</v>
      </c>
      <c r="B45" s="58">
        <f>B46</f>
        <v>0</v>
      </c>
      <c r="C45" s="589">
        <f>C46</f>
        <v>0</v>
      </c>
      <c r="D45" s="589"/>
      <c r="E45" s="589">
        <f>E46</f>
        <v>0</v>
      </c>
      <c r="F45" s="588" t="e">
        <f>E45/B45*100</f>
        <v>#DIV/0!</v>
      </c>
      <c r="G45" s="588" t="e">
        <f>E45/C45*100</f>
        <v>#DIV/0!</v>
      </c>
      <c r="H45" s="589"/>
      <c r="I45" s="589"/>
      <c r="J45" s="589"/>
      <c r="K45" s="589"/>
      <c r="L45" s="58"/>
      <c r="M45" s="58"/>
      <c r="N45" s="58"/>
      <c r="O45" s="58"/>
      <c r="P45" s="58"/>
      <c r="Q45" s="58"/>
      <c r="R45" s="58"/>
      <c r="S45" s="58"/>
      <c r="T45" s="58"/>
      <c r="U45" s="58"/>
      <c r="V45" s="58"/>
      <c r="W45" s="58"/>
      <c r="X45" s="58"/>
      <c r="Y45" s="58"/>
      <c r="Z45" s="58"/>
      <c r="AA45" s="58"/>
      <c r="AB45" s="58"/>
      <c r="AC45" s="58"/>
      <c r="AD45" s="58"/>
      <c r="AE45" s="58">
        <f>AE46</f>
        <v>0</v>
      </c>
      <c r="AF45" s="90"/>
    </row>
    <row r="46" spans="1:32" ht="18.75" hidden="1" x14ac:dyDescent="0.3">
      <c r="A46" s="77" t="s">
        <v>33</v>
      </c>
      <c r="B46" s="47">
        <f>H46+J46+L46+N46+P46+R46+T46+V46+X46+Z46+AB46+AD46</f>
        <v>0</v>
      </c>
      <c r="C46" s="588">
        <f>H46</f>
        <v>0</v>
      </c>
      <c r="D46" s="588"/>
      <c r="E46" s="588">
        <f>K46+M46+O46+Q46+S46+U46+W46+Y46+AA46+AC46+AE46+AG42</f>
        <v>0</v>
      </c>
      <c r="F46" s="588" t="e">
        <f>E46/B46*100</f>
        <v>#DIV/0!</v>
      </c>
      <c r="G46" s="588" t="e">
        <f>E46/C46*100</f>
        <v>#DIV/0!</v>
      </c>
      <c r="H46" s="589"/>
      <c r="I46" s="589"/>
      <c r="J46" s="589"/>
      <c r="K46" s="589"/>
      <c r="L46" s="58"/>
      <c r="M46" s="58"/>
      <c r="N46" s="58"/>
      <c r="O46" s="58"/>
      <c r="P46" s="58"/>
      <c r="Q46" s="58"/>
      <c r="R46" s="58"/>
      <c r="S46" s="58"/>
      <c r="T46" s="58"/>
      <c r="U46" s="58"/>
      <c r="V46" s="58"/>
      <c r="W46" s="58"/>
      <c r="X46" s="58"/>
      <c r="Y46" s="58"/>
      <c r="Z46" s="58"/>
      <c r="AA46" s="58"/>
      <c r="AB46" s="58"/>
      <c r="AC46" s="58"/>
      <c r="AD46" s="58"/>
      <c r="AE46" s="58"/>
      <c r="AF46" s="90"/>
    </row>
    <row r="47" spans="1:32" ht="281.25" hidden="1" x14ac:dyDescent="0.3">
      <c r="A47" s="78" t="s">
        <v>145</v>
      </c>
      <c r="B47" s="58"/>
      <c r="C47" s="589"/>
      <c r="D47" s="589"/>
      <c r="E47" s="589"/>
      <c r="F47" s="588"/>
      <c r="G47" s="588"/>
      <c r="H47" s="589"/>
      <c r="I47" s="589"/>
      <c r="J47" s="589"/>
      <c r="K47" s="589"/>
      <c r="L47" s="58"/>
      <c r="M47" s="58"/>
      <c r="N47" s="58"/>
      <c r="O47" s="58"/>
      <c r="P47" s="58"/>
      <c r="Q47" s="58"/>
      <c r="R47" s="58"/>
      <c r="S47" s="58"/>
      <c r="T47" s="58"/>
      <c r="U47" s="58"/>
      <c r="V47" s="58"/>
      <c r="W47" s="58"/>
      <c r="X47" s="58"/>
      <c r="Y47" s="58"/>
      <c r="Z47" s="58"/>
      <c r="AA47" s="58"/>
      <c r="AB47" s="58"/>
      <c r="AC47" s="58"/>
      <c r="AD47" s="58"/>
      <c r="AE47" s="58"/>
      <c r="AF47" s="90"/>
    </row>
    <row r="48" spans="1:32" ht="18.75" hidden="1" x14ac:dyDescent="0.3">
      <c r="A48" s="82" t="s">
        <v>31</v>
      </c>
      <c r="B48" s="58">
        <f>B49</f>
        <v>0</v>
      </c>
      <c r="C48" s="589">
        <f>C49</f>
        <v>0</v>
      </c>
      <c r="D48" s="589"/>
      <c r="E48" s="589">
        <f>E49</f>
        <v>0</v>
      </c>
      <c r="F48" s="588"/>
      <c r="G48" s="588"/>
      <c r="H48" s="589"/>
      <c r="I48" s="589"/>
      <c r="J48" s="589"/>
      <c r="K48" s="589"/>
      <c r="L48" s="58"/>
      <c r="M48" s="58"/>
      <c r="N48" s="58"/>
      <c r="O48" s="58"/>
      <c r="P48" s="58"/>
      <c r="Q48" s="58"/>
      <c r="R48" s="58"/>
      <c r="S48" s="58"/>
      <c r="T48" s="58"/>
      <c r="U48" s="58"/>
      <c r="V48" s="58"/>
      <c r="W48" s="58"/>
      <c r="X48" s="58"/>
      <c r="Y48" s="58"/>
      <c r="Z48" s="58"/>
      <c r="AA48" s="58"/>
      <c r="AB48" s="58"/>
      <c r="AC48" s="58"/>
      <c r="AD48" s="58"/>
      <c r="AE48" s="58">
        <f>AE49</f>
        <v>0</v>
      </c>
      <c r="AF48" s="90"/>
    </row>
    <row r="49" spans="1:32" ht="18.75" hidden="1" x14ac:dyDescent="0.3">
      <c r="A49" s="77" t="s">
        <v>33</v>
      </c>
      <c r="B49" s="47">
        <f>H49+J49+L49+N49+P49+R49+T49+V49+X49+Z49+AB49+AD49</f>
        <v>0</v>
      </c>
      <c r="C49" s="588">
        <f>H49</f>
        <v>0</v>
      </c>
      <c r="D49" s="588"/>
      <c r="E49" s="588">
        <f>K49+M49+O49+Q49+S49+U49+W49+Y49+AA49+AC49+AE49+AG46</f>
        <v>0</v>
      </c>
      <c r="F49" s="588" t="e">
        <f>E49/B49*100</f>
        <v>#DIV/0!</v>
      </c>
      <c r="G49" s="588" t="e">
        <f>E49/C49*100</f>
        <v>#DIV/0!</v>
      </c>
      <c r="H49" s="589"/>
      <c r="I49" s="589"/>
      <c r="J49" s="589"/>
      <c r="K49" s="589"/>
      <c r="L49" s="58"/>
      <c r="M49" s="58"/>
      <c r="N49" s="58"/>
      <c r="O49" s="58"/>
      <c r="P49" s="58"/>
      <c r="Q49" s="58"/>
      <c r="R49" s="58"/>
      <c r="S49" s="58"/>
      <c r="T49" s="58"/>
      <c r="U49" s="58"/>
      <c r="V49" s="58"/>
      <c r="W49" s="58"/>
      <c r="X49" s="58"/>
      <c r="Y49" s="58"/>
      <c r="Z49" s="58"/>
      <c r="AA49" s="58"/>
      <c r="AB49" s="58"/>
      <c r="AC49" s="58"/>
      <c r="AD49" s="58"/>
      <c r="AE49" s="58"/>
      <c r="AF49" s="90"/>
    </row>
    <row r="50" spans="1:32" ht="18.75" x14ac:dyDescent="0.3">
      <c r="A50" s="91" t="s">
        <v>53</v>
      </c>
      <c r="B50" s="58"/>
      <c r="C50" s="589"/>
      <c r="D50" s="589"/>
      <c r="E50" s="589"/>
      <c r="F50" s="588"/>
      <c r="G50" s="588"/>
      <c r="H50" s="589"/>
      <c r="I50" s="589"/>
      <c r="J50" s="589"/>
      <c r="K50" s="589"/>
      <c r="L50" s="58"/>
      <c r="M50" s="58"/>
      <c r="N50" s="58"/>
      <c r="O50" s="58"/>
      <c r="P50" s="58"/>
      <c r="Q50" s="58"/>
      <c r="R50" s="58"/>
      <c r="S50" s="58"/>
      <c r="T50" s="58"/>
      <c r="U50" s="58"/>
      <c r="V50" s="58"/>
      <c r="W50" s="58"/>
      <c r="X50" s="58"/>
      <c r="Y50" s="58"/>
      <c r="Z50" s="58"/>
      <c r="AA50" s="58"/>
      <c r="AB50" s="58"/>
      <c r="AC50" s="58"/>
      <c r="AD50" s="58"/>
      <c r="AE50" s="58"/>
      <c r="AF50" s="90"/>
    </row>
    <row r="51" spans="1:32" ht="18.75" x14ac:dyDescent="0.3">
      <c r="A51" s="82" t="s">
        <v>31</v>
      </c>
      <c r="B51" s="58">
        <f>B52+B53</f>
        <v>961.80000000000007</v>
      </c>
      <c r="C51" s="589">
        <f>C52+C53</f>
        <v>350</v>
      </c>
      <c r="D51" s="589">
        <f>D52+D53</f>
        <v>350</v>
      </c>
      <c r="E51" s="589">
        <f>E52+E53</f>
        <v>350</v>
      </c>
      <c r="F51" s="588">
        <f t="shared" ref="F51:G54" si="4">D51/B51*100</f>
        <v>36.390101892285301</v>
      </c>
      <c r="G51" s="588">
        <f t="shared" si="4"/>
        <v>100</v>
      </c>
      <c r="H51" s="589">
        <f>H52+H53</f>
        <v>0</v>
      </c>
      <c r="I51" s="589">
        <f t="shared" ref="I51:AE51" si="5">I52+I53</f>
        <v>0</v>
      </c>
      <c r="J51" s="589">
        <f t="shared" si="5"/>
        <v>0</v>
      </c>
      <c r="K51" s="589">
        <f t="shared" si="5"/>
        <v>0</v>
      </c>
      <c r="L51" s="58">
        <f t="shared" si="5"/>
        <v>350</v>
      </c>
      <c r="M51" s="58">
        <f t="shared" si="5"/>
        <v>122.8</v>
      </c>
      <c r="N51" s="58">
        <f t="shared" si="5"/>
        <v>0</v>
      </c>
      <c r="O51" s="58">
        <f t="shared" si="5"/>
        <v>27.2</v>
      </c>
      <c r="P51" s="58">
        <f t="shared" si="5"/>
        <v>0</v>
      </c>
      <c r="Q51" s="58">
        <f t="shared" si="5"/>
        <v>200</v>
      </c>
      <c r="R51" s="58">
        <f t="shared" si="5"/>
        <v>0</v>
      </c>
      <c r="S51" s="58">
        <f t="shared" si="5"/>
        <v>0</v>
      </c>
      <c r="T51" s="58">
        <f t="shared" si="5"/>
        <v>0</v>
      </c>
      <c r="U51" s="58">
        <f t="shared" si="5"/>
        <v>0</v>
      </c>
      <c r="V51" s="58">
        <f t="shared" si="5"/>
        <v>0</v>
      </c>
      <c r="W51" s="58">
        <f t="shared" si="5"/>
        <v>0</v>
      </c>
      <c r="X51" s="58">
        <f t="shared" si="5"/>
        <v>0</v>
      </c>
      <c r="Y51" s="58">
        <f t="shared" si="5"/>
        <v>0</v>
      </c>
      <c r="Z51" s="58">
        <f t="shared" si="5"/>
        <v>302</v>
      </c>
      <c r="AA51" s="58">
        <f t="shared" si="5"/>
        <v>0</v>
      </c>
      <c r="AB51" s="58">
        <f t="shared" si="5"/>
        <v>309.8</v>
      </c>
      <c r="AC51" s="58">
        <f t="shared" si="5"/>
        <v>0</v>
      </c>
      <c r="AD51" s="58">
        <f t="shared" si="5"/>
        <v>0</v>
      </c>
      <c r="AE51" s="58">
        <f t="shared" si="5"/>
        <v>0</v>
      </c>
      <c r="AF51" s="90"/>
    </row>
    <row r="52" spans="1:32" ht="18.75" x14ac:dyDescent="0.3">
      <c r="A52" s="82" t="s">
        <v>97</v>
      </c>
      <c r="B52" s="58">
        <f>B41</f>
        <v>195.6</v>
      </c>
      <c r="C52" s="589">
        <f>C41</f>
        <v>97.8</v>
      </c>
      <c r="D52" s="589">
        <f>D41</f>
        <v>97.8</v>
      </c>
      <c r="E52" s="589">
        <f>E41</f>
        <v>97.8</v>
      </c>
      <c r="F52" s="588">
        <f t="shared" si="4"/>
        <v>50</v>
      </c>
      <c r="G52" s="588">
        <f t="shared" si="4"/>
        <v>100</v>
      </c>
      <c r="H52" s="589">
        <f>H41</f>
        <v>0</v>
      </c>
      <c r="I52" s="589">
        <f t="shared" ref="I52:AE52" si="6">I41</f>
        <v>0</v>
      </c>
      <c r="J52" s="589">
        <f t="shared" si="6"/>
        <v>0</v>
      </c>
      <c r="K52" s="589">
        <f t="shared" si="6"/>
        <v>0</v>
      </c>
      <c r="L52" s="58">
        <f t="shared" si="6"/>
        <v>97.8</v>
      </c>
      <c r="M52" s="58">
        <f t="shared" si="6"/>
        <v>97.8</v>
      </c>
      <c r="N52" s="58">
        <f t="shared" si="6"/>
        <v>0</v>
      </c>
      <c r="O52" s="58">
        <f t="shared" si="6"/>
        <v>0</v>
      </c>
      <c r="P52" s="58">
        <f t="shared" si="6"/>
        <v>0</v>
      </c>
      <c r="Q52" s="58">
        <f t="shared" si="6"/>
        <v>0</v>
      </c>
      <c r="R52" s="58">
        <f t="shared" si="6"/>
        <v>0</v>
      </c>
      <c r="S52" s="58">
        <f t="shared" si="6"/>
        <v>0</v>
      </c>
      <c r="T52" s="58">
        <f t="shared" si="6"/>
        <v>0</v>
      </c>
      <c r="U52" s="58">
        <f t="shared" si="6"/>
        <v>0</v>
      </c>
      <c r="V52" s="58">
        <f t="shared" si="6"/>
        <v>0</v>
      </c>
      <c r="W52" s="58">
        <f t="shared" si="6"/>
        <v>0</v>
      </c>
      <c r="X52" s="58">
        <f t="shared" si="6"/>
        <v>0</v>
      </c>
      <c r="Y52" s="58">
        <f t="shared" si="6"/>
        <v>0</v>
      </c>
      <c r="Z52" s="58">
        <f t="shared" si="6"/>
        <v>97.8</v>
      </c>
      <c r="AA52" s="58">
        <f t="shared" si="6"/>
        <v>0</v>
      </c>
      <c r="AB52" s="58">
        <f t="shared" si="6"/>
        <v>0</v>
      </c>
      <c r="AC52" s="58">
        <f t="shared" si="6"/>
        <v>0</v>
      </c>
      <c r="AD52" s="58">
        <f t="shared" si="6"/>
        <v>0</v>
      </c>
      <c r="AE52" s="58">
        <f t="shared" si="6"/>
        <v>0</v>
      </c>
      <c r="AF52" s="90"/>
    </row>
    <row r="53" spans="1:32" ht="18.75" x14ac:dyDescent="0.3">
      <c r="A53" s="77" t="s">
        <v>33</v>
      </c>
      <c r="B53" s="58">
        <f>B11+B14+B17+B20+B26+B42+B46+B49</f>
        <v>766.2</v>
      </c>
      <c r="C53" s="589">
        <f>C11+C14+C17+C20+C26+C42+C46+C49</f>
        <v>252.2</v>
      </c>
      <c r="D53" s="589">
        <f>D11+D14+D17+D20+D26+D42+D46+D49</f>
        <v>252.2</v>
      </c>
      <c r="E53" s="589">
        <f>E11+E14+E17+E20+E26+E42+E46+E49</f>
        <v>252.2</v>
      </c>
      <c r="F53" s="588">
        <f t="shared" si="4"/>
        <v>32.915687809971281</v>
      </c>
      <c r="G53" s="588">
        <f t="shared" si="4"/>
        <v>100</v>
      </c>
      <c r="H53" s="589">
        <f>H11+H14+H17+H20+H26+H42+H46+H49</f>
        <v>0</v>
      </c>
      <c r="I53" s="589">
        <f t="shared" ref="I53:AE53" si="7">I11+I14+I17+I20+I26+I42+I46+I49</f>
        <v>0</v>
      </c>
      <c r="J53" s="589">
        <f t="shared" si="7"/>
        <v>0</v>
      </c>
      <c r="K53" s="589">
        <f t="shared" si="7"/>
        <v>0</v>
      </c>
      <c r="L53" s="58">
        <f t="shared" si="7"/>
        <v>252.2</v>
      </c>
      <c r="M53" s="58">
        <f t="shared" si="7"/>
        <v>25</v>
      </c>
      <c r="N53" s="58">
        <f t="shared" si="7"/>
        <v>0</v>
      </c>
      <c r="O53" s="58">
        <f t="shared" si="7"/>
        <v>27.2</v>
      </c>
      <c r="P53" s="58">
        <f t="shared" si="7"/>
        <v>0</v>
      </c>
      <c r="Q53" s="58">
        <f t="shared" si="7"/>
        <v>200</v>
      </c>
      <c r="R53" s="58">
        <f t="shared" si="7"/>
        <v>0</v>
      </c>
      <c r="S53" s="58">
        <f t="shared" si="7"/>
        <v>0</v>
      </c>
      <c r="T53" s="58">
        <f t="shared" si="7"/>
        <v>0</v>
      </c>
      <c r="U53" s="58">
        <f t="shared" si="7"/>
        <v>0</v>
      </c>
      <c r="V53" s="58">
        <f t="shared" si="7"/>
        <v>0</v>
      </c>
      <c r="W53" s="58">
        <f t="shared" si="7"/>
        <v>0</v>
      </c>
      <c r="X53" s="58">
        <f t="shared" si="7"/>
        <v>0</v>
      </c>
      <c r="Y53" s="58">
        <f t="shared" si="7"/>
        <v>0</v>
      </c>
      <c r="Z53" s="58">
        <f t="shared" si="7"/>
        <v>204.2</v>
      </c>
      <c r="AA53" s="58">
        <f t="shared" si="7"/>
        <v>0</v>
      </c>
      <c r="AB53" s="58">
        <f t="shared" si="7"/>
        <v>309.8</v>
      </c>
      <c r="AC53" s="58">
        <f t="shared" si="7"/>
        <v>0</v>
      </c>
      <c r="AD53" s="58">
        <f t="shared" si="7"/>
        <v>0</v>
      </c>
      <c r="AE53" s="58">
        <f t="shared" si="7"/>
        <v>0</v>
      </c>
      <c r="AF53" s="90"/>
    </row>
    <row r="54" spans="1:32" ht="37.5" x14ac:dyDescent="0.3">
      <c r="A54" s="84" t="s">
        <v>130</v>
      </c>
      <c r="B54" s="58">
        <f>B43</f>
        <v>456.4</v>
      </c>
      <c r="C54" s="589">
        <f>C43</f>
        <v>252.2</v>
      </c>
      <c r="D54" s="589">
        <f>D43</f>
        <v>252.2</v>
      </c>
      <c r="E54" s="589">
        <f>E43</f>
        <v>252.2</v>
      </c>
      <c r="F54" s="588">
        <f t="shared" si="4"/>
        <v>55.25854513584575</v>
      </c>
      <c r="G54" s="588">
        <f t="shared" si="4"/>
        <v>100</v>
      </c>
      <c r="H54" s="589">
        <f>H43</f>
        <v>0</v>
      </c>
      <c r="I54" s="589">
        <f t="shared" ref="I54:AE54" si="8">I43</f>
        <v>0</v>
      </c>
      <c r="J54" s="589">
        <f t="shared" si="8"/>
        <v>0</v>
      </c>
      <c r="K54" s="589">
        <f t="shared" si="8"/>
        <v>0</v>
      </c>
      <c r="L54" s="58">
        <f t="shared" si="8"/>
        <v>228.2</v>
      </c>
      <c r="M54" s="58">
        <f t="shared" si="8"/>
        <v>25</v>
      </c>
      <c r="N54" s="58">
        <f t="shared" si="8"/>
        <v>0</v>
      </c>
      <c r="O54" s="58">
        <f t="shared" si="8"/>
        <v>27.2</v>
      </c>
      <c r="P54" s="58">
        <f t="shared" si="8"/>
        <v>0</v>
      </c>
      <c r="Q54" s="58">
        <f t="shared" si="8"/>
        <v>200</v>
      </c>
      <c r="R54" s="58">
        <f t="shared" si="8"/>
        <v>0</v>
      </c>
      <c r="S54" s="58">
        <f t="shared" si="8"/>
        <v>0</v>
      </c>
      <c r="T54" s="58">
        <f t="shared" si="8"/>
        <v>0</v>
      </c>
      <c r="U54" s="58">
        <f t="shared" si="8"/>
        <v>0</v>
      </c>
      <c r="V54" s="58">
        <f t="shared" si="8"/>
        <v>0</v>
      </c>
      <c r="W54" s="58">
        <f t="shared" si="8"/>
        <v>0</v>
      </c>
      <c r="X54" s="58">
        <f t="shared" si="8"/>
        <v>0</v>
      </c>
      <c r="Y54" s="58">
        <f t="shared" si="8"/>
        <v>0</v>
      </c>
      <c r="Z54" s="58">
        <f t="shared" si="8"/>
        <v>228.2</v>
      </c>
      <c r="AA54" s="58">
        <f t="shared" si="8"/>
        <v>0</v>
      </c>
      <c r="AB54" s="58">
        <f t="shared" si="8"/>
        <v>0</v>
      </c>
      <c r="AC54" s="58">
        <f t="shared" si="8"/>
        <v>0</v>
      </c>
      <c r="AD54" s="58">
        <f t="shared" si="8"/>
        <v>0</v>
      </c>
      <c r="AE54" s="58">
        <f t="shared" si="8"/>
        <v>0</v>
      </c>
      <c r="AF54" s="90"/>
    </row>
    <row r="55" spans="1:32" ht="37.5" x14ac:dyDescent="0.3">
      <c r="A55" s="87" t="s">
        <v>72</v>
      </c>
      <c r="B55" s="90"/>
      <c r="C55" s="589"/>
      <c r="D55" s="589"/>
      <c r="E55" s="589"/>
      <c r="F55" s="589"/>
      <c r="G55" s="589"/>
      <c r="H55" s="589"/>
      <c r="I55" s="589"/>
      <c r="J55" s="589"/>
      <c r="K55" s="589"/>
      <c r="L55" s="90"/>
      <c r="M55" s="90"/>
      <c r="N55" s="90"/>
      <c r="O55" s="90"/>
      <c r="P55" s="90"/>
      <c r="Q55" s="90"/>
      <c r="R55" s="90"/>
      <c r="S55" s="90"/>
      <c r="T55" s="90"/>
      <c r="U55" s="90"/>
      <c r="V55" s="90"/>
      <c r="W55" s="90"/>
      <c r="X55" s="90"/>
      <c r="Y55" s="90"/>
      <c r="Z55" s="90"/>
      <c r="AA55" s="90"/>
      <c r="AB55" s="90"/>
      <c r="AC55" s="90"/>
      <c r="AD55" s="90"/>
      <c r="AE55" s="90"/>
      <c r="AF55" s="90"/>
    </row>
    <row r="56" spans="1:32" ht="18.75" x14ac:dyDescent="0.3">
      <c r="A56" s="88" t="s">
        <v>31</v>
      </c>
      <c r="B56" s="58">
        <f>B57+B58</f>
        <v>961.80000000000007</v>
      </c>
      <c r="C56" s="589">
        <f>C57+C58</f>
        <v>350</v>
      </c>
      <c r="D56" s="589">
        <f>D57+D58</f>
        <v>350</v>
      </c>
      <c r="E56" s="589">
        <f>E57+E58</f>
        <v>350</v>
      </c>
      <c r="F56" s="588">
        <f>E56/B56*100</f>
        <v>36.390101892285301</v>
      </c>
      <c r="G56" s="588">
        <f>E56/C56*100</f>
        <v>100</v>
      </c>
      <c r="H56" s="589">
        <f>H57+H58</f>
        <v>0</v>
      </c>
      <c r="I56" s="589">
        <f t="shared" ref="I56:AE56" si="9">I57+I58</f>
        <v>0</v>
      </c>
      <c r="J56" s="589">
        <f t="shared" si="9"/>
        <v>0</v>
      </c>
      <c r="K56" s="589">
        <f t="shared" si="9"/>
        <v>0</v>
      </c>
      <c r="L56" s="58">
        <f t="shared" si="9"/>
        <v>350</v>
      </c>
      <c r="M56" s="58">
        <f t="shared" si="9"/>
        <v>122.8</v>
      </c>
      <c r="N56" s="58">
        <f t="shared" si="9"/>
        <v>0</v>
      </c>
      <c r="O56" s="58">
        <f t="shared" si="9"/>
        <v>27.2</v>
      </c>
      <c r="P56" s="58">
        <f t="shared" si="9"/>
        <v>0</v>
      </c>
      <c r="Q56" s="58">
        <f t="shared" si="9"/>
        <v>200</v>
      </c>
      <c r="R56" s="58">
        <f t="shared" si="9"/>
        <v>0</v>
      </c>
      <c r="S56" s="58">
        <f t="shared" si="9"/>
        <v>0</v>
      </c>
      <c r="T56" s="58">
        <f t="shared" si="9"/>
        <v>0</v>
      </c>
      <c r="U56" s="58">
        <f t="shared" si="9"/>
        <v>0</v>
      </c>
      <c r="V56" s="58">
        <f t="shared" si="9"/>
        <v>0</v>
      </c>
      <c r="W56" s="58">
        <f t="shared" si="9"/>
        <v>0</v>
      </c>
      <c r="X56" s="58">
        <f t="shared" si="9"/>
        <v>0</v>
      </c>
      <c r="Y56" s="58">
        <f t="shared" si="9"/>
        <v>0</v>
      </c>
      <c r="Z56" s="58">
        <f t="shared" si="9"/>
        <v>302</v>
      </c>
      <c r="AA56" s="58">
        <f t="shared" si="9"/>
        <v>0</v>
      </c>
      <c r="AB56" s="58">
        <f t="shared" si="9"/>
        <v>309.8</v>
      </c>
      <c r="AC56" s="58">
        <f t="shared" si="9"/>
        <v>0</v>
      </c>
      <c r="AD56" s="58">
        <f t="shared" si="9"/>
        <v>0</v>
      </c>
      <c r="AE56" s="58">
        <f t="shared" si="9"/>
        <v>0</v>
      </c>
      <c r="AF56" s="90"/>
    </row>
    <row r="57" spans="1:32" ht="18.75" x14ac:dyDescent="0.3">
      <c r="A57" s="82" t="s">
        <v>97</v>
      </c>
      <c r="B57" s="58">
        <f t="shared" ref="B57:E59" si="10">B52</f>
        <v>195.6</v>
      </c>
      <c r="C57" s="589">
        <f t="shared" si="10"/>
        <v>97.8</v>
      </c>
      <c r="D57" s="589">
        <f t="shared" si="10"/>
        <v>97.8</v>
      </c>
      <c r="E57" s="589">
        <f t="shared" si="10"/>
        <v>97.8</v>
      </c>
      <c r="F57" s="588">
        <f>E57/B57*100</f>
        <v>50</v>
      </c>
      <c r="G57" s="588">
        <f>E57/C57*100</f>
        <v>100</v>
      </c>
      <c r="H57" s="589">
        <f>H52</f>
        <v>0</v>
      </c>
      <c r="I57" s="589">
        <f t="shared" ref="I57:AE57" si="11">I52</f>
        <v>0</v>
      </c>
      <c r="J57" s="589">
        <f t="shared" si="11"/>
        <v>0</v>
      </c>
      <c r="K57" s="589">
        <f t="shared" si="11"/>
        <v>0</v>
      </c>
      <c r="L57" s="58">
        <f t="shared" si="11"/>
        <v>97.8</v>
      </c>
      <c r="M57" s="58">
        <f t="shared" si="11"/>
        <v>97.8</v>
      </c>
      <c r="N57" s="58">
        <f t="shared" si="11"/>
        <v>0</v>
      </c>
      <c r="O57" s="58">
        <f t="shared" si="11"/>
        <v>0</v>
      </c>
      <c r="P57" s="58">
        <f t="shared" si="11"/>
        <v>0</v>
      </c>
      <c r="Q57" s="58">
        <f t="shared" si="11"/>
        <v>0</v>
      </c>
      <c r="R57" s="58">
        <f t="shared" si="11"/>
        <v>0</v>
      </c>
      <c r="S57" s="58">
        <f t="shared" si="11"/>
        <v>0</v>
      </c>
      <c r="T57" s="58">
        <f t="shared" si="11"/>
        <v>0</v>
      </c>
      <c r="U57" s="58">
        <f t="shared" si="11"/>
        <v>0</v>
      </c>
      <c r="V57" s="58">
        <f t="shared" si="11"/>
        <v>0</v>
      </c>
      <c r="W57" s="58">
        <f t="shared" si="11"/>
        <v>0</v>
      </c>
      <c r="X57" s="58">
        <f t="shared" si="11"/>
        <v>0</v>
      </c>
      <c r="Y57" s="58">
        <f t="shared" si="11"/>
        <v>0</v>
      </c>
      <c r="Z57" s="58">
        <f t="shared" si="11"/>
        <v>97.8</v>
      </c>
      <c r="AA57" s="58">
        <f t="shared" si="11"/>
        <v>0</v>
      </c>
      <c r="AB57" s="58">
        <f t="shared" si="11"/>
        <v>0</v>
      </c>
      <c r="AC57" s="58">
        <f t="shared" si="11"/>
        <v>0</v>
      </c>
      <c r="AD57" s="58">
        <f t="shared" si="11"/>
        <v>0</v>
      </c>
      <c r="AE57" s="58">
        <f t="shared" si="11"/>
        <v>0</v>
      </c>
      <c r="AF57" s="90"/>
    </row>
    <row r="58" spans="1:32" ht="18.75" x14ac:dyDescent="0.3">
      <c r="A58" s="77" t="s">
        <v>33</v>
      </c>
      <c r="B58" s="58">
        <f t="shared" si="10"/>
        <v>766.2</v>
      </c>
      <c r="C58" s="589">
        <f t="shared" si="10"/>
        <v>252.2</v>
      </c>
      <c r="D58" s="589">
        <f t="shared" si="10"/>
        <v>252.2</v>
      </c>
      <c r="E58" s="589">
        <f t="shared" si="10"/>
        <v>252.2</v>
      </c>
      <c r="F58" s="588">
        <f>E58/B58*100</f>
        <v>32.915687809971281</v>
      </c>
      <c r="G58" s="588">
        <f>E58/C58*100</f>
        <v>100</v>
      </c>
      <c r="H58" s="589">
        <f>H53</f>
        <v>0</v>
      </c>
      <c r="I58" s="589">
        <f t="shared" ref="I58:AE58" si="12">I53</f>
        <v>0</v>
      </c>
      <c r="J58" s="589">
        <f t="shared" si="12"/>
        <v>0</v>
      </c>
      <c r="K58" s="589">
        <f t="shared" si="12"/>
        <v>0</v>
      </c>
      <c r="L58" s="58">
        <f t="shared" si="12"/>
        <v>252.2</v>
      </c>
      <c r="M58" s="58">
        <f t="shared" si="12"/>
        <v>25</v>
      </c>
      <c r="N58" s="58">
        <f t="shared" si="12"/>
        <v>0</v>
      </c>
      <c r="O58" s="58">
        <f t="shared" si="12"/>
        <v>27.2</v>
      </c>
      <c r="P58" s="58">
        <f t="shared" si="12"/>
        <v>0</v>
      </c>
      <c r="Q58" s="58">
        <f t="shared" si="12"/>
        <v>200</v>
      </c>
      <c r="R58" s="58">
        <f t="shared" si="12"/>
        <v>0</v>
      </c>
      <c r="S58" s="58">
        <f t="shared" si="12"/>
        <v>0</v>
      </c>
      <c r="T58" s="58">
        <f t="shared" si="12"/>
        <v>0</v>
      </c>
      <c r="U58" s="58">
        <f t="shared" si="12"/>
        <v>0</v>
      </c>
      <c r="V58" s="58">
        <f t="shared" si="12"/>
        <v>0</v>
      </c>
      <c r="W58" s="58">
        <f t="shared" si="12"/>
        <v>0</v>
      </c>
      <c r="X58" s="58">
        <f t="shared" si="12"/>
        <v>0</v>
      </c>
      <c r="Y58" s="58">
        <f t="shared" si="12"/>
        <v>0</v>
      </c>
      <c r="Z58" s="58">
        <f t="shared" si="12"/>
        <v>204.2</v>
      </c>
      <c r="AA58" s="58">
        <f t="shared" si="12"/>
        <v>0</v>
      </c>
      <c r="AB58" s="58">
        <f t="shared" si="12"/>
        <v>309.8</v>
      </c>
      <c r="AC58" s="58">
        <f t="shared" si="12"/>
        <v>0</v>
      </c>
      <c r="AD58" s="58">
        <f t="shared" si="12"/>
        <v>0</v>
      </c>
      <c r="AE58" s="58">
        <f t="shared" si="12"/>
        <v>0</v>
      </c>
      <c r="AF58" s="90"/>
    </row>
    <row r="59" spans="1:32" ht="37.5" x14ac:dyDescent="0.3">
      <c r="A59" s="84" t="s">
        <v>130</v>
      </c>
      <c r="B59" s="58">
        <f t="shared" si="10"/>
        <v>456.4</v>
      </c>
      <c r="C59" s="589">
        <f t="shared" si="10"/>
        <v>252.2</v>
      </c>
      <c r="D59" s="589">
        <f t="shared" si="10"/>
        <v>252.2</v>
      </c>
      <c r="E59" s="589">
        <f t="shared" si="10"/>
        <v>252.2</v>
      </c>
      <c r="F59" s="588">
        <f>E59/B59*100</f>
        <v>55.25854513584575</v>
      </c>
      <c r="G59" s="588">
        <f>E59/C59*100</f>
        <v>100</v>
      </c>
      <c r="H59" s="589">
        <f>H54</f>
        <v>0</v>
      </c>
      <c r="I59" s="589">
        <f t="shared" ref="I59:AE59" si="13">I54</f>
        <v>0</v>
      </c>
      <c r="J59" s="589">
        <f t="shared" si="13"/>
        <v>0</v>
      </c>
      <c r="K59" s="589">
        <f t="shared" si="13"/>
        <v>0</v>
      </c>
      <c r="L59" s="58">
        <f t="shared" si="13"/>
        <v>228.2</v>
      </c>
      <c r="M59" s="58">
        <f t="shared" si="13"/>
        <v>25</v>
      </c>
      <c r="N59" s="58">
        <f t="shared" si="13"/>
        <v>0</v>
      </c>
      <c r="O59" s="58">
        <f t="shared" si="13"/>
        <v>27.2</v>
      </c>
      <c r="P59" s="58">
        <f t="shared" si="13"/>
        <v>0</v>
      </c>
      <c r="Q59" s="58">
        <f t="shared" si="13"/>
        <v>200</v>
      </c>
      <c r="R59" s="58">
        <f t="shared" si="13"/>
        <v>0</v>
      </c>
      <c r="S59" s="58">
        <f t="shared" si="13"/>
        <v>0</v>
      </c>
      <c r="T59" s="58">
        <f t="shared" si="13"/>
        <v>0</v>
      </c>
      <c r="U59" s="58">
        <f t="shared" si="13"/>
        <v>0</v>
      </c>
      <c r="V59" s="58">
        <f t="shared" si="13"/>
        <v>0</v>
      </c>
      <c r="W59" s="58">
        <f t="shared" si="13"/>
        <v>0</v>
      </c>
      <c r="X59" s="58">
        <f t="shared" si="13"/>
        <v>0</v>
      </c>
      <c r="Y59" s="58">
        <f t="shared" si="13"/>
        <v>0</v>
      </c>
      <c r="Z59" s="58">
        <f t="shared" si="13"/>
        <v>228.2</v>
      </c>
      <c r="AA59" s="58">
        <f t="shared" si="13"/>
        <v>0</v>
      </c>
      <c r="AB59" s="58">
        <f t="shared" si="13"/>
        <v>0</v>
      </c>
      <c r="AC59" s="58">
        <f t="shared" si="13"/>
        <v>0</v>
      </c>
      <c r="AD59" s="58">
        <f t="shared" si="13"/>
        <v>0</v>
      </c>
      <c r="AE59" s="58">
        <f t="shared" si="13"/>
        <v>0</v>
      </c>
      <c r="AF59" s="90"/>
    </row>
    <row r="60" spans="1:32" ht="131.25" x14ac:dyDescent="0.3">
      <c r="A60" s="50" t="s">
        <v>146</v>
      </c>
      <c r="B60" s="90"/>
      <c r="C60" s="589"/>
      <c r="D60" s="589"/>
      <c r="E60" s="589"/>
      <c r="F60" s="589"/>
      <c r="G60" s="589"/>
      <c r="H60" s="589"/>
      <c r="I60" s="589"/>
      <c r="J60" s="589"/>
      <c r="K60" s="589"/>
      <c r="L60" s="90"/>
      <c r="M60" s="90"/>
      <c r="N60" s="90"/>
      <c r="O60" s="90"/>
      <c r="P60" s="90"/>
      <c r="Q60" s="90"/>
      <c r="R60" s="90"/>
      <c r="S60" s="90"/>
      <c r="T60" s="90"/>
      <c r="U60" s="90"/>
      <c r="V60" s="90"/>
      <c r="W60" s="90"/>
      <c r="X60" s="90"/>
      <c r="Y60" s="90"/>
      <c r="Z60" s="90"/>
      <c r="AA60" s="90"/>
      <c r="AB60" s="90"/>
      <c r="AC60" s="90"/>
      <c r="AD60" s="90"/>
      <c r="AE60" s="90"/>
      <c r="AF60" s="90"/>
    </row>
    <row r="61" spans="1:32" ht="18.75" x14ac:dyDescent="0.3">
      <c r="A61" s="15" t="s">
        <v>54</v>
      </c>
      <c r="B61" s="90"/>
      <c r="C61" s="589"/>
      <c r="D61" s="589"/>
      <c r="E61" s="589"/>
      <c r="F61" s="589"/>
      <c r="G61" s="589"/>
      <c r="H61" s="589"/>
      <c r="I61" s="589"/>
      <c r="J61" s="589"/>
      <c r="K61" s="589"/>
      <c r="L61" s="90"/>
      <c r="M61" s="90"/>
      <c r="N61" s="90"/>
      <c r="O61" s="90"/>
      <c r="P61" s="90"/>
      <c r="Q61" s="90"/>
      <c r="R61" s="90"/>
      <c r="S61" s="90"/>
      <c r="T61" s="90"/>
      <c r="U61" s="90"/>
      <c r="V61" s="90"/>
      <c r="W61" s="90"/>
      <c r="X61" s="90"/>
      <c r="Y61" s="90"/>
      <c r="Z61" s="90"/>
      <c r="AA61" s="90"/>
      <c r="AB61" s="90"/>
      <c r="AC61" s="90"/>
      <c r="AD61" s="90"/>
      <c r="AE61" s="90"/>
      <c r="AF61" s="90"/>
    </row>
    <row r="62" spans="1:32" ht="37.5" x14ac:dyDescent="0.3">
      <c r="A62" s="85" t="s">
        <v>147</v>
      </c>
      <c r="B62" s="58"/>
      <c r="C62" s="589"/>
      <c r="D62" s="589"/>
      <c r="E62" s="589"/>
      <c r="F62" s="589"/>
      <c r="G62" s="589"/>
      <c r="H62" s="589"/>
      <c r="I62" s="589"/>
      <c r="J62" s="589"/>
      <c r="K62" s="589"/>
      <c r="L62" s="90"/>
      <c r="M62" s="90"/>
      <c r="N62" s="90"/>
      <c r="O62" s="90"/>
      <c r="P62" s="90"/>
      <c r="Q62" s="90"/>
      <c r="R62" s="90"/>
      <c r="S62" s="90"/>
      <c r="T62" s="90"/>
      <c r="U62" s="90"/>
      <c r="V62" s="90"/>
      <c r="W62" s="90"/>
      <c r="X62" s="90"/>
      <c r="Y62" s="90"/>
      <c r="Z62" s="90"/>
      <c r="AA62" s="90"/>
      <c r="AB62" s="90"/>
      <c r="AC62" s="90"/>
      <c r="AD62" s="90"/>
      <c r="AE62" s="90"/>
      <c r="AF62" s="90"/>
    </row>
    <row r="63" spans="1:32" ht="18.75" x14ac:dyDescent="0.3">
      <c r="A63" s="82" t="s">
        <v>31</v>
      </c>
      <c r="B63" s="47">
        <f>B64</f>
        <v>89</v>
      </c>
      <c r="C63" s="588">
        <f>C64</f>
        <v>80</v>
      </c>
      <c r="D63" s="588">
        <f>D64</f>
        <v>80</v>
      </c>
      <c r="E63" s="588">
        <f>E64</f>
        <v>80</v>
      </c>
      <c r="F63" s="588">
        <f>E63/B63*100</f>
        <v>89.887640449438194</v>
      </c>
      <c r="G63" s="588">
        <f>E63/C63*100</f>
        <v>100</v>
      </c>
      <c r="H63" s="588">
        <f>H64</f>
        <v>0</v>
      </c>
      <c r="I63" s="588">
        <f t="shared" ref="I63:AE63" si="14">I64</f>
        <v>0</v>
      </c>
      <c r="J63" s="588">
        <f t="shared" si="14"/>
        <v>0</v>
      </c>
      <c r="K63" s="588">
        <f t="shared" si="14"/>
        <v>0</v>
      </c>
      <c r="L63" s="47">
        <f t="shared" si="14"/>
        <v>80</v>
      </c>
      <c r="M63" s="47">
        <f t="shared" si="14"/>
        <v>0</v>
      </c>
      <c r="N63" s="47">
        <v>0</v>
      </c>
      <c r="O63" s="47">
        <v>80</v>
      </c>
      <c r="P63" s="47">
        <v>0</v>
      </c>
      <c r="Q63" s="47">
        <v>0</v>
      </c>
      <c r="R63" s="47">
        <f t="shared" si="14"/>
        <v>0</v>
      </c>
      <c r="S63" s="47">
        <f t="shared" si="14"/>
        <v>0</v>
      </c>
      <c r="T63" s="47">
        <f t="shared" si="14"/>
        <v>0</v>
      </c>
      <c r="U63" s="47">
        <f t="shared" si="14"/>
        <v>0</v>
      </c>
      <c r="V63" s="47">
        <f t="shared" si="14"/>
        <v>0</v>
      </c>
      <c r="W63" s="47">
        <f t="shared" si="14"/>
        <v>0</v>
      </c>
      <c r="X63" s="47">
        <f t="shared" si="14"/>
        <v>9</v>
      </c>
      <c r="Y63" s="47">
        <f t="shared" si="14"/>
        <v>0</v>
      </c>
      <c r="Z63" s="47">
        <f t="shared" si="14"/>
        <v>0</v>
      </c>
      <c r="AA63" s="47">
        <f t="shared" si="14"/>
        <v>0</v>
      </c>
      <c r="AB63" s="47">
        <f t="shared" si="14"/>
        <v>0</v>
      </c>
      <c r="AC63" s="47">
        <f t="shared" si="14"/>
        <v>0</v>
      </c>
      <c r="AD63" s="47">
        <f t="shared" si="14"/>
        <v>0</v>
      </c>
      <c r="AE63" s="47">
        <f t="shared" si="14"/>
        <v>0</v>
      </c>
      <c r="AF63" s="90"/>
    </row>
    <row r="64" spans="1:32" ht="18.75" x14ac:dyDescent="0.3">
      <c r="A64" s="82" t="s">
        <v>33</v>
      </c>
      <c r="B64" s="47">
        <f>B67+B70+B73+B76+B79</f>
        <v>89</v>
      </c>
      <c r="C64" s="588">
        <f>C67+C70+C73+C76+C79</f>
        <v>80</v>
      </c>
      <c r="D64" s="588">
        <f>D67+D70+D73+D76+D79</f>
        <v>80</v>
      </c>
      <c r="E64" s="588">
        <f>E67+E70+E73+E76+E79</f>
        <v>80</v>
      </c>
      <c r="F64" s="588">
        <f>E64/B64*100</f>
        <v>89.887640449438194</v>
      </c>
      <c r="G64" s="588">
        <f>E64/C64*100</f>
        <v>100</v>
      </c>
      <c r="H64" s="588">
        <f t="shared" ref="H64:O64" si="15">H67+H70+H73+H76+H79</f>
        <v>0</v>
      </c>
      <c r="I64" s="588">
        <f t="shared" si="15"/>
        <v>0</v>
      </c>
      <c r="J64" s="588">
        <f t="shared" si="15"/>
        <v>0</v>
      </c>
      <c r="K64" s="588">
        <f t="shared" si="15"/>
        <v>0</v>
      </c>
      <c r="L64" s="47">
        <f t="shared" si="15"/>
        <v>80</v>
      </c>
      <c r="M64" s="47">
        <f t="shared" si="15"/>
        <v>0</v>
      </c>
      <c r="N64" s="47">
        <f t="shared" si="15"/>
        <v>0</v>
      </c>
      <c r="O64" s="47">
        <f t="shared" si="15"/>
        <v>80</v>
      </c>
      <c r="P64" s="47">
        <f t="shared" ref="P64:AE64" si="16">P67+P70+P73+P76+P79</f>
        <v>0</v>
      </c>
      <c r="Q64" s="47">
        <f t="shared" si="16"/>
        <v>0</v>
      </c>
      <c r="R64" s="47">
        <f t="shared" si="16"/>
        <v>0</v>
      </c>
      <c r="S64" s="47">
        <f t="shared" si="16"/>
        <v>0</v>
      </c>
      <c r="T64" s="47">
        <f t="shared" si="16"/>
        <v>0</v>
      </c>
      <c r="U64" s="47">
        <f t="shared" si="16"/>
        <v>0</v>
      </c>
      <c r="V64" s="47">
        <f t="shared" si="16"/>
        <v>0</v>
      </c>
      <c r="W64" s="47">
        <f t="shared" si="16"/>
        <v>0</v>
      </c>
      <c r="X64" s="47">
        <f>X67+X70+X73+X76+X79</f>
        <v>9</v>
      </c>
      <c r="Y64" s="47">
        <f t="shared" si="16"/>
        <v>0</v>
      </c>
      <c r="Z64" s="47">
        <f t="shared" si="16"/>
        <v>0</v>
      </c>
      <c r="AA64" s="47">
        <f t="shared" si="16"/>
        <v>0</v>
      </c>
      <c r="AB64" s="47">
        <f t="shared" si="16"/>
        <v>0</v>
      </c>
      <c r="AC64" s="47">
        <f t="shared" si="16"/>
        <v>0</v>
      </c>
      <c r="AD64" s="47">
        <f t="shared" si="16"/>
        <v>0</v>
      </c>
      <c r="AE64" s="47">
        <f t="shared" si="16"/>
        <v>0</v>
      </c>
      <c r="AF64" s="90"/>
    </row>
    <row r="65" spans="1:32" ht="243.75" hidden="1" x14ac:dyDescent="0.3">
      <c r="A65" s="86" t="s">
        <v>148</v>
      </c>
      <c r="B65" s="90"/>
      <c r="C65" s="589"/>
      <c r="D65" s="589"/>
      <c r="E65" s="589"/>
      <c r="F65" s="589"/>
      <c r="G65" s="589"/>
      <c r="H65" s="589"/>
      <c r="I65" s="589"/>
      <c r="J65" s="589"/>
      <c r="K65" s="589"/>
      <c r="L65" s="90"/>
      <c r="M65" s="90"/>
      <c r="N65" s="90"/>
      <c r="O65" s="90"/>
      <c r="P65" s="90"/>
      <c r="Q65" s="90"/>
      <c r="R65" s="90"/>
      <c r="S65" s="90"/>
      <c r="T65" s="90"/>
      <c r="U65" s="90"/>
      <c r="V65" s="90"/>
      <c r="W65" s="90"/>
      <c r="X65" s="90"/>
      <c r="Y65" s="90"/>
      <c r="Z65" s="90"/>
      <c r="AA65" s="90"/>
      <c r="AB65" s="90"/>
      <c r="AC65" s="90"/>
      <c r="AD65" s="90"/>
      <c r="AE65" s="90"/>
      <c r="AF65" s="90"/>
    </row>
    <row r="66" spans="1:32" ht="18.75" hidden="1" x14ac:dyDescent="0.3">
      <c r="A66" s="82" t="s">
        <v>31</v>
      </c>
      <c r="B66" s="47">
        <f>B67</f>
        <v>0</v>
      </c>
      <c r="C66" s="588">
        <f>C67</f>
        <v>0</v>
      </c>
      <c r="D66" s="588">
        <f>D67</f>
        <v>0</v>
      </c>
      <c r="E66" s="588">
        <f>E67</f>
        <v>0</v>
      </c>
      <c r="F66" s="588" t="e">
        <f>E66/B66*100</f>
        <v>#DIV/0!</v>
      </c>
      <c r="G66" s="588" t="e">
        <f>E66/C66*100</f>
        <v>#DIV/0!</v>
      </c>
      <c r="H66" s="589"/>
      <c r="I66" s="589"/>
      <c r="J66" s="589"/>
      <c r="K66" s="589"/>
      <c r="L66" s="90"/>
      <c r="M66" s="90"/>
      <c r="N66" s="90"/>
      <c r="O66" s="90"/>
      <c r="P66" s="90"/>
      <c r="Q66" s="90"/>
      <c r="R66" s="90"/>
      <c r="S66" s="90"/>
      <c r="T66" s="90"/>
      <c r="U66" s="90"/>
      <c r="V66" s="90"/>
      <c r="W66" s="90"/>
      <c r="X66" s="90"/>
      <c r="Y66" s="90"/>
      <c r="Z66" s="90"/>
      <c r="AA66" s="90"/>
      <c r="AB66" s="90"/>
      <c r="AC66" s="90"/>
      <c r="AD66" s="90"/>
      <c r="AE66" s="90"/>
      <c r="AF66" s="90"/>
    </row>
    <row r="67" spans="1:32" ht="18.75" hidden="1" x14ac:dyDescent="0.3">
      <c r="A67" s="82" t="s">
        <v>33</v>
      </c>
      <c r="B67" s="47">
        <f>H67+J67+L67+N67+P67+R67+T67+V67+X67+Z67+AB67+AD67</f>
        <v>0</v>
      </c>
      <c r="C67" s="588">
        <f>H67</f>
        <v>0</v>
      </c>
      <c r="D67" s="588"/>
      <c r="E67" s="588">
        <f>I67</f>
        <v>0</v>
      </c>
      <c r="F67" s="588" t="e">
        <f>E67/B67*100</f>
        <v>#DIV/0!</v>
      </c>
      <c r="G67" s="588" t="e">
        <f>E67/C67*100</f>
        <v>#DIV/0!</v>
      </c>
      <c r="H67" s="589"/>
      <c r="I67" s="589"/>
      <c r="J67" s="589"/>
      <c r="K67" s="589"/>
      <c r="L67" s="90"/>
      <c r="M67" s="90"/>
      <c r="N67" s="90"/>
      <c r="O67" s="90"/>
      <c r="P67" s="90"/>
      <c r="Q67" s="90"/>
      <c r="R67" s="90"/>
      <c r="S67" s="90"/>
      <c r="T67" s="90"/>
      <c r="U67" s="90"/>
      <c r="V67" s="90"/>
      <c r="W67" s="90"/>
      <c r="X67" s="90"/>
      <c r="Y67" s="90"/>
      <c r="Z67" s="90"/>
      <c r="AA67" s="90"/>
      <c r="AB67" s="90"/>
      <c r="AC67" s="90"/>
      <c r="AD67" s="90"/>
      <c r="AE67" s="90"/>
      <c r="AF67" s="90"/>
    </row>
    <row r="68" spans="1:32" ht="112.5" x14ac:dyDescent="0.3">
      <c r="A68" s="82" t="s">
        <v>149</v>
      </c>
      <c r="B68" s="90"/>
      <c r="C68" s="589"/>
      <c r="D68" s="589"/>
      <c r="E68" s="589"/>
      <c r="F68" s="589"/>
      <c r="G68" s="589"/>
      <c r="H68" s="589"/>
      <c r="I68" s="589"/>
      <c r="J68" s="589"/>
      <c r="K68" s="589"/>
      <c r="L68" s="90"/>
      <c r="M68" s="90"/>
      <c r="N68" s="90"/>
      <c r="O68" s="90"/>
      <c r="P68" s="90"/>
      <c r="Q68" s="90"/>
      <c r="R68" s="90"/>
      <c r="S68" s="90"/>
      <c r="T68" s="90"/>
      <c r="U68" s="90"/>
      <c r="V68" s="90"/>
      <c r="W68" s="90"/>
      <c r="X68" s="90"/>
      <c r="Y68" s="90"/>
      <c r="Z68" s="90"/>
      <c r="AA68" s="90"/>
      <c r="AB68" s="90"/>
      <c r="AC68" s="90"/>
      <c r="AD68" s="90"/>
      <c r="AE68" s="90"/>
      <c r="AF68" s="90"/>
    </row>
    <row r="69" spans="1:32" ht="18.75" x14ac:dyDescent="0.3">
      <c r="A69" s="920" t="s">
        <v>31</v>
      </c>
      <c r="B69" s="921">
        <f>B70</f>
        <v>9</v>
      </c>
      <c r="C69" s="919">
        <f>C70</f>
        <v>0</v>
      </c>
      <c r="D69" s="919">
        <f>D70</f>
        <v>0</v>
      </c>
      <c r="E69" s="919">
        <f>E70</f>
        <v>0</v>
      </c>
      <c r="F69" s="588">
        <f>E69/B69*100</f>
        <v>0</v>
      </c>
      <c r="G69" s="588" t="e">
        <f>E69/C69*100</f>
        <v>#DIV/0!</v>
      </c>
      <c r="H69" s="589">
        <v>0</v>
      </c>
      <c r="I69" s="589">
        <v>0</v>
      </c>
      <c r="J69" s="589">
        <v>0</v>
      </c>
      <c r="K69" s="589">
        <v>0</v>
      </c>
      <c r="L69" s="58">
        <v>0</v>
      </c>
      <c r="M69" s="58">
        <v>0</v>
      </c>
      <c r="N69" s="58">
        <v>0</v>
      </c>
      <c r="O69" s="58">
        <v>0</v>
      </c>
      <c r="P69" s="58">
        <v>0</v>
      </c>
      <c r="Q69" s="58">
        <v>0</v>
      </c>
      <c r="R69" s="58"/>
      <c r="S69" s="58"/>
      <c r="T69" s="58"/>
      <c r="U69" s="58"/>
      <c r="V69" s="58"/>
      <c r="W69" s="58"/>
      <c r="X69" s="58"/>
      <c r="Y69" s="58"/>
      <c r="Z69" s="58"/>
      <c r="AA69" s="58"/>
      <c r="AB69" s="58"/>
      <c r="AC69" s="58"/>
      <c r="AD69" s="58"/>
      <c r="AE69" s="58"/>
      <c r="AF69" s="90"/>
    </row>
    <row r="70" spans="1:32" ht="18.75" x14ac:dyDescent="0.3">
      <c r="A70" s="765" t="s">
        <v>93</v>
      </c>
      <c r="B70" s="47">
        <f>H70+J70+L70+N70+P70+R70+T70+V70+X70+Z70+AB70+AD70</f>
        <v>9</v>
      </c>
      <c r="C70" s="588">
        <f>H70</f>
        <v>0</v>
      </c>
      <c r="D70" s="588">
        <f>D68</f>
        <v>0</v>
      </c>
      <c r="E70" s="588">
        <f>I70</f>
        <v>0</v>
      </c>
      <c r="F70" s="588">
        <f>E70/B70*100</f>
        <v>0</v>
      </c>
      <c r="G70" s="588" t="e">
        <f>E70/C70*100</f>
        <v>#DIV/0!</v>
      </c>
      <c r="H70" s="588">
        <v>0</v>
      </c>
      <c r="I70" s="588">
        <v>0</v>
      </c>
      <c r="J70" s="588">
        <v>0</v>
      </c>
      <c r="K70" s="588">
        <v>0</v>
      </c>
      <c r="L70" s="47">
        <v>0</v>
      </c>
      <c r="M70" s="47">
        <v>0</v>
      </c>
      <c r="N70" s="47">
        <v>0</v>
      </c>
      <c r="O70" s="47">
        <v>0</v>
      </c>
      <c r="P70" s="47">
        <v>0</v>
      </c>
      <c r="Q70" s="47">
        <v>0</v>
      </c>
      <c r="R70" s="47"/>
      <c r="S70" s="47"/>
      <c r="T70" s="47"/>
      <c r="U70" s="47"/>
      <c r="V70" s="47"/>
      <c r="W70" s="47"/>
      <c r="X70" s="47">
        <v>9</v>
      </c>
      <c r="Y70" s="47"/>
      <c r="Z70" s="47"/>
      <c r="AA70" s="47"/>
      <c r="AB70" s="47"/>
      <c r="AC70" s="47"/>
      <c r="AD70" s="47"/>
      <c r="AE70" s="47"/>
      <c r="AF70" s="47"/>
    </row>
    <row r="71" spans="1:32" ht="409.5" hidden="1" x14ac:dyDescent="0.3">
      <c r="A71" s="15" t="s">
        <v>150</v>
      </c>
      <c r="B71" s="47"/>
      <c r="C71" s="588"/>
      <c r="D71" s="588"/>
      <c r="E71" s="588"/>
      <c r="F71" s="588"/>
      <c r="G71" s="588"/>
      <c r="H71" s="588"/>
      <c r="I71" s="588"/>
      <c r="J71" s="588"/>
      <c r="K71" s="588"/>
      <c r="L71" s="47"/>
      <c r="M71" s="47"/>
      <c r="N71" s="47"/>
      <c r="O71" s="47"/>
      <c r="P71" s="47"/>
      <c r="Q71" s="47"/>
      <c r="R71" s="47"/>
      <c r="S71" s="47"/>
      <c r="T71" s="47"/>
      <c r="U71" s="47"/>
      <c r="V71" s="47"/>
      <c r="W71" s="47"/>
      <c r="X71" s="47"/>
      <c r="Y71" s="47"/>
      <c r="Z71" s="47"/>
      <c r="AA71" s="47"/>
      <c r="AB71" s="47"/>
      <c r="AC71" s="47"/>
      <c r="AD71" s="47"/>
      <c r="AE71" s="47"/>
      <c r="AF71" s="47"/>
    </row>
    <row r="72" spans="1:32" ht="18.75" hidden="1" x14ac:dyDescent="0.3">
      <c r="A72" s="82" t="s">
        <v>31</v>
      </c>
      <c r="B72" s="47">
        <f>B73</f>
        <v>0</v>
      </c>
      <c r="C72" s="588">
        <f>C73</f>
        <v>0</v>
      </c>
      <c r="D72" s="588">
        <f>D73</f>
        <v>0</v>
      </c>
      <c r="E72" s="588">
        <f>E73</f>
        <v>0</v>
      </c>
      <c r="F72" s="588" t="e">
        <f>E72/B72*100</f>
        <v>#DIV/0!</v>
      </c>
      <c r="G72" s="588" t="e">
        <f>E72/C72*100</f>
        <v>#DIV/0!</v>
      </c>
      <c r="H72" s="588"/>
      <c r="I72" s="588"/>
      <c r="J72" s="588"/>
      <c r="K72" s="588"/>
      <c r="L72" s="47"/>
      <c r="M72" s="47"/>
      <c r="N72" s="47"/>
      <c r="O72" s="47"/>
      <c r="P72" s="47"/>
      <c r="Q72" s="47"/>
      <c r="R72" s="47"/>
      <c r="S72" s="47"/>
      <c r="T72" s="47"/>
      <c r="U72" s="47"/>
      <c r="V72" s="47"/>
      <c r="W72" s="47"/>
      <c r="X72" s="47"/>
      <c r="Y72" s="47"/>
      <c r="Z72" s="47"/>
      <c r="AA72" s="47"/>
      <c r="AB72" s="47"/>
      <c r="AC72" s="47"/>
      <c r="AD72" s="47"/>
      <c r="AE72" s="47"/>
      <c r="AF72" s="47"/>
    </row>
    <row r="73" spans="1:32" ht="18.75" hidden="1" x14ac:dyDescent="0.3">
      <c r="A73" s="82" t="s">
        <v>33</v>
      </c>
      <c r="B73" s="47">
        <f>H73+J73+L73+N73+P73+R73+T73+V73+X73+Z73+AB73+AD73</f>
        <v>0</v>
      </c>
      <c r="C73" s="588">
        <f>H73</f>
        <v>0</v>
      </c>
      <c r="D73" s="588"/>
      <c r="E73" s="588">
        <f>I73</f>
        <v>0</v>
      </c>
      <c r="F73" s="588" t="e">
        <f>D73/B73*100</f>
        <v>#DIV/0!</v>
      </c>
      <c r="G73" s="588" t="e">
        <f>E73/C73*100</f>
        <v>#DIV/0!</v>
      </c>
      <c r="H73" s="588"/>
      <c r="I73" s="588"/>
      <c r="J73" s="588"/>
      <c r="K73" s="588"/>
      <c r="L73" s="47"/>
      <c r="M73" s="47"/>
      <c r="N73" s="47"/>
      <c r="O73" s="47"/>
      <c r="P73" s="47"/>
      <c r="Q73" s="47"/>
      <c r="R73" s="47"/>
      <c r="S73" s="47"/>
      <c r="T73" s="47"/>
      <c r="U73" s="47"/>
      <c r="V73" s="47"/>
      <c r="W73" s="47"/>
      <c r="X73" s="47"/>
      <c r="Y73" s="47"/>
      <c r="Z73" s="47"/>
      <c r="AA73" s="47"/>
      <c r="AB73" s="47"/>
      <c r="AC73" s="47"/>
      <c r="AD73" s="47"/>
      <c r="AE73" s="47"/>
      <c r="AF73" s="47"/>
    </row>
    <row r="74" spans="1:32" ht="168.75" hidden="1" x14ac:dyDescent="0.3">
      <c r="A74" s="15" t="s">
        <v>151</v>
      </c>
      <c r="B74" s="47"/>
      <c r="C74" s="588"/>
      <c r="D74" s="588"/>
      <c r="E74" s="588"/>
      <c r="F74" s="588"/>
      <c r="G74" s="588"/>
      <c r="H74" s="588"/>
      <c r="I74" s="588"/>
      <c r="J74" s="588"/>
      <c r="K74" s="588"/>
      <c r="L74" s="47"/>
      <c r="M74" s="47"/>
      <c r="N74" s="47"/>
      <c r="O74" s="47"/>
      <c r="P74" s="47"/>
      <c r="Q74" s="47"/>
      <c r="R74" s="47"/>
      <c r="S74" s="47"/>
      <c r="T74" s="47"/>
      <c r="U74" s="47"/>
      <c r="V74" s="47"/>
      <c r="W74" s="47"/>
      <c r="X74" s="47"/>
      <c r="Y74" s="47"/>
      <c r="Z74" s="47"/>
      <c r="AA74" s="47"/>
      <c r="AB74" s="47"/>
      <c r="AC74" s="47"/>
      <c r="AD74" s="47"/>
      <c r="AE74" s="47"/>
      <c r="AF74" s="47"/>
    </row>
    <row r="75" spans="1:32" ht="18.75" hidden="1" x14ac:dyDescent="0.3">
      <c r="A75" s="82" t="s">
        <v>31</v>
      </c>
      <c r="B75" s="47">
        <f>B76</f>
        <v>0</v>
      </c>
      <c r="C75" s="588">
        <f>C76</f>
        <v>0</v>
      </c>
      <c r="D75" s="588">
        <f>D76</f>
        <v>0</v>
      </c>
      <c r="E75" s="588">
        <f>E76</f>
        <v>0</v>
      </c>
      <c r="F75" s="588" t="e">
        <f>E75/B75*100</f>
        <v>#DIV/0!</v>
      </c>
      <c r="G75" s="588" t="e">
        <f>E75/C75*100</f>
        <v>#DIV/0!</v>
      </c>
      <c r="H75" s="588"/>
      <c r="I75" s="588"/>
      <c r="J75" s="588"/>
      <c r="K75" s="588"/>
      <c r="L75" s="47"/>
      <c r="M75" s="47"/>
      <c r="N75" s="47"/>
      <c r="O75" s="47"/>
      <c r="P75" s="47"/>
      <c r="Q75" s="47"/>
      <c r="R75" s="47"/>
      <c r="S75" s="47"/>
      <c r="T75" s="47"/>
      <c r="U75" s="47"/>
      <c r="V75" s="47"/>
      <c r="W75" s="47"/>
      <c r="X75" s="47"/>
      <c r="Y75" s="47"/>
      <c r="Z75" s="47"/>
      <c r="AA75" s="47"/>
      <c r="AB75" s="47"/>
      <c r="AC75" s="47"/>
      <c r="AD75" s="47"/>
      <c r="AE75" s="47"/>
      <c r="AF75" s="47"/>
    </row>
    <row r="76" spans="1:32" ht="18.75" hidden="1" x14ac:dyDescent="0.3">
      <c r="A76" s="82" t="s">
        <v>33</v>
      </c>
      <c r="B76" s="47">
        <f>H76+J76+L76+N76+P76+R76+T76+V76+X76+Z76+AB76+AD76</f>
        <v>0</v>
      </c>
      <c r="C76" s="588">
        <f>H76</f>
        <v>0</v>
      </c>
      <c r="D76" s="588"/>
      <c r="E76" s="588">
        <f>I76</f>
        <v>0</v>
      </c>
      <c r="F76" s="588" t="e">
        <f>D76/B76*100</f>
        <v>#DIV/0!</v>
      </c>
      <c r="G76" s="588" t="e">
        <f>E76/C76*100</f>
        <v>#DIV/0!</v>
      </c>
      <c r="H76" s="588"/>
      <c r="I76" s="588"/>
      <c r="J76" s="588"/>
      <c r="K76" s="588"/>
      <c r="L76" s="47"/>
      <c r="M76" s="47"/>
      <c r="N76" s="47"/>
      <c r="O76" s="47"/>
      <c r="P76" s="47"/>
      <c r="Q76" s="47"/>
      <c r="R76" s="47"/>
      <c r="S76" s="47"/>
      <c r="T76" s="47"/>
      <c r="U76" s="47"/>
      <c r="V76" s="47"/>
      <c r="W76" s="47"/>
      <c r="X76" s="47"/>
      <c r="Y76" s="47"/>
      <c r="Z76" s="47"/>
      <c r="AA76" s="47"/>
      <c r="AB76" s="47"/>
      <c r="AC76" s="47"/>
      <c r="AD76" s="47"/>
      <c r="AE76" s="47"/>
      <c r="AF76" s="47"/>
    </row>
    <row r="77" spans="1:32" ht="405" x14ac:dyDescent="0.3">
      <c r="A77" s="15" t="s">
        <v>152</v>
      </c>
      <c r="B77" s="47"/>
      <c r="C77" s="588"/>
      <c r="D77" s="588"/>
      <c r="E77" s="588"/>
      <c r="F77" s="588"/>
      <c r="G77" s="588"/>
      <c r="H77" s="588"/>
      <c r="I77" s="588"/>
      <c r="J77" s="588"/>
      <c r="K77" s="588"/>
      <c r="L77" s="47"/>
      <c r="M77" s="47"/>
      <c r="N77" s="47"/>
      <c r="O77" s="47"/>
      <c r="P77" s="47"/>
      <c r="Q77" s="47"/>
      <c r="R77" s="47"/>
      <c r="S77" s="47"/>
      <c r="T77" s="47"/>
      <c r="U77" s="47"/>
      <c r="V77" s="47"/>
      <c r="W77" s="47"/>
      <c r="X77" s="47"/>
      <c r="Y77" s="47"/>
      <c r="Z77" s="47"/>
      <c r="AA77" s="47"/>
      <c r="AB77" s="47"/>
      <c r="AC77" s="47"/>
      <c r="AD77" s="47"/>
      <c r="AE77" s="47"/>
      <c r="AF77" s="686" t="s">
        <v>571</v>
      </c>
    </row>
    <row r="78" spans="1:32" ht="18.75" x14ac:dyDescent="0.3">
      <c r="A78" s="920" t="s">
        <v>31</v>
      </c>
      <c r="B78" s="47">
        <f>B79</f>
        <v>80</v>
      </c>
      <c r="C78" s="588">
        <f>C79</f>
        <v>80</v>
      </c>
      <c r="D78" s="588">
        <f>D79</f>
        <v>80</v>
      </c>
      <c r="E78" s="588">
        <f>E79</f>
        <v>80</v>
      </c>
      <c r="F78" s="588">
        <f>E78/B78*100</f>
        <v>100</v>
      </c>
      <c r="G78" s="588">
        <f>E78/C78*100</f>
        <v>100</v>
      </c>
      <c r="H78" s="588">
        <v>0</v>
      </c>
      <c r="I78" s="588">
        <v>0</v>
      </c>
      <c r="J78" s="588">
        <v>0</v>
      </c>
      <c r="K78" s="588">
        <v>0</v>
      </c>
      <c r="L78" s="47">
        <v>0</v>
      </c>
      <c r="M78" s="47">
        <v>0</v>
      </c>
      <c r="N78" s="47">
        <v>0</v>
      </c>
      <c r="O78" s="47">
        <v>80</v>
      </c>
      <c r="P78" s="47">
        <v>0</v>
      </c>
      <c r="Q78" s="47">
        <v>0</v>
      </c>
      <c r="R78" s="47"/>
      <c r="S78" s="47"/>
      <c r="T78" s="47"/>
      <c r="U78" s="47"/>
      <c r="V78" s="47"/>
      <c r="W78" s="47"/>
      <c r="X78" s="47"/>
      <c r="Y78" s="47"/>
      <c r="Z78" s="47"/>
      <c r="AA78" s="47"/>
      <c r="AB78" s="47"/>
      <c r="AC78" s="47"/>
      <c r="AD78" s="47"/>
      <c r="AE78" s="47"/>
      <c r="AF78" s="47"/>
    </row>
    <row r="79" spans="1:32" ht="18.75" x14ac:dyDescent="0.3">
      <c r="A79" s="920" t="s">
        <v>33</v>
      </c>
      <c r="B79" s="47">
        <f>H79+J79+L79+N79+P79+R79+T79+V79+X79+Z79+AB79+AD79</f>
        <v>80</v>
      </c>
      <c r="C79" s="588">
        <f>O79</f>
        <v>80</v>
      </c>
      <c r="D79" s="588">
        <v>80</v>
      </c>
      <c r="E79" s="588">
        <f>O79</f>
        <v>80</v>
      </c>
      <c r="F79" s="588">
        <f>D79/B79*100</f>
        <v>100</v>
      </c>
      <c r="G79" s="588">
        <f>E79/C79*100</f>
        <v>100</v>
      </c>
      <c r="H79" s="588">
        <v>0</v>
      </c>
      <c r="I79" s="588">
        <v>0</v>
      </c>
      <c r="J79" s="588">
        <v>0</v>
      </c>
      <c r="K79" s="588">
        <v>0</v>
      </c>
      <c r="L79" s="47">
        <v>80</v>
      </c>
      <c r="M79" s="47">
        <v>0</v>
      </c>
      <c r="N79" s="47">
        <v>0</v>
      </c>
      <c r="O79" s="47">
        <v>80</v>
      </c>
      <c r="P79" s="47">
        <v>0</v>
      </c>
      <c r="Q79" s="47">
        <v>0</v>
      </c>
      <c r="R79" s="47"/>
      <c r="S79" s="47"/>
      <c r="T79" s="47"/>
      <c r="U79" s="47"/>
      <c r="V79" s="47"/>
      <c r="W79" s="47"/>
      <c r="X79" s="47"/>
      <c r="Y79" s="47"/>
      <c r="Z79" s="47"/>
      <c r="AA79" s="47"/>
      <c r="AB79" s="47"/>
      <c r="AC79" s="47"/>
      <c r="AD79" s="47"/>
      <c r="AE79" s="47"/>
      <c r="AF79" s="47"/>
    </row>
    <row r="80" spans="1:32" ht="168.75" x14ac:dyDescent="0.3">
      <c r="A80" s="83" t="s">
        <v>153</v>
      </c>
      <c r="B80" s="47">
        <v>40</v>
      </c>
      <c r="C80" s="588">
        <v>0</v>
      </c>
      <c r="D80" s="588">
        <v>0</v>
      </c>
      <c r="E80" s="588">
        <v>0</v>
      </c>
      <c r="F80" s="588">
        <v>0</v>
      </c>
      <c r="G80" s="588">
        <v>0</v>
      </c>
      <c r="H80" s="588">
        <f>H81</f>
        <v>0</v>
      </c>
      <c r="I80" s="588">
        <f t="shared" ref="I80:AE80" si="17">I81</f>
        <v>0</v>
      </c>
      <c r="J80" s="588">
        <f t="shared" si="17"/>
        <v>0</v>
      </c>
      <c r="K80" s="588">
        <f t="shared" si="17"/>
        <v>0</v>
      </c>
      <c r="L80" s="588">
        <f t="shared" si="17"/>
        <v>0</v>
      </c>
      <c r="M80" s="588">
        <f t="shared" si="17"/>
        <v>0</v>
      </c>
      <c r="N80" s="588">
        <f t="shared" si="17"/>
        <v>0</v>
      </c>
      <c r="O80" s="588">
        <f t="shared" si="17"/>
        <v>0</v>
      </c>
      <c r="P80" s="588">
        <f t="shared" si="17"/>
        <v>0</v>
      </c>
      <c r="Q80" s="588">
        <f t="shared" si="17"/>
        <v>0</v>
      </c>
      <c r="R80" s="588">
        <f t="shared" si="17"/>
        <v>0</v>
      </c>
      <c r="S80" s="588">
        <f t="shared" si="17"/>
        <v>0</v>
      </c>
      <c r="T80" s="588">
        <f t="shared" si="17"/>
        <v>0</v>
      </c>
      <c r="U80" s="588">
        <f t="shared" si="17"/>
        <v>0</v>
      </c>
      <c r="V80" s="588">
        <f t="shared" si="17"/>
        <v>0</v>
      </c>
      <c r="W80" s="588">
        <f t="shared" si="17"/>
        <v>0</v>
      </c>
      <c r="X80" s="588">
        <f t="shared" si="17"/>
        <v>0</v>
      </c>
      <c r="Y80" s="588">
        <f t="shared" si="17"/>
        <v>0</v>
      </c>
      <c r="Z80" s="588">
        <f t="shared" si="17"/>
        <v>0</v>
      </c>
      <c r="AA80" s="588">
        <f t="shared" si="17"/>
        <v>0</v>
      </c>
      <c r="AB80" s="588">
        <f t="shared" si="17"/>
        <v>0</v>
      </c>
      <c r="AC80" s="588">
        <f t="shared" si="17"/>
        <v>0</v>
      </c>
      <c r="AD80" s="588">
        <f t="shared" si="17"/>
        <v>40</v>
      </c>
      <c r="AE80" s="588">
        <f t="shared" si="17"/>
        <v>0</v>
      </c>
      <c r="AF80" s="47"/>
    </row>
    <row r="81" spans="1:32" ht="18.75" x14ac:dyDescent="0.3">
      <c r="A81" s="82" t="s">
        <v>31</v>
      </c>
      <c r="B81" s="47">
        <f>B82</f>
        <v>40</v>
      </c>
      <c r="C81" s="588">
        <f>C82</f>
        <v>0</v>
      </c>
      <c r="D81" s="588">
        <f>D82</f>
        <v>0</v>
      </c>
      <c r="E81" s="588">
        <f>E82</f>
        <v>0</v>
      </c>
      <c r="F81" s="588">
        <f>D81/B81*100</f>
        <v>0</v>
      </c>
      <c r="G81" s="588" t="e">
        <f>E81/C81*100</f>
        <v>#DIV/0!</v>
      </c>
      <c r="H81" s="588">
        <f>H82</f>
        <v>0</v>
      </c>
      <c r="I81" s="588">
        <f>I82</f>
        <v>0</v>
      </c>
      <c r="J81" s="588">
        <f>J82</f>
        <v>0</v>
      </c>
      <c r="K81" s="588">
        <f>K82</f>
        <v>0</v>
      </c>
      <c r="L81" s="588">
        <f t="shared" ref="L81:AE81" si="18">L82</f>
        <v>0</v>
      </c>
      <c r="M81" s="588">
        <f t="shared" si="18"/>
        <v>0</v>
      </c>
      <c r="N81" s="588">
        <f t="shared" si="18"/>
        <v>0</v>
      </c>
      <c r="O81" s="588">
        <f t="shared" si="18"/>
        <v>0</v>
      </c>
      <c r="P81" s="588">
        <f t="shared" si="18"/>
        <v>0</v>
      </c>
      <c r="Q81" s="588">
        <f t="shared" si="18"/>
        <v>0</v>
      </c>
      <c r="R81" s="588">
        <f t="shared" si="18"/>
        <v>0</v>
      </c>
      <c r="S81" s="588">
        <f t="shared" si="18"/>
        <v>0</v>
      </c>
      <c r="T81" s="588">
        <f t="shared" si="18"/>
        <v>0</v>
      </c>
      <c r="U81" s="588">
        <f t="shared" si="18"/>
        <v>0</v>
      </c>
      <c r="V81" s="588">
        <f t="shared" si="18"/>
        <v>0</v>
      </c>
      <c r="W81" s="588">
        <f t="shared" si="18"/>
        <v>0</v>
      </c>
      <c r="X81" s="588">
        <f t="shared" si="18"/>
        <v>0</v>
      </c>
      <c r="Y81" s="588">
        <f t="shared" si="18"/>
        <v>0</v>
      </c>
      <c r="Z81" s="588">
        <f t="shared" si="18"/>
        <v>0</v>
      </c>
      <c r="AA81" s="588">
        <f t="shared" si="18"/>
        <v>0</v>
      </c>
      <c r="AB81" s="588">
        <f t="shared" si="18"/>
        <v>0</v>
      </c>
      <c r="AC81" s="588">
        <f t="shared" si="18"/>
        <v>0</v>
      </c>
      <c r="AD81" s="588">
        <f t="shared" si="18"/>
        <v>40</v>
      </c>
      <c r="AE81" s="588">
        <f t="shared" si="18"/>
        <v>0</v>
      </c>
      <c r="AF81" s="47"/>
    </row>
    <row r="82" spans="1:32" ht="18.75" x14ac:dyDescent="0.3">
      <c r="A82" s="82" t="s">
        <v>33</v>
      </c>
      <c r="B82" s="47">
        <f>B85+B88</f>
        <v>40</v>
      </c>
      <c r="C82" s="588">
        <f>C85</f>
        <v>0</v>
      </c>
      <c r="D82" s="588">
        <f>D85</f>
        <v>0</v>
      </c>
      <c r="E82" s="588">
        <f>E85</f>
        <v>0</v>
      </c>
      <c r="F82" s="588">
        <f>D82/B82*100</f>
        <v>0</v>
      </c>
      <c r="G82" s="588" t="e">
        <f>E82/C82*100</f>
        <v>#DIV/0!</v>
      </c>
      <c r="H82" s="588">
        <f>H85+H88</f>
        <v>0</v>
      </c>
      <c r="I82" s="588">
        <f>I85+I88</f>
        <v>0</v>
      </c>
      <c r="J82" s="588">
        <f>J85+J88</f>
        <v>0</v>
      </c>
      <c r="K82" s="588">
        <f>K85+K88</f>
        <v>0</v>
      </c>
      <c r="L82" s="588">
        <f t="shared" ref="L82:AE82" si="19">L85+L88</f>
        <v>0</v>
      </c>
      <c r="M82" s="588">
        <f t="shared" si="19"/>
        <v>0</v>
      </c>
      <c r="N82" s="588">
        <f t="shared" si="19"/>
        <v>0</v>
      </c>
      <c r="O82" s="588">
        <f t="shared" si="19"/>
        <v>0</v>
      </c>
      <c r="P82" s="588">
        <f t="shared" si="19"/>
        <v>0</v>
      </c>
      <c r="Q82" s="588">
        <f t="shared" si="19"/>
        <v>0</v>
      </c>
      <c r="R82" s="588">
        <f t="shared" si="19"/>
        <v>0</v>
      </c>
      <c r="S82" s="588">
        <f t="shared" si="19"/>
        <v>0</v>
      </c>
      <c r="T82" s="588">
        <f t="shared" si="19"/>
        <v>0</v>
      </c>
      <c r="U82" s="588">
        <f t="shared" si="19"/>
        <v>0</v>
      </c>
      <c r="V82" s="588">
        <f t="shared" si="19"/>
        <v>0</v>
      </c>
      <c r="W82" s="588">
        <f t="shared" si="19"/>
        <v>0</v>
      </c>
      <c r="X82" s="588">
        <f t="shared" si="19"/>
        <v>0</v>
      </c>
      <c r="Y82" s="588">
        <f t="shared" si="19"/>
        <v>0</v>
      </c>
      <c r="Z82" s="588">
        <f t="shared" si="19"/>
        <v>0</v>
      </c>
      <c r="AA82" s="588">
        <f t="shared" si="19"/>
        <v>0</v>
      </c>
      <c r="AB82" s="588">
        <f t="shared" si="19"/>
        <v>0</v>
      </c>
      <c r="AC82" s="588">
        <f t="shared" si="19"/>
        <v>0</v>
      </c>
      <c r="AD82" s="588">
        <f t="shared" si="19"/>
        <v>40</v>
      </c>
      <c r="AE82" s="588">
        <f t="shared" si="19"/>
        <v>0</v>
      </c>
      <c r="AF82" s="47"/>
    </row>
    <row r="83" spans="1:32" ht="206.25" x14ac:dyDescent="0.3">
      <c r="A83" s="920" t="s">
        <v>154</v>
      </c>
      <c r="B83" s="47">
        <v>40</v>
      </c>
      <c r="C83" s="588">
        <v>0</v>
      </c>
      <c r="D83" s="588">
        <v>0</v>
      </c>
      <c r="E83" s="588">
        <v>0</v>
      </c>
      <c r="F83" s="588">
        <v>0</v>
      </c>
      <c r="G83" s="588">
        <v>0</v>
      </c>
      <c r="H83" s="588">
        <v>0</v>
      </c>
      <c r="I83" s="588">
        <v>0</v>
      </c>
      <c r="J83" s="588">
        <v>0</v>
      </c>
      <c r="K83" s="588">
        <v>0</v>
      </c>
      <c r="L83" s="47">
        <v>0</v>
      </c>
      <c r="M83" s="47">
        <v>0</v>
      </c>
      <c r="N83" s="47">
        <v>0</v>
      </c>
      <c r="O83" s="47">
        <v>0</v>
      </c>
      <c r="P83" s="47">
        <v>0</v>
      </c>
      <c r="Q83" s="47">
        <v>0</v>
      </c>
      <c r="R83" s="47">
        <v>0</v>
      </c>
      <c r="S83" s="47">
        <v>0</v>
      </c>
      <c r="T83" s="47">
        <v>0</v>
      </c>
      <c r="U83" s="47">
        <v>0</v>
      </c>
      <c r="V83" s="47">
        <v>0</v>
      </c>
      <c r="W83" s="47">
        <v>0</v>
      </c>
      <c r="X83" s="47">
        <v>0</v>
      </c>
      <c r="Y83" s="47">
        <v>0</v>
      </c>
      <c r="Z83" s="47">
        <v>0</v>
      </c>
      <c r="AA83" s="47">
        <v>0</v>
      </c>
      <c r="AB83" s="47">
        <v>0</v>
      </c>
      <c r="AC83" s="47">
        <v>0</v>
      </c>
      <c r="AD83" s="47">
        <v>40</v>
      </c>
      <c r="AE83" s="47">
        <v>0</v>
      </c>
      <c r="AF83" s="47"/>
    </row>
    <row r="84" spans="1:32" ht="18.75" x14ac:dyDescent="0.3">
      <c r="A84" s="82" t="s">
        <v>31</v>
      </c>
      <c r="B84" s="47">
        <f>B85</f>
        <v>40</v>
      </c>
      <c r="C84" s="588">
        <f>C85</f>
        <v>0</v>
      </c>
      <c r="D84" s="588">
        <f>D85</f>
        <v>0</v>
      </c>
      <c r="E84" s="588">
        <f>E85</f>
        <v>0</v>
      </c>
      <c r="F84" s="588">
        <f>E84/B84*100</f>
        <v>0</v>
      </c>
      <c r="G84" s="588" t="e">
        <f>E84/C84*100</f>
        <v>#DIV/0!</v>
      </c>
      <c r="H84" s="588">
        <f>H85</f>
        <v>0</v>
      </c>
      <c r="I84" s="588">
        <f t="shared" ref="I84:AE84" si="20">I85</f>
        <v>0</v>
      </c>
      <c r="J84" s="588">
        <f t="shared" si="20"/>
        <v>0</v>
      </c>
      <c r="K84" s="588">
        <f t="shared" si="20"/>
        <v>0</v>
      </c>
      <c r="L84" s="47">
        <f t="shared" si="20"/>
        <v>0</v>
      </c>
      <c r="M84" s="47">
        <f t="shared" si="20"/>
        <v>0</v>
      </c>
      <c r="N84" s="47">
        <f t="shared" si="20"/>
        <v>0</v>
      </c>
      <c r="O84" s="47">
        <f t="shared" si="20"/>
        <v>0</v>
      </c>
      <c r="P84" s="47">
        <f t="shared" si="20"/>
        <v>0</v>
      </c>
      <c r="Q84" s="47">
        <f t="shared" si="20"/>
        <v>0</v>
      </c>
      <c r="R84" s="47">
        <f t="shared" si="20"/>
        <v>0</v>
      </c>
      <c r="S84" s="47">
        <f t="shared" si="20"/>
        <v>0</v>
      </c>
      <c r="T84" s="47">
        <f t="shared" si="20"/>
        <v>0</v>
      </c>
      <c r="U84" s="47">
        <f t="shared" si="20"/>
        <v>0</v>
      </c>
      <c r="V84" s="47">
        <f t="shared" si="20"/>
        <v>0</v>
      </c>
      <c r="W84" s="47">
        <f t="shared" si="20"/>
        <v>0</v>
      </c>
      <c r="X84" s="47">
        <f t="shared" si="20"/>
        <v>0</v>
      </c>
      <c r="Y84" s="47">
        <f t="shared" si="20"/>
        <v>0</v>
      </c>
      <c r="Z84" s="47">
        <f t="shared" si="20"/>
        <v>0</v>
      </c>
      <c r="AA84" s="47">
        <f t="shared" si="20"/>
        <v>0</v>
      </c>
      <c r="AB84" s="47">
        <f t="shared" si="20"/>
        <v>0</v>
      </c>
      <c r="AC84" s="47">
        <f t="shared" si="20"/>
        <v>0</v>
      </c>
      <c r="AD84" s="47">
        <f t="shared" si="20"/>
        <v>40</v>
      </c>
      <c r="AE84" s="47">
        <f t="shared" si="20"/>
        <v>0</v>
      </c>
      <c r="AF84" s="47"/>
    </row>
    <row r="85" spans="1:32" ht="18.75" x14ac:dyDescent="0.3">
      <c r="A85" s="82" t="s">
        <v>33</v>
      </c>
      <c r="B85" s="47">
        <f>H85+J85+L85+N85+P85+R85+T85+V85+X85+Z85+AB85+AD85</f>
        <v>40</v>
      </c>
      <c r="C85" s="588">
        <f>H85</f>
        <v>0</v>
      </c>
      <c r="D85" s="588">
        <v>0</v>
      </c>
      <c r="E85" s="588">
        <f>I85</f>
        <v>0</v>
      </c>
      <c r="F85" s="588">
        <f>D85/B85*100</f>
        <v>0</v>
      </c>
      <c r="G85" s="588" t="e">
        <f>E85/C85*100</f>
        <v>#DIV/0!</v>
      </c>
      <c r="H85" s="588">
        <v>0</v>
      </c>
      <c r="I85" s="588">
        <v>0</v>
      </c>
      <c r="J85" s="588">
        <v>0</v>
      </c>
      <c r="K85" s="588">
        <v>0</v>
      </c>
      <c r="L85" s="47">
        <v>0</v>
      </c>
      <c r="M85" s="47">
        <v>0</v>
      </c>
      <c r="N85" s="47">
        <v>0</v>
      </c>
      <c r="O85" s="47">
        <v>0</v>
      </c>
      <c r="P85" s="47">
        <v>0</v>
      </c>
      <c r="Q85" s="47">
        <v>0</v>
      </c>
      <c r="R85" s="47">
        <v>0</v>
      </c>
      <c r="S85" s="47">
        <v>0</v>
      </c>
      <c r="T85" s="47">
        <v>0</v>
      </c>
      <c r="U85" s="47">
        <v>0</v>
      </c>
      <c r="V85" s="47">
        <v>0</v>
      </c>
      <c r="W85" s="47">
        <v>0</v>
      </c>
      <c r="X85" s="47">
        <v>0</v>
      </c>
      <c r="Y85" s="47">
        <v>0</v>
      </c>
      <c r="Z85" s="47">
        <v>0</v>
      </c>
      <c r="AA85" s="47">
        <v>0</v>
      </c>
      <c r="AB85" s="47">
        <v>0</v>
      </c>
      <c r="AC85" s="47">
        <v>0</v>
      </c>
      <c r="AD85" s="47">
        <v>40</v>
      </c>
      <c r="AE85" s="47">
        <v>0</v>
      </c>
      <c r="AF85" s="47"/>
    </row>
    <row r="86" spans="1:32" ht="225" hidden="1" x14ac:dyDescent="0.3">
      <c r="A86" s="82" t="s">
        <v>155</v>
      </c>
      <c r="B86" s="47">
        <v>0</v>
      </c>
      <c r="C86" s="588">
        <v>0</v>
      </c>
      <c r="D86" s="588">
        <v>0</v>
      </c>
      <c r="E86" s="588">
        <v>0</v>
      </c>
      <c r="F86" s="588">
        <v>0</v>
      </c>
      <c r="G86" s="588">
        <v>0</v>
      </c>
      <c r="H86" s="588">
        <v>0</v>
      </c>
      <c r="I86" s="588">
        <v>0</v>
      </c>
      <c r="J86" s="588">
        <v>0</v>
      </c>
      <c r="K86" s="588">
        <v>0</v>
      </c>
      <c r="L86" s="47">
        <v>0</v>
      </c>
      <c r="M86" s="47">
        <v>0</v>
      </c>
      <c r="N86" s="47">
        <v>0</v>
      </c>
      <c r="O86" s="47">
        <v>0</v>
      </c>
      <c r="P86" s="47">
        <v>0</v>
      </c>
      <c r="Q86" s="47">
        <v>0</v>
      </c>
      <c r="R86" s="47">
        <v>0</v>
      </c>
      <c r="S86" s="47">
        <v>0</v>
      </c>
      <c r="T86" s="47">
        <v>0</v>
      </c>
      <c r="U86" s="47"/>
      <c r="V86" s="47">
        <v>0</v>
      </c>
      <c r="W86" s="47">
        <v>0</v>
      </c>
      <c r="X86" s="47">
        <v>0</v>
      </c>
      <c r="Y86" s="47">
        <v>0</v>
      </c>
      <c r="Z86" s="47">
        <v>0</v>
      </c>
      <c r="AA86" s="47">
        <v>0</v>
      </c>
      <c r="AB86" s="47">
        <v>0</v>
      </c>
      <c r="AC86" s="47">
        <v>0</v>
      </c>
      <c r="AD86" s="47">
        <v>0</v>
      </c>
      <c r="AE86" s="47">
        <v>0</v>
      </c>
      <c r="AF86" s="47"/>
    </row>
    <row r="87" spans="1:32" ht="18.75" hidden="1" x14ac:dyDescent="0.3">
      <c r="A87" s="82" t="s">
        <v>31</v>
      </c>
      <c r="B87" s="47">
        <f>B88</f>
        <v>0</v>
      </c>
      <c r="C87" s="588">
        <f>C88</f>
        <v>0</v>
      </c>
      <c r="D87" s="588">
        <f>D88</f>
        <v>0</v>
      </c>
      <c r="E87" s="588">
        <f>E88</f>
        <v>0</v>
      </c>
      <c r="F87" s="588" t="e">
        <f>E87/B87*100</f>
        <v>#DIV/0!</v>
      </c>
      <c r="G87" s="588" t="e">
        <f>E87/C87*100</f>
        <v>#DIV/0!</v>
      </c>
      <c r="H87" s="588">
        <f>H88</f>
        <v>0</v>
      </c>
      <c r="I87" s="588">
        <f t="shared" ref="I87:AE87" si="21">I88</f>
        <v>0</v>
      </c>
      <c r="J87" s="588">
        <f t="shared" si="21"/>
        <v>0</v>
      </c>
      <c r="K87" s="588">
        <f t="shared" si="21"/>
        <v>0</v>
      </c>
      <c r="L87" s="47">
        <f t="shared" si="21"/>
        <v>0</v>
      </c>
      <c r="M87" s="47">
        <f t="shared" si="21"/>
        <v>0</v>
      </c>
      <c r="N87" s="47">
        <f t="shared" si="21"/>
        <v>0</v>
      </c>
      <c r="O87" s="47">
        <f t="shared" si="21"/>
        <v>0</v>
      </c>
      <c r="P87" s="47">
        <f t="shared" si="21"/>
        <v>0</v>
      </c>
      <c r="Q87" s="47">
        <f t="shared" si="21"/>
        <v>0</v>
      </c>
      <c r="R87" s="47">
        <f t="shared" si="21"/>
        <v>0</v>
      </c>
      <c r="S87" s="47">
        <f t="shared" si="21"/>
        <v>0</v>
      </c>
      <c r="T87" s="47">
        <f t="shared" si="21"/>
        <v>0</v>
      </c>
      <c r="U87" s="47">
        <f t="shared" si="21"/>
        <v>0</v>
      </c>
      <c r="V87" s="47">
        <f t="shared" si="21"/>
        <v>0</v>
      </c>
      <c r="W87" s="47">
        <f t="shared" si="21"/>
        <v>0</v>
      </c>
      <c r="X87" s="47">
        <f t="shared" si="21"/>
        <v>0</v>
      </c>
      <c r="Y87" s="47">
        <f t="shared" si="21"/>
        <v>0</v>
      </c>
      <c r="Z87" s="47">
        <f t="shared" si="21"/>
        <v>0</v>
      </c>
      <c r="AA87" s="47">
        <f t="shared" si="21"/>
        <v>0</v>
      </c>
      <c r="AB87" s="47">
        <f t="shared" si="21"/>
        <v>0</v>
      </c>
      <c r="AC87" s="47">
        <f t="shared" si="21"/>
        <v>0</v>
      </c>
      <c r="AD87" s="47">
        <f t="shared" si="21"/>
        <v>0</v>
      </c>
      <c r="AE87" s="47">
        <f t="shared" si="21"/>
        <v>0</v>
      </c>
      <c r="AF87" s="47"/>
    </row>
    <row r="88" spans="1:32" ht="18.75" hidden="1" x14ac:dyDescent="0.3">
      <c r="A88" s="82" t="s">
        <v>33</v>
      </c>
      <c r="B88" s="47">
        <f>H88+J88+L88+N88+P88+R88+T88+V88+X88+Z88+AB88+AD88</f>
        <v>0</v>
      </c>
      <c r="C88" s="588">
        <f>H88</f>
        <v>0</v>
      </c>
      <c r="D88" s="588"/>
      <c r="E88" s="588">
        <f>I88</f>
        <v>0</v>
      </c>
      <c r="F88" s="588" t="e">
        <f>D88/B88*100</f>
        <v>#DIV/0!</v>
      </c>
      <c r="G88" s="588" t="e">
        <f>E88/C88*100</f>
        <v>#DIV/0!</v>
      </c>
      <c r="H88" s="588"/>
      <c r="I88" s="588"/>
      <c r="J88" s="588"/>
      <c r="K88" s="588"/>
      <c r="L88" s="47"/>
      <c r="M88" s="47"/>
      <c r="N88" s="47"/>
      <c r="O88" s="47"/>
      <c r="P88" s="47"/>
      <c r="Q88" s="47"/>
      <c r="R88" s="47"/>
      <c r="S88" s="47"/>
      <c r="T88" s="47"/>
      <c r="U88" s="47"/>
      <c r="V88" s="47"/>
      <c r="W88" s="47"/>
      <c r="X88" s="47"/>
      <c r="Y88" s="47"/>
      <c r="Z88" s="47"/>
      <c r="AA88" s="47"/>
      <c r="AB88" s="47"/>
      <c r="AC88" s="47"/>
      <c r="AD88" s="47"/>
      <c r="AE88" s="47"/>
      <c r="AF88" s="47"/>
    </row>
    <row r="89" spans="1:32" ht="75" x14ac:dyDescent="0.3">
      <c r="A89" s="83" t="s">
        <v>156</v>
      </c>
      <c r="B89" s="47"/>
      <c r="C89" s="588"/>
      <c r="D89" s="588"/>
      <c r="E89" s="588"/>
      <c r="F89" s="588"/>
      <c r="G89" s="588"/>
      <c r="H89" s="588"/>
      <c r="I89" s="588"/>
      <c r="J89" s="588"/>
      <c r="K89" s="588"/>
      <c r="L89" s="47"/>
      <c r="M89" s="47"/>
      <c r="N89" s="47"/>
      <c r="O89" s="47"/>
      <c r="P89" s="47"/>
      <c r="Q89" s="47"/>
      <c r="R89" s="47"/>
      <c r="S89" s="47"/>
      <c r="T89" s="47"/>
      <c r="U89" s="47"/>
      <c r="V89" s="47"/>
      <c r="W89" s="47"/>
      <c r="X89" s="47"/>
      <c r="Y89" s="47"/>
      <c r="Z89" s="47"/>
      <c r="AA89" s="47"/>
      <c r="AB89" s="47"/>
      <c r="AC89" s="47"/>
      <c r="AD89" s="47"/>
      <c r="AE89" s="47"/>
      <c r="AF89" s="47"/>
    </row>
    <row r="90" spans="1:32" ht="18.75" x14ac:dyDescent="0.3">
      <c r="A90" s="82" t="s">
        <v>31</v>
      </c>
      <c r="B90" s="47">
        <f>B91</f>
        <v>6.7</v>
      </c>
      <c r="C90" s="588">
        <f>C91</f>
        <v>0</v>
      </c>
      <c r="D90" s="588">
        <f>D91</f>
        <v>0</v>
      </c>
      <c r="E90" s="588">
        <f>E91</f>
        <v>0</v>
      </c>
      <c r="F90" s="588">
        <f>E90/B90*100</f>
        <v>0</v>
      </c>
      <c r="G90" s="588" t="e">
        <f>E90/C90*100</f>
        <v>#DIV/0!</v>
      </c>
      <c r="H90" s="588">
        <f>H91</f>
        <v>0</v>
      </c>
      <c r="I90" s="588">
        <f t="shared" ref="I90:AE90" si="22">I91</f>
        <v>0</v>
      </c>
      <c r="J90" s="588">
        <f t="shared" si="22"/>
        <v>0</v>
      </c>
      <c r="K90" s="588">
        <f t="shared" si="22"/>
        <v>0</v>
      </c>
      <c r="L90" s="47">
        <f t="shared" si="22"/>
        <v>0</v>
      </c>
      <c r="M90" s="47">
        <f t="shared" si="22"/>
        <v>0</v>
      </c>
      <c r="N90" s="47">
        <f t="shared" si="22"/>
        <v>0</v>
      </c>
      <c r="O90" s="47">
        <f t="shared" si="22"/>
        <v>0</v>
      </c>
      <c r="P90" s="47">
        <f t="shared" si="22"/>
        <v>0</v>
      </c>
      <c r="Q90" s="47">
        <f t="shared" si="22"/>
        <v>0</v>
      </c>
      <c r="R90" s="47">
        <f t="shared" si="22"/>
        <v>0</v>
      </c>
      <c r="S90" s="47">
        <f t="shared" si="22"/>
        <v>0</v>
      </c>
      <c r="T90" s="47">
        <f t="shared" si="22"/>
        <v>0</v>
      </c>
      <c r="U90" s="47">
        <f t="shared" si="22"/>
        <v>0</v>
      </c>
      <c r="V90" s="47">
        <f t="shared" si="22"/>
        <v>6.7</v>
      </c>
      <c r="W90" s="47">
        <f t="shared" si="22"/>
        <v>0</v>
      </c>
      <c r="X90" s="47">
        <f t="shared" si="22"/>
        <v>0</v>
      </c>
      <c r="Y90" s="47">
        <f t="shared" si="22"/>
        <v>0</v>
      </c>
      <c r="Z90" s="47">
        <f t="shared" si="22"/>
        <v>0</v>
      </c>
      <c r="AA90" s="47">
        <f t="shared" si="22"/>
        <v>0</v>
      </c>
      <c r="AB90" s="47">
        <f t="shared" si="22"/>
        <v>0</v>
      </c>
      <c r="AC90" s="47">
        <f t="shared" si="22"/>
        <v>0</v>
      </c>
      <c r="AD90" s="47">
        <f t="shared" si="22"/>
        <v>0</v>
      </c>
      <c r="AE90" s="47">
        <f t="shared" si="22"/>
        <v>0</v>
      </c>
      <c r="AF90" s="47"/>
    </row>
    <row r="91" spans="1:32" ht="18.75" x14ac:dyDescent="0.3">
      <c r="A91" s="82" t="s">
        <v>33</v>
      </c>
      <c r="B91" s="47">
        <f>B94+B97</f>
        <v>6.7</v>
      </c>
      <c r="C91" s="588">
        <f>C94</f>
        <v>0</v>
      </c>
      <c r="D91" s="588">
        <f>D94</f>
        <v>0</v>
      </c>
      <c r="E91" s="588">
        <f>E94</f>
        <v>0</v>
      </c>
      <c r="F91" s="588">
        <f>D91/B91*100</f>
        <v>0</v>
      </c>
      <c r="G91" s="588" t="e">
        <f>E91/C91*100</f>
        <v>#DIV/0!</v>
      </c>
      <c r="H91" s="588">
        <f>H94</f>
        <v>0</v>
      </c>
      <c r="I91" s="588">
        <f t="shared" ref="I91:AE91" si="23">I94</f>
        <v>0</v>
      </c>
      <c r="J91" s="588">
        <f t="shared" si="23"/>
        <v>0</v>
      </c>
      <c r="K91" s="588">
        <f>K94</f>
        <v>0</v>
      </c>
      <c r="L91" s="47">
        <f t="shared" si="23"/>
        <v>0</v>
      </c>
      <c r="M91" s="47">
        <f t="shared" si="23"/>
        <v>0</v>
      </c>
      <c r="N91" s="47">
        <f t="shared" si="23"/>
        <v>0</v>
      </c>
      <c r="O91" s="47">
        <f t="shared" si="23"/>
        <v>0</v>
      </c>
      <c r="P91" s="47">
        <f t="shared" si="23"/>
        <v>0</v>
      </c>
      <c r="Q91" s="47">
        <f t="shared" si="23"/>
        <v>0</v>
      </c>
      <c r="R91" s="47">
        <f t="shared" si="23"/>
        <v>0</v>
      </c>
      <c r="S91" s="47">
        <f t="shared" si="23"/>
        <v>0</v>
      </c>
      <c r="T91" s="47">
        <f t="shared" si="23"/>
        <v>0</v>
      </c>
      <c r="U91" s="47">
        <f t="shared" si="23"/>
        <v>0</v>
      </c>
      <c r="V91" s="47">
        <f>V94</f>
        <v>6.7</v>
      </c>
      <c r="W91" s="47">
        <f>W94</f>
        <v>0</v>
      </c>
      <c r="X91" s="47">
        <f t="shared" si="23"/>
        <v>0</v>
      </c>
      <c r="Y91" s="47">
        <f t="shared" si="23"/>
        <v>0</v>
      </c>
      <c r="Z91" s="47">
        <f t="shared" si="23"/>
        <v>0</v>
      </c>
      <c r="AA91" s="47">
        <f t="shared" si="23"/>
        <v>0</v>
      </c>
      <c r="AB91" s="47">
        <f t="shared" si="23"/>
        <v>0</v>
      </c>
      <c r="AC91" s="47">
        <f t="shared" si="23"/>
        <v>0</v>
      </c>
      <c r="AD91" s="47">
        <f t="shared" si="23"/>
        <v>0</v>
      </c>
      <c r="AE91" s="47">
        <f t="shared" si="23"/>
        <v>0</v>
      </c>
      <c r="AF91" s="47"/>
    </row>
    <row r="92" spans="1:32" s="10" customFormat="1" ht="131.25" x14ac:dyDescent="0.3">
      <c r="A92" s="15" t="s">
        <v>157</v>
      </c>
      <c r="B92" s="47"/>
      <c r="C92" s="588"/>
      <c r="D92" s="588"/>
      <c r="E92" s="588"/>
      <c r="F92" s="588"/>
      <c r="G92" s="588"/>
      <c r="H92" s="588"/>
      <c r="I92" s="588"/>
      <c r="J92" s="588"/>
      <c r="K92" s="588"/>
      <c r="L92" s="47"/>
      <c r="M92" s="47"/>
      <c r="N92" s="47"/>
      <c r="O92" s="47"/>
      <c r="P92" s="47"/>
      <c r="Q92" s="47"/>
      <c r="R92" s="47"/>
      <c r="S92" s="47"/>
      <c r="T92" s="47"/>
      <c r="U92" s="47"/>
      <c r="V92" s="47"/>
      <c r="W92" s="47"/>
      <c r="X92" s="47"/>
      <c r="Y92" s="47"/>
      <c r="Z92" s="47"/>
      <c r="AA92" s="47"/>
      <c r="AB92" s="47"/>
      <c r="AC92" s="47"/>
      <c r="AD92" s="47"/>
      <c r="AE92" s="47"/>
      <c r="AF92" s="47"/>
    </row>
    <row r="93" spans="1:32" s="10" customFormat="1" ht="18.75" x14ac:dyDescent="0.3">
      <c r="A93" s="920" t="s">
        <v>31</v>
      </c>
      <c r="B93" s="47">
        <f>B94</f>
        <v>6.7</v>
      </c>
      <c r="C93" s="588">
        <f>C94</f>
        <v>0</v>
      </c>
      <c r="D93" s="588">
        <f>D94</f>
        <v>0</v>
      </c>
      <c r="E93" s="588">
        <f>E94</f>
        <v>0</v>
      </c>
      <c r="F93" s="588">
        <f>E93/B93*100</f>
        <v>0</v>
      </c>
      <c r="G93" s="588" t="e">
        <f>E93/C93*100</f>
        <v>#DIV/0!</v>
      </c>
      <c r="H93" s="588">
        <f>H94</f>
        <v>0</v>
      </c>
      <c r="I93" s="588">
        <f t="shared" ref="I93:AE93" si="24">I94</f>
        <v>0</v>
      </c>
      <c r="J93" s="588">
        <f t="shared" si="24"/>
        <v>0</v>
      </c>
      <c r="K93" s="588">
        <f t="shared" si="24"/>
        <v>0</v>
      </c>
      <c r="L93" s="47">
        <f t="shared" si="24"/>
        <v>0</v>
      </c>
      <c r="M93" s="47">
        <f t="shared" si="24"/>
        <v>0</v>
      </c>
      <c r="N93" s="47">
        <f t="shared" si="24"/>
        <v>0</v>
      </c>
      <c r="O93" s="47">
        <f t="shared" si="24"/>
        <v>0</v>
      </c>
      <c r="P93" s="47">
        <f t="shared" si="24"/>
        <v>0</v>
      </c>
      <c r="Q93" s="47">
        <f t="shared" si="24"/>
        <v>0</v>
      </c>
      <c r="R93" s="47">
        <f t="shared" si="24"/>
        <v>0</v>
      </c>
      <c r="S93" s="47">
        <f t="shared" si="24"/>
        <v>0</v>
      </c>
      <c r="T93" s="47">
        <f t="shared" si="24"/>
        <v>0</v>
      </c>
      <c r="U93" s="47">
        <f t="shared" si="24"/>
        <v>0</v>
      </c>
      <c r="V93" s="47">
        <f t="shared" si="24"/>
        <v>6.7</v>
      </c>
      <c r="W93" s="47">
        <f t="shared" si="24"/>
        <v>0</v>
      </c>
      <c r="X93" s="47">
        <f t="shared" si="24"/>
        <v>0</v>
      </c>
      <c r="Y93" s="47">
        <f t="shared" si="24"/>
        <v>0</v>
      </c>
      <c r="Z93" s="47">
        <f t="shared" si="24"/>
        <v>0</v>
      </c>
      <c r="AA93" s="47">
        <f t="shared" si="24"/>
        <v>0</v>
      </c>
      <c r="AB93" s="47">
        <f t="shared" si="24"/>
        <v>0</v>
      </c>
      <c r="AC93" s="47">
        <f t="shared" si="24"/>
        <v>0</v>
      </c>
      <c r="AD93" s="47">
        <f t="shared" si="24"/>
        <v>0</v>
      </c>
      <c r="AE93" s="47">
        <f t="shared" si="24"/>
        <v>0</v>
      </c>
      <c r="AF93" s="47"/>
    </row>
    <row r="94" spans="1:32" s="10" customFormat="1" ht="18.75" x14ac:dyDescent="0.3">
      <c r="A94" s="920" t="s">
        <v>33</v>
      </c>
      <c r="B94" s="47">
        <f>H94+J94+L94+N94+P94+R94+T94+V94+X94+Z94+AB94+AD94</f>
        <v>6.7</v>
      </c>
      <c r="C94" s="588">
        <f>H94</f>
        <v>0</v>
      </c>
      <c r="D94" s="588"/>
      <c r="E94" s="588">
        <f>I94</f>
        <v>0</v>
      </c>
      <c r="F94" s="588">
        <f>D94/B94*100</f>
        <v>0</v>
      </c>
      <c r="G94" s="588" t="e">
        <f>E94/C94*100</f>
        <v>#DIV/0!</v>
      </c>
      <c r="H94" s="588"/>
      <c r="I94" s="588"/>
      <c r="J94" s="588"/>
      <c r="K94" s="588"/>
      <c r="L94" s="47"/>
      <c r="M94" s="47"/>
      <c r="N94" s="47"/>
      <c r="O94" s="47"/>
      <c r="P94" s="47"/>
      <c r="Q94" s="47"/>
      <c r="R94" s="47"/>
      <c r="S94" s="47"/>
      <c r="T94" s="47"/>
      <c r="U94" s="47"/>
      <c r="V94" s="47">
        <v>6.7</v>
      </c>
      <c r="W94" s="47"/>
      <c r="X94" s="47"/>
      <c r="Y94" s="47"/>
      <c r="Z94" s="47"/>
      <c r="AA94" s="47"/>
      <c r="AB94" s="47"/>
      <c r="AC94" s="47"/>
      <c r="AD94" s="47"/>
      <c r="AE94" s="47"/>
      <c r="AF94" s="47"/>
    </row>
    <row r="95" spans="1:32" s="10" customFormat="1" ht="206.25" hidden="1" x14ac:dyDescent="0.3">
      <c r="A95" s="50" t="s">
        <v>158</v>
      </c>
      <c r="B95" s="47"/>
      <c r="C95" s="588"/>
      <c r="D95" s="588"/>
      <c r="E95" s="588"/>
      <c r="F95" s="588"/>
      <c r="G95" s="588"/>
      <c r="H95" s="588"/>
      <c r="I95" s="588"/>
      <c r="J95" s="588"/>
      <c r="K95" s="588"/>
      <c r="L95" s="47"/>
      <c r="M95" s="47"/>
      <c r="N95" s="47"/>
      <c r="O95" s="47"/>
      <c r="P95" s="47"/>
      <c r="Q95" s="47"/>
      <c r="R95" s="47"/>
      <c r="S95" s="47"/>
      <c r="T95" s="47"/>
      <c r="U95" s="47"/>
      <c r="V95" s="47"/>
      <c r="W95" s="47"/>
      <c r="X95" s="47"/>
      <c r="Y95" s="47"/>
      <c r="Z95" s="47"/>
      <c r="AA95" s="47"/>
      <c r="AB95" s="47"/>
      <c r="AC95" s="47"/>
      <c r="AD95" s="47"/>
      <c r="AE95" s="47"/>
      <c r="AF95" s="47"/>
    </row>
    <row r="96" spans="1:32" s="10" customFormat="1" ht="18.75" hidden="1" x14ac:dyDescent="0.3">
      <c r="A96" s="82" t="s">
        <v>31</v>
      </c>
      <c r="B96" s="47"/>
      <c r="C96" s="588"/>
      <c r="D96" s="588"/>
      <c r="E96" s="588"/>
      <c r="F96" s="588"/>
      <c r="G96" s="588"/>
      <c r="H96" s="588"/>
      <c r="I96" s="588"/>
      <c r="J96" s="588"/>
      <c r="K96" s="588"/>
      <c r="L96" s="47"/>
      <c r="M96" s="47"/>
      <c r="N96" s="47"/>
      <c r="O96" s="47"/>
      <c r="P96" s="47"/>
      <c r="Q96" s="47"/>
      <c r="R96" s="47"/>
      <c r="S96" s="47"/>
      <c r="T96" s="47"/>
      <c r="U96" s="47"/>
      <c r="V96" s="47"/>
      <c r="W96" s="47"/>
      <c r="X96" s="47"/>
      <c r="Y96" s="47"/>
      <c r="Z96" s="47"/>
      <c r="AA96" s="47"/>
      <c r="AB96" s="47"/>
      <c r="AC96" s="47"/>
      <c r="AD96" s="47"/>
      <c r="AE96" s="47"/>
      <c r="AF96" s="47"/>
    </row>
    <row r="97" spans="1:32" s="10" customFormat="1" ht="18.75" hidden="1" x14ac:dyDescent="0.3">
      <c r="A97" s="82" t="s">
        <v>33</v>
      </c>
      <c r="B97" s="47"/>
      <c r="C97" s="588"/>
      <c r="D97" s="588"/>
      <c r="E97" s="588"/>
      <c r="F97" s="588"/>
      <c r="G97" s="588"/>
      <c r="H97" s="588"/>
      <c r="I97" s="588"/>
      <c r="J97" s="588"/>
      <c r="K97" s="588"/>
      <c r="L97" s="47"/>
      <c r="M97" s="47"/>
      <c r="N97" s="47"/>
      <c r="O97" s="47"/>
      <c r="P97" s="47"/>
      <c r="Q97" s="47"/>
      <c r="R97" s="47"/>
      <c r="S97" s="47"/>
      <c r="T97" s="47"/>
      <c r="U97" s="47"/>
      <c r="V97" s="47"/>
      <c r="W97" s="47"/>
      <c r="X97" s="47"/>
      <c r="Y97" s="47"/>
      <c r="Z97" s="47"/>
      <c r="AA97" s="47"/>
      <c r="AB97" s="47"/>
      <c r="AC97" s="47"/>
      <c r="AD97" s="47"/>
      <c r="AE97" s="47"/>
      <c r="AF97" s="47"/>
    </row>
    <row r="98" spans="1:32" ht="18.75" x14ac:dyDescent="0.3">
      <c r="A98" s="56" t="s">
        <v>35</v>
      </c>
      <c r="B98" s="47"/>
      <c r="C98" s="588"/>
      <c r="D98" s="588"/>
      <c r="E98" s="588"/>
      <c r="F98" s="588"/>
      <c r="G98" s="588"/>
      <c r="H98" s="588"/>
      <c r="I98" s="588"/>
      <c r="J98" s="588"/>
      <c r="K98" s="588"/>
      <c r="L98" s="47"/>
      <c r="M98" s="47"/>
      <c r="N98" s="47"/>
      <c r="O98" s="47"/>
      <c r="P98" s="47"/>
      <c r="Q98" s="47"/>
      <c r="R98" s="47"/>
      <c r="S98" s="47"/>
      <c r="T98" s="47"/>
      <c r="U98" s="47"/>
      <c r="V98" s="47"/>
      <c r="W98" s="47"/>
      <c r="X98" s="47"/>
      <c r="Y98" s="47"/>
      <c r="Z98" s="47"/>
      <c r="AA98" s="47"/>
      <c r="AB98" s="47"/>
      <c r="AC98" s="47"/>
      <c r="AD98" s="47"/>
      <c r="AE98" s="47"/>
      <c r="AF98" s="47"/>
    </row>
    <row r="99" spans="1:32" ht="18.75" x14ac:dyDescent="0.3">
      <c r="A99" s="82" t="s">
        <v>31</v>
      </c>
      <c r="B99" s="47">
        <f>B100</f>
        <v>135.69999999999999</v>
      </c>
      <c r="C99" s="588">
        <f>C100</f>
        <v>80</v>
      </c>
      <c r="D99" s="588">
        <f>D100</f>
        <v>80</v>
      </c>
      <c r="E99" s="588">
        <f>E100</f>
        <v>80</v>
      </c>
      <c r="F99" s="588">
        <f>D99/B99*100</f>
        <v>58.953574060427414</v>
      </c>
      <c r="G99" s="588">
        <f>E99/C99*100</f>
        <v>100</v>
      </c>
      <c r="H99" s="588">
        <v>0</v>
      </c>
      <c r="I99" s="588">
        <v>0</v>
      </c>
      <c r="J99" s="588">
        <v>0</v>
      </c>
      <c r="K99" s="588">
        <v>0</v>
      </c>
      <c r="L99" s="47">
        <v>0</v>
      </c>
      <c r="M99" s="47">
        <v>0</v>
      </c>
      <c r="N99" s="47"/>
      <c r="O99" s="47"/>
      <c r="P99" s="47"/>
      <c r="Q99" s="47"/>
      <c r="R99" s="47"/>
      <c r="S99" s="47"/>
      <c r="T99" s="47"/>
      <c r="U99" s="47"/>
      <c r="V99" s="47"/>
      <c r="W99" s="47"/>
      <c r="X99" s="47"/>
      <c r="Y99" s="47"/>
      <c r="Z99" s="47"/>
      <c r="AA99" s="47"/>
      <c r="AB99" s="47"/>
      <c r="AC99" s="47"/>
      <c r="AD99" s="47"/>
      <c r="AE99" s="47"/>
      <c r="AF99" s="47"/>
    </row>
    <row r="100" spans="1:32" ht="18.75" x14ac:dyDescent="0.3">
      <c r="A100" s="82" t="s">
        <v>33</v>
      </c>
      <c r="B100" s="47">
        <f>B64+B82+B91+B97</f>
        <v>135.69999999999999</v>
      </c>
      <c r="C100" s="588">
        <f>C64+C82+C91</f>
        <v>80</v>
      </c>
      <c r="D100" s="588">
        <f>D64+D82+D91</f>
        <v>80</v>
      </c>
      <c r="E100" s="588">
        <f>E64+E82+E91</f>
        <v>80</v>
      </c>
      <c r="F100" s="588">
        <f>D100/B100*100</f>
        <v>58.953574060427414</v>
      </c>
      <c r="G100" s="588">
        <f>E100/C100*100</f>
        <v>100</v>
      </c>
      <c r="H100" s="588">
        <v>0</v>
      </c>
      <c r="I100" s="588">
        <v>0</v>
      </c>
      <c r="J100" s="588">
        <v>0</v>
      </c>
      <c r="K100" s="588">
        <v>0</v>
      </c>
      <c r="L100" s="47">
        <v>0</v>
      </c>
      <c r="M100" s="47">
        <v>0</v>
      </c>
      <c r="N100" s="47"/>
      <c r="O100" s="47"/>
      <c r="P100" s="47"/>
      <c r="Q100" s="47"/>
      <c r="R100" s="47"/>
      <c r="S100" s="47"/>
      <c r="T100" s="47"/>
      <c r="U100" s="47"/>
      <c r="V100" s="47"/>
      <c r="W100" s="47"/>
      <c r="X100" s="47"/>
      <c r="Y100" s="47"/>
      <c r="Z100" s="47"/>
      <c r="AA100" s="47"/>
      <c r="AB100" s="47"/>
      <c r="AC100" s="47"/>
      <c r="AD100" s="47"/>
      <c r="AE100" s="47"/>
      <c r="AF100" s="47"/>
    </row>
    <row r="101" spans="1:32" ht="37.5" x14ac:dyDescent="0.3">
      <c r="A101" s="87" t="s">
        <v>73</v>
      </c>
      <c r="B101" s="90"/>
      <c r="C101" s="589"/>
      <c r="D101" s="589"/>
      <c r="E101" s="589"/>
      <c r="F101" s="589"/>
      <c r="G101" s="589"/>
      <c r="H101" s="589"/>
      <c r="I101" s="589"/>
      <c r="J101" s="589"/>
      <c r="K101" s="589"/>
      <c r="L101" s="90"/>
      <c r="M101" s="90"/>
      <c r="N101" s="90"/>
      <c r="O101" s="90"/>
      <c r="P101" s="90"/>
      <c r="Q101" s="90"/>
      <c r="R101" s="90"/>
      <c r="S101" s="90"/>
      <c r="T101" s="90"/>
      <c r="U101" s="90"/>
      <c r="V101" s="90"/>
      <c r="W101" s="90"/>
      <c r="X101" s="90"/>
      <c r="Y101" s="90"/>
      <c r="Z101" s="90"/>
      <c r="AA101" s="90"/>
      <c r="AB101" s="90"/>
      <c r="AC101" s="90"/>
      <c r="AD101" s="90"/>
      <c r="AE101" s="90"/>
      <c r="AF101" s="90"/>
    </row>
    <row r="102" spans="1:32" ht="18.75" x14ac:dyDescent="0.3">
      <c r="A102" s="88" t="s">
        <v>31</v>
      </c>
      <c r="B102" s="58">
        <f>B103</f>
        <v>135.69999999999999</v>
      </c>
      <c r="C102" s="589">
        <f>C103</f>
        <v>80</v>
      </c>
      <c r="D102" s="589">
        <f>D103</f>
        <v>80</v>
      </c>
      <c r="E102" s="589">
        <f>E103</f>
        <v>80</v>
      </c>
      <c r="F102" s="588">
        <f>E102/B102*100</f>
        <v>58.953574060427414</v>
      </c>
      <c r="G102" s="588">
        <f>E102/C102*100</f>
        <v>100</v>
      </c>
      <c r="H102" s="589">
        <v>0</v>
      </c>
      <c r="I102" s="589">
        <v>0</v>
      </c>
      <c r="J102" s="589">
        <v>0</v>
      </c>
      <c r="K102" s="589">
        <v>0</v>
      </c>
      <c r="L102" s="58">
        <v>0</v>
      </c>
      <c r="M102" s="58">
        <v>0</v>
      </c>
      <c r="N102" s="58"/>
      <c r="O102" s="58"/>
      <c r="P102" s="58"/>
      <c r="Q102" s="58"/>
      <c r="R102" s="58"/>
      <c r="S102" s="58"/>
      <c r="T102" s="58"/>
      <c r="U102" s="58"/>
      <c r="V102" s="58"/>
      <c r="W102" s="58"/>
      <c r="X102" s="58"/>
      <c r="Y102" s="58"/>
      <c r="Z102" s="58"/>
      <c r="AA102" s="58"/>
      <c r="AB102" s="58"/>
      <c r="AC102" s="58"/>
      <c r="AD102" s="58"/>
      <c r="AE102" s="58"/>
      <c r="AF102" s="90"/>
    </row>
    <row r="103" spans="1:32" ht="18.75" x14ac:dyDescent="0.3">
      <c r="A103" s="82" t="s">
        <v>33</v>
      </c>
      <c r="B103" s="58">
        <f>B100</f>
        <v>135.69999999999999</v>
      </c>
      <c r="C103" s="589">
        <f>C100</f>
        <v>80</v>
      </c>
      <c r="D103" s="589">
        <f>D100</f>
        <v>80</v>
      </c>
      <c r="E103" s="589">
        <f>E100</f>
        <v>80</v>
      </c>
      <c r="F103" s="588">
        <f>E103/B103*100</f>
        <v>58.953574060427414</v>
      </c>
      <c r="G103" s="588">
        <f>E103/C103*100</f>
        <v>100</v>
      </c>
      <c r="H103" s="589">
        <v>0</v>
      </c>
      <c r="I103" s="589">
        <v>0</v>
      </c>
      <c r="J103" s="589">
        <v>0</v>
      </c>
      <c r="K103" s="589">
        <v>0</v>
      </c>
      <c r="L103" s="58">
        <v>0</v>
      </c>
      <c r="M103" s="58">
        <v>0</v>
      </c>
      <c r="N103" s="58"/>
      <c r="O103" s="58"/>
      <c r="P103" s="58"/>
      <c r="Q103" s="58"/>
      <c r="R103" s="58"/>
      <c r="S103" s="58"/>
      <c r="T103" s="58"/>
      <c r="U103" s="58"/>
      <c r="V103" s="58"/>
      <c r="W103" s="58"/>
      <c r="X103" s="58"/>
      <c r="Y103" s="58"/>
      <c r="Z103" s="58"/>
      <c r="AA103" s="58"/>
      <c r="AB103" s="58"/>
      <c r="AC103" s="58"/>
      <c r="AD103" s="58"/>
      <c r="AE103" s="58"/>
      <c r="AF103" s="90"/>
    </row>
    <row r="104" spans="1:32" ht="93.75" x14ac:dyDescent="0.3">
      <c r="A104" s="50" t="s">
        <v>159</v>
      </c>
      <c r="B104" s="90"/>
      <c r="C104" s="589"/>
      <c r="D104" s="589"/>
      <c r="E104" s="589"/>
      <c r="F104" s="589"/>
      <c r="G104" s="589"/>
      <c r="H104" s="589"/>
      <c r="I104" s="589"/>
      <c r="J104" s="589"/>
      <c r="K104" s="589"/>
      <c r="L104" s="90"/>
      <c r="M104" s="90"/>
      <c r="N104" s="90"/>
      <c r="O104" s="90"/>
      <c r="P104" s="90"/>
      <c r="Q104" s="90"/>
      <c r="R104" s="90"/>
      <c r="S104" s="90"/>
      <c r="T104" s="90"/>
      <c r="U104" s="90"/>
      <c r="V104" s="90"/>
      <c r="W104" s="90"/>
      <c r="X104" s="90"/>
      <c r="Y104" s="90"/>
      <c r="Z104" s="90"/>
      <c r="AA104" s="90"/>
      <c r="AB104" s="90"/>
      <c r="AC104" s="90"/>
      <c r="AD104" s="90"/>
      <c r="AE104" s="90"/>
      <c r="AF104" s="90"/>
    </row>
    <row r="105" spans="1:32" ht="18.75" x14ac:dyDescent="0.3">
      <c r="A105" s="15" t="s">
        <v>54</v>
      </c>
      <c r="B105" s="90"/>
      <c r="C105" s="589"/>
      <c r="D105" s="589"/>
      <c r="E105" s="589"/>
      <c r="F105" s="589"/>
      <c r="G105" s="589"/>
      <c r="H105" s="589"/>
      <c r="I105" s="589"/>
      <c r="J105" s="589"/>
      <c r="K105" s="589"/>
      <c r="L105" s="90"/>
      <c r="M105" s="90"/>
      <c r="N105" s="90"/>
      <c r="O105" s="90"/>
      <c r="P105" s="90"/>
      <c r="Q105" s="90"/>
      <c r="R105" s="90"/>
      <c r="S105" s="90"/>
      <c r="T105" s="90"/>
      <c r="U105" s="90"/>
      <c r="V105" s="90"/>
      <c r="W105" s="90"/>
      <c r="X105" s="90"/>
      <c r="Y105" s="90"/>
      <c r="Z105" s="90"/>
      <c r="AA105" s="90"/>
      <c r="AB105" s="90"/>
      <c r="AC105" s="90"/>
      <c r="AD105" s="90"/>
      <c r="AE105" s="90"/>
      <c r="AF105" s="90"/>
    </row>
    <row r="106" spans="1:32" ht="93.75" x14ac:dyDescent="0.3">
      <c r="A106" s="50" t="s">
        <v>160</v>
      </c>
      <c r="B106" s="90"/>
      <c r="C106" s="589"/>
      <c r="D106" s="589"/>
      <c r="E106" s="589"/>
      <c r="F106" s="589"/>
      <c r="G106" s="589"/>
      <c r="H106" s="589"/>
      <c r="I106" s="589"/>
      <c r="J106" s="589"/>
      <c r="K106" s="589"/>
      <c r="L106" s="90"/>
      <c r="M106" s="90"/>
      <c r="N106" s="90"/>
      <c r="O106" s="90"/>
      <c r="P106" s="90"/>
      <c r="Q106" s="90"/>
      <c r="R106" s="90"/>
      <c r="S106" s="90"/>
      <c r="T106" s="90"/>
      <c r="U106" s="90"/>
      <c r="V106" s="90"/>
      <c r="W106" s="90"/>
      <c r="X106" s="90"/>
      <c r="Y106" s="90"/>
      <c r="Z106" s="90"/>
      <c r="AA106" s="90"/>
      <c r="AB106" s="90"/>
      <c r="AC106" s="90"/>
      <c r="AD106" s="90"/>
      <c r="AE106" s="90"/>
      <c r="AF106" s="90"/>
    </row>
    <row r="107" spans="1:32" ht="94.5" x14ac:dyDescent="0.3">
      <c r="A107" s="18" t="s">
        <v>31</v>
      </c>
      <c r="B107" s="888">
        <f>B108</f>
        <v>569.4</v>
      </c>
      <c r="C107" s="892">
        <f>C108</f>
        <v>567.995</v>
      </c>
      <c r="D107" s="892">
        <f>D108</f>
        <v>567.995</v>
      </c>
      <c r="E107" s="891">
        <f>E108</f>
        <v>567.995</v>
      </c>
      <c r="F107" s="588">
        <f>E107/B107*100</f>
        <v>99.753249034070961</v>
      </c>
      <c r="G107" s="588">
        <f>E107/C107*100</f>
        <v>100</v>
      </c>
      <c r="H107" s="589">
        <f>H108</f>
        <v>0</v>
      </c>
      <c r="I107" s="589">
        <f t="shared" ref="I107:AE107" si="25">I108</f>
        <v>0</v>
      </c>
      <c r="J107" s="589">
        <f>J108</f>
        <v>0</v>
      </c>
      <c r="K107" s="589">
        <f t="shared" si="25"/>
        <v>0</v>
      </c>
      <c r="L107" s="58">
        <f t="shared" si="25"/>
        <v>0</v>
      </c>
      <c r="M107" s="58">
        <f t="shared" si="25"/>
        <v>0</v>
      </c>
      <c r="N107" s="58">
        <f t="shared" si="25"/>
        <v>0</v>
      </c>
      <c r="O107" s="58">
        <f t="shared" si="25"/>
        <v>0</v>
      </c>
      <c r="P107" s="592">
        <f>P108</f>
        <v>569.4</v>
      </c>
      <c r="Q107" s="882">
        <v>567.995</v>
      </c>
      <c r="R107" s="58">
        <f t="shared" si="25"/>
        <v>0</v>
      </c>
      <c r="S107" s="58">
        <f t="shared" si="25"/>
        <v>0</v>
      </c>
      <c r="T107" s="58">
        <f t="shared" si="25"/>
        <v>0</v>
      </c>
      <c r="U107" s="58">
        <f t="shared" si="25"/>
        <v>0</v>
      </c>
      <c r="V107" s="58">
        <f t="shared" si="25"/>
        <v>0</v>
      </c>
      <c r="W107" s="58">
        <f t="shared" si="25"/>
        <v>0</v>
      </c>
      <c r="X107" s="58">
        <f t="shared" si="25"/>
        <v>0</v>
      </c>
      <c r="Y107" s="58">
        <f t="shared" si="25"/>
        <v>0</v>
      </c>
      <c r="Z107" s="58">
        <f t="shared" si="25"/>
        <v>0</v>
      </c>
      <c r="AA107" s="58">
        <f t="shared" si="25"/>
        <v>0</v>
      </c>
      <c r="AB107" s="58">
        <f t="shared" si="25"/>
        <v>0</v>
      </c>
      <c r="AC107" s="58">
        <f t="shared" si="25"/>
        <v>0</v>
      </c>
      <c r="AD107" s="58">
        <f t="shared" si="25"/>
        <v>0</v>
      </c>
      <c r="AE107" s="58">
        <f t="shared" si="25"/>
        <v>0</v>
      </c>
      <c r="AF107" s="881" t="s">
        <v>567</v>
      </c>
    </row>
    <row r="108" spans="1:32" ht="18.75" x14ac:dyDescent="0.3">
      <c r="A108" s="15" t="s">
        <v>33</v>
      </c>
      <c r="B108" s="47">
        <f>H108+J108+L108+N108+P108+R108+T108+V108+X108+Z108+AB108+AD108</f>
        <v>569.4</v>
      </c>
      <c r="C108" s="588">
        <f>Q108</f>
        <v>567.995</v>
      </c>
      <c r="D108" s="588">
        <f>Q108</f>
        <v>567.995</v>
      </c>
      <c r="E108" s="588">
        <f>Q108</f>
        <v>567.995</v>
      </c>
      <c r="F108" s="588">
        <f>E108/B108*100</f>
        <v>99.753249034070961</v>
      </c>
      <c r="G108" s="588">
        <f>E108/C108*100</f>
        <v>100</v>
      </c>
      <c r="H108" s="588">
        <v>0</v>
      </c>
      <c r="I108" s="589">
        <v>0</v>
      </c>
      <c r="J108" s="589">
        <v>0</v>
      </c>
      <c r="K108" s="589">
        <v>0</v>
      </c>
      <c r="L108" s="90">
        <v>0</v>
      </c>
      <c r="M108" s="90">
        <v>0</v>
      </c>
      <c r="N108" s="90">
        <v>0</v>
      </c>
      <c r="O108" s="90">
        <v>0</v>
      </c>
      <c r="P108" s="90">
        <v>569.4</v>
      </c>
      <c r="Q108" s="882">
        <v>567.995</v>
      </c>
      <c r="R108" s="90"/>
      <c r="S108" s="90"/>
      <c r="T108" s="90"/>
      <c r="U108" s="90"/>
      <c r="V108" s="90"/>
      <c r="W108" s="90"/>
      <c r="X108" s="90"/>
      <c r="Y108" s="90"/>
      <c r="Z108" s="90"/>
      <c r="AA108" s="90"/>
      <c r="AB108" s="90"/>
      <c r="AC108" s="90"/>
      <c r="AD108" s="90"/>
      <c r="AE108" s="90"/>
      <c r="AF108" s="90"/>
    </row>
    <row r="109" spans="1:32" ht="18.75" x14ac:dyDescent="0.3">
      <c r="A109" s="56" t="s">
        <v>62</v>
      </c>
      <c r="B109" s="90"/>
      <c r="C109" s="589"/>
      <c r="D109" s="589"/>
      <c r="E109" s="589"/>
      <c r="F109" s="589"/>
      <c r="G109" s="589"/>
      <c r="H109" s="589"/>
      <c r="I109" s="588"/>
      <c r="J109" s="588"/>
      <c r="K109" s="588"/>
      <c r="L109" s="47"/>
      <c r="M109" s="47"/>
      <c r="N109" s="47"/>
      <c r="O109" s="90"/>
      <c r="P109" s="90"/>
      <c r="Q109" s="882"/>
      <c r="R109" s="90"/>
      <c r="S109" s="90"/>
      <c r="T109" s="90"/>
      <c r="U109" s="90"/>
      <c r="V109" s="90"/>
      <c r="W109" s="90"/>
      <c r="X109" s="90"/>
      <c r="Y109" s="90"/>
      <c r="Z109" s="90"/>
      <c r="AA109" s="90"/>
      <c r="AB109" s="90"/>
      <c r="AC109" s="90"/>
      <c r="AD109" s="90"/>
      <c r="AE109" s="90"/>
      <c r="AF109" s="90"/>
    </row>
    <row r="110" spans="1:32" ht="18.75" x14ac:dyDescent="0.3">
      <c r="A110" s="19" t="s">
        <v>31</v>
      </c>
      <c r="B110" s="58">
        <f>B111</f>
        <v>569.4</v>
      </c>
      <c r="C110" s="589">
        <f>C111</f>
        <v>567.995</v>
      </c>
      <c r="D110" s="589">
        <f>D111</f>
        <v>567.995</v>
      </c>
      <c r="E110" s="589">
        <f>E111</f>
        <v>567.995</v>
      </c>
      <c r="F110" s="588">
        <f>E110/B110*100</f>
        <v>99.753249034070961</v>
      </c>
      <c r="G110" s="588">
        <f>E110/C110*100</f>
        <v>100</v>
      </c>
      <c r="H110" s="589">
        <v>0</v>
      </c>
      <c r="I110" s="589">
        <v>0</v>
      </c>
      <c r="J110" s="589">
        <v>0</v>
      </c>
      <c r="K110" s="589">
        <v>0</v>
      </c>
      <c r="L110" s="58">
        <v>0</v>
      </c>
      <c r="M110" s="58">
        <v>0</v>
      </c>
      <c r="N110" s="58">
        <v>0</v>
      </c>
      <c r="O110" s="58">
        <v>0</v>
      </c>
      <c r="P110" s="58">
        <v>569.4</v>
      </c>
      <c r="Q110" s="882">
        <v>567.995</v>
      </c>
      <c r="R110" s="58"/>
      <c r="S110" s="58"/>
      <c r="T110" s="58"/>
      <c r="U110" s="58"/>
      <c r="V110" s="58"/>
      <c r="W110" s="58"/>
      <c r="X110" s="58"/>
      <c r="Y110" s="58"/>
      <c r="Z110" s="58"/>
      <c r="AA110" s="58"/>
      <c r="AB110" s="58"/>
      <c r="AC110" s="58"/>
      <c r="AD110" s="58"/>
      <c r="AE110" s="58"/>
      <c r="AF110" s="90"/>
    </row>
    <row r="111" spans="1:32" ht="18.75" x14ac:dyDescent="0.3">
      <c r="A111" s="15" t="s">
        <v>33</v>
      </c>
      <c r="B111" s="58">
        <f>B108</f>
        <v>569.4</v>
      </c>
      <c r="C111" s="589">
        <f>C108</f>
        <v>567.995</v>
      </c>
      <c r="D111" s="589">
        <f>D108</f>
        <v>567.995</v>
      </c>
      <c r="E111" s="589">
        <f>E108</f>
        <v>567.995</v>
      </c>
      <c r="F111" s="588">
        <f>E111/B111*100</f>
        <v>99.753249034070961</v>
      </c>
      <c r="G111" s="588">
        <f>E111/C111*100</f>
        <v>100</v>
      </c>
      <c r="H111" s="589">
        <v>0</v>
      </c>
      <c r="I111" s="589">
        <v>0</v>
      </c>
      <c r="J111" s="589">
        <v>0</v>
      </c>
      <c r="K111" s="589">
        <v>0</v>
      </c>
      <c r="L111" s="58">
        <v>0</v>
      </c>
      <c r="M111" s="58">
        <v>0</v>
      </c>
      <c r="N111" s="58">
        <v>0</v>
      </c>
      <c r="O111" s="58">
        <v>0</v>
      </c>
      <c r="P111" s="58">
        <v>569.4</v>
      </c>
      <c r="Q111" s="882">
        <v>567.995</v>
      </c>
      <c r="R111" s="58"/>
      <c r="S111" s="58"/>
      <c r="T111" s="58"/>
      <c r="U111" s="58"/>
      <c r="V111" s="58"/>
      <c r="W111" s="58"/>
      <c r="X111" s="58"/>
      <c r="Y111" s="58"/>
      <c r="Z111" s="58"/>
      <c r="AA111" s="58"/>
      <c r="AB111" s="58"/>
      <c r="AC111" s="58"/>
      <c r="AD111" s="58"/>
      <c r="AE111" s="58"/>
      <c r="AF111" s="90"/>
    </row>
    <row r="112" spans="1:32" ht="37.5" x14ac:dyDescent="0.3">
      <c r="A112" s="87" t="s">
        <v>76</v>
      </c>
      <c r="B112" s="90"/>
      <c r="C112" s="589"/>
      <c r="D112" s="589"/>
      <c r="E112" s="589"/>
      <c r="F112" s="589"/>
      <c r="G112" s="589"/>
      <c r="H112" s="589"/>
      <c r="I112" s="589"/>
      <c r="J112" s="589"/>
      <c r="K112" s="589"/>
      <c r="L112" s="90"/>
      <c r="M112" s="90"/>
      <c r="N112" s="90"/>
      <c r="O112" s="90"/>
      <c r="P112" s="90"/>
      <c r="Q112" s="882"/>
      <c r="R112" s="90"/>
      <c r="S112" s="90"/>
      <c r="T112" s="90"/>
      <c r="U112" s="90"/>
      <c r="V112" s="90"/>
      <c r="W112" s="90"/>
      <c r="X112" s="90"/>
      <c r="Y112" s="90"/>
      <c r="Z112" s="90"/>
      <c r="AA112" s="90"/>
      <c r="AB112" s="90"/>
      <c r="AC112" s="90"/>
      <c r="AD112" s="90"/>
      <c r="AE112" s="90"/>
      <c r="AF112" s="90"/>
    </row>
    <row r="113" spans="1:32" ht="18.75" x14ac:dyDescent="0.3">
      <c r="A113" s="88" t="s">
        <v>31</v>
      </c>
      <c r="B113" s="58">
        <f>B114</f>
        <v>569.4</v>
      </c>
      <c r="C113" s="589">
        <f>C114</f>
        <v>567.995</v>
      </c>
      <c r="D113" s="589">
        <f>D114</f>
        <v>567.995</v>
      </c>
      <c r="E113" s="589">
        <f>E114</f>
        <v>567.995</v>
      </c>
      <c r="F113" s="588">
        <f t="shared" ref="F113:F122" si="26">E113/B113*100</f>
        <v>99.753249034070961</v>
      </c>
      <c r="G113" s="588">
        <f t="shared" ref="G113:G122" si="27">E113/C113*100</f>
        <v>100</v>
      </c>
      <c r="H113" s="589">
        <f>H114</f>
        <v>0</v>
      </c>
      <c r="I113" s="589">
        <f t="shared" ref="I113:AE113" si="28">I114</f>
        <v>0</v>
      </c>
      <c r="J113" s="589">
        <f t="shared" si="28"/>
        <v>0</v>
      </c>
      <c r="K113" s="589">
        <f t="shared" si="28"/>
        <v>0</v>
      </c>
      <c r="L113" s="58">
        <f t="shared" si="28"/>
        <v>0</v>
      </c>
      <c r="M113" s="58">
        <f t="shared" si="28"/>
        <v>0</v>
      </c>
      <c r="N113" s="58">
        <f t="shared" si="28"/>
        <v>0</v>
      </c>
      <c r="O113" s="58">
        <f t="shared" si="28"/>
        <v>0</v>
      </c>
      <c r="P113" s="58">
        <f t="shared" si="28"/>
        <v>569.4</v>
      </c>
      <c r="Q113" s="882">
        <f t="shared" si="28"/>
        <v>567.995</v>
      </c>
      <c r="R113" s="58">
        <f t="shared" si="28"/>
        <v>0</v>
      </c>
      <c r="S113" s="58">
        <f t="shared" si="28"/>
        <v>0</v>
      </c>
      <c r="T113" s="58">
        <f t="shared" si="28"/>
        <v>0</v>
      </c>
      <c r="U113" s="58">
        <f t="shared" si="28"/>
        <v>0</v>
      </c>
      <c r="V113" s="58">
        <f t="shared" si="28"/>
        <v>0</v>
      </c>
      <c r="W113" s="58">
        <f t="shared" si="28"/>
        <v>0</v>
      </c>
      <c r="X113" s="58">
        <f t="shared" si="28"/>
        <v>0</v>
      </c>
      <c r="Y113" s="58">
        <f t="shared" si="28"/>
        <v>0</v>
      </c>
      <c r="Z113" s="58">
        <f t="shared" si="28"/>
        <v>0</v>
      </c>
      <c r="AA113" s="58">
        <f t="shared" si="28"/>
        <v>0</v>
      </c>
      <c r="AB113" s="58">
        <f t="shared" si="28"/>
        <v>0</v>
      </c>
      <c r="AC113" s="58">
        <f t="shared" si="28"/>
        <v>0</v>
      </c>
      <c r="AD113" s="58">
        <f t="shared" si="28"/>
        <v>0</v>
      </c>
      <c r="AE113" s="58">
        <f t="shared" si="28"/>
        <v>0</v>
      </c>
      <c r="AF113" s="90"/>
    </row>
    <row r="114" spans="1:32" ht="18.75" x14ac:dyDescent="0.3">
      <c r="A114" s="82" t="s">
        <v>33</v>
      </c>
      <c r="B114" s="58">
        <f>B111</f>
        <v>569.4</v>
      </c>
      <c r="C114" s="589">
        <f>C111</f>
        <v>567.995</v>
      </c>
      <c r="D114" s="589">
        <f>D111</f>
        <v>567.995</v>
      </c>
      <c r="E114" s="589">
        <f>E111</f>
        <v>567.995</v>
      </c>
      <c r="F114" s="588">
        <f t="shared" si="26"/>
        <v>99.753249034070961</v>
      </c>
      <c r="G114" s="588">
        <f t="shared" si="27"/>
        <v>100</v>
      </c>
      <c r="H114" s="589">
        <v>0</v>
      </c>
      <c r="I114" s="589">
        <v>0</v>
      </c>
      <c r="J114" s="589">
        <v>0</v>
      </c>
      <c r="K114" s="589">
        <v>0</v>
      </c>
      <c r="L114" s="58">
        <v>0</v>
      </c>
      <c r="M114" s="58">
        <v>0</v>
      </c>
      <c r="N114" s="58">
        <v>0</v>
      </c>
      <c r="O114" s="58">
        <v>0</v>
      </c>
      <c r="P114" s="58">
        <v>569.4</v>
      </c>
      <c r="Q114" s="882">
        <v>567.995</v>
      </c>
      <c r="R114" s="58"/>
      <c r="S114" s="58"/>
      <c r="T114" s="58"/>
      <c r="U114" s="58"/>
      <c r="V114" s="58"/>
      <c r="W114" s="58"/>
      <c r="X114" s="58"/>
      <c r="Y114" s="58"/>
      <c r="Z114" s="58"/>
      <c r="AA114" s="58"/>
      <c r="AB114" s="58"/>
      <c r="AC114" s="58"/>
      <c r="AD114" s="58"/>
      <c r="AE114" s="58"/>
      <c r="AF114" s="90"/>
    </row>
    <row r="115" spans="1:32" ht="37.5" x14ac:dyDescent="0.3">
      <c r="A115" s="56" t="s">
        <v>63</v>
      </c>
      <c r="B115" s="888">
        <f>B116+B117</f>
        <v>1666.9</v>
      </c>
      <c r="C115" s="892">
        <f>C116+C117</f>
        <v>997.99499999999989</v>
      </c>
      <c r="D115" s="892">
        <f>D116+D117</f>
        <v>997.99499999999989</v>
      </c>
      <c r="E115" s="892">
        <f>E116+E117</f>
        <v>997.99499999999989</v>
      </c>
      <c r="F115" s="588">
        <f t="shared" si="26"/>
        <v>59.871318015477826</v>
      </c>
      <c r="G115" s="588">
        <f t="shared" si="27"/>
        <v>100</v>
      </c>
      <c r="H115" s="589">
        <f>H116+H117</f>
        <v>0</v>
      </c>
      <c r="I115" s="589">
        <f t="shared" ref="I115:AE115" si="29">I116+I117</f>
        <v>0</v>
      </c>
      <c r="J115" s="589">
        <f t="shared" si="29"/>
        <v>0</v>
      </c>
      <c r="K115" s="589">
        <f t="shared" si="29"/>
        <v>0</v>
      </c>
      <c r="L115" s="926">
        <f t="shared" si="29"/>
        <v>350</v>
      </c>
      <c r="M115" s="926">
        <f t="shared" si="29"/>
        <v>122.8</v>
      </c>
      <c r="N115" s="926">
        <f t="shared" si="29"/>
        <v>0</v>
      </c>
      <c r="O115" s="926">
        <f t="shared" si="29"/>
        <v>107.2</v>
      </c>
      <c r="P115" s="926">
        <f t="shared" si="29"/>
        <v>569.4</v>
      </c>
      <c r="Q115" s="926">
        <f t="shared" si="29"/>
        <v>767.995</v>
      </c>
      <c r="R115" s="926">
        <f t="shared" si="29"/>
        <v>0</v>
      </c>
      <c r="S115" s="926">
        <f t="shared" si="29"/>
        <v>0</v>
      </c>
      <c r="T115" s="926">
        <f t="shared" si="29"/>
        <v>0</v>
      </c>
      <c r="U115" s="926">
        <f t="shared" si="29"/>
        <v>0</v>
      </c>
      <c r="V115" s="926">
        <f>V94</f>
        <v>6.7</v>
      </c>
      <c r="W115" s="926">
        <f>W94</f>
        <v>0</v>
      </c>
      <c r="X115" s="926">
        <f>X70</f>
        <v>9</v>
      </c>
      <c r="Y115" s="926">
        <f t="shared" si="29"/>
        <v>0</v>
      </c>
      <c r="Z115" s="926">
        <f t="shared" si="29"/>
        <v>302</v>
      </c>
      <c r="AA115" s="926">
        <f t="shared" si="29"/>
        <v>0</v>
      </c>
      <c r="AB115" s="926">
        <f t="shared" si="29"/>
        <v>309.8</v>
      </c>
      <c r="AC115" s="926">
        <f t="shared" si="29"/>
        <v>0</v>
      </c>
      <c r="AD115" s="926">
        <f>AD85</f>
        <v>40</v>
      </c>
      <c r="AE115" s="926">
        <f t="shared" si="29"/>
        <v>0</v>
      </c>
      <c r="AF115" s="927"/>
    </row>
    <row r="116" spans="1:32" ht="18.75" x14ac:dyDescent="0.3">
      <c r="A116" s="15" t="s">
        <v>97</v>
      </c>
      <c r="B116" s="888">
        <f>B52</f>
        <v>195.6</v>
      </c>
      <c r="C116" s="891">
        <f>C52</f>
        <v>97.8</v>
      </c>
      <c r="D116" s="891">
        <f>D52</f>
        <v>97.8</v>
      </c>
      <c r="E116" s="891">
        <f>E52</f>
        <v>97.8</v>
      </c>
      <c r="F116" s="588"/>
      <c r="G116" s="588"/>
      <c r="H116" s="589">
        <f>H52</f>
        <v>0</v>
      </c>
      <c r="I116" s="589">
        <f t="shared" ref="I116:AE116" si="30">I52</f>
        <v>0</v>
      </c>
      <c r="J116" s="589">
        <f t="shared" si="30"/>
        <v>0</v>
      </c>
      <c r="K116" s="589">
        <f t="shared" si="30"/>
        <v>0</v>
      </c>
      <c r="L116" s="58">
        <f t="shared" si="30"/>
        <v>97.8</v>
      </c>
      <c r="M116" s="58">
        <f t="shared" si="30"/>
        <v>97.8</v>
      </c>
      <c r="N116" s="58">
        <f t="shared" si="30"/>
        <v>0</v>
      </c>
      <c r="O116" s="58">
        <f t="shared" si="30"/>
        <v>0</v>
      </c>
      <c r="P116" s="58">
        <f t="shared" si="30"/>
        <v>0</v>
      </c>
      <c r="Q116" s="58">
        <f t="shared" si="30"/>
        <v>0</v>
      </c>
      <c r="R116" s="58">
        <f t="shared" si="30"/>
        <v>0</v>
      </c>
      <c r="S116" s="58">
        <f t="shared" si="30"/>
        <v>0</v>
      </c>
      <c r="T116" s="58">
        <f t="shared" si="30"/>
        <v>0</v>
      </c>
      <c r="U116" s="58">
        <f t="shared" si="30"/>
        <v>0</v>
      </c>
      <c r="V116" s="58">
        <f t="shared" si="30"/>
        <v>0</v>
      </c>
      <c r="W116" s="58">
        <f t="shared" si="30"/>
        <v>0</v>
      </c>
      <c r="X116" s="58">
        <f t="shared" si="30"/>
        <v>0</v>
      </c>
      <c r="Y116" s="58">
        <f t="shared" si="30"/>
        <v>0</v>
      </c>
      <c r="Z116" s="58">
        <f t="shared" si="30"/>
        <v>97.8</v>
      </c>
      <c r="AA116" s="58">
        <f t="shared" si="30"/>
        <v>0</v>
      </c>
      <c r="AB116" s="58">
        <f t="shared" si="30"/>
        <v>0</v>
      </c>
      <c r="AC116" s="58">
        <f t="shared" si="30"/>
        <v>0</v>
      </c>
      <c r="AD116" s="58">
        <f t="shared" si="30"/>
        <v>0</v>
      </c>
      <c r="AE116" s="58">
        <f t="shared" si="30"/>
        <v>0</v>
      </c>
      <c r="AF116" s="90"/>
    </row>
    <row r="117" spans="1:32" ht="18.75" x14ac:dyDescent="0.3">
      <c r="A117" s="15" t="s">
        <v>33</v>
      </c>
      <c r="B117" s="888">
        <f>B53+B100+B111</f>
        <v>1471.3000000000002</v>
      </c>
      <c r="C117" s="892">
        <f>C53+C100+C111</f>
        <v>900.19499999999994</v>
      </c>
      <c r="D117" s="892">
        <f>D53+D100+D111</f>
        <v>900.19499999999994</v>
      </c>
      <c r="E117" s="892">
        <f>E53+E100+E111</f>
        <v>900.19499999999994</v>
      </c>
      <c r="F117" s="588">
        <f t="shared" si="26"/>
        <v>61.183647114796422</v>
      </c>
      <c r="G117" s="588">
        <f t="shared" si="27"/>
        <v>100</v>
      </c>
      <c r="H117" s="589">
        <f>H53+H100+H111</f>
        <v>0</v>
      </c>
      <c r="I117" s="589">
        <f>I53+I100+I111</f>
        <v>0</v>
      </c>
      <c r="J117" s="589">
        <f t="shared" ref="J117:AE117" si="31">J53+J100+J111</f>
        <v>0</v>
      </c>
      <c r="K117" s="589">
        <f t="shared" si="31"/>
        <v>0</v>
      </c>
      <c r="L117" s="58">
        <f>L53+L100+L111</f>
        <v>252.2</v>
      </c>
      <c r="M117" s="58">
        <f t="shared" si="31"/>
        <v>25</v>
      </c>
      <c r="N117" s="58">
        <f t="shared" si="31"/>
        <v>0</v>
      </c>
      <c r="O117" s="58">
        <f>O53+O100+O111+O79</f>
        <v>107.2</v>
      </c>
      <c r="P117" s="58">
        <f>P53+P100+P111</f>
        <v>569.4</v>
      </c>
      <c r="Q117" s="58">
        <f>Q53+Q100+Q111</f>
        <v>767.995</v>
      </c>
      <c r="R117" s="58">
        <f t="shared" si="31"/>
        <v>0</v>
      </c>
      <c r="S117" s="58">
        <f>S53+S100+S111</f>
        <v>0</v>
      </c>
      <c r="T117" s="58">
        <f t="shared" si="31"/>
        <v>0</v>
      </c>
      <c r="U117" s="58">
        <f>U53+U100+U111</f>
        <v>0</v>
      </c>
      <c r="V117" s="58">
        <f t="shared" si="31"/>
        <v>0</v>
      </c>
      <c r="W117" s="58">
        <f>W53+W100+W111</f>
        <v>0</v>
      </c>
      <c r="X117" s="58">
        <f t="shared" si="31"/>
        <v>0</v>
      </c>
      <c r="Y117" s="58">
        <f t="shared" si="31"/>
        <v>0</v>
      </c>
      <c r="Z117" s="58">
        <f t="shared" si="31"/>
        <v>204.2</v>
      </c>
      <c r="AA117" s="58">
        <f t="shared" si="31"/>
        <v>0</v>
      </c>
      <c r="AB117" s="58">
        <f t="shared" si="31"/>
        <v>309.8</v>
      </c>
      <c r="AC117" s="58">
        <f t="shared" si="31"/>
        <v>0</v>
      </c>
      <c r="AD117" s="58">
        <f t="shared" si="31"/>
        <v>0</v>
      </c>
      <c r="AE117" s="58">
        <f t="shared" si="31"/>
        <v>0</v>
      </c>
      <c r="AF117" s="90"/>
    </row>
    <row r="118" spans="1:32" ht="37.5" x14ac:dyDescent="0.3">
      <c r="A118" s="92" t="s">
        <v>130</v>
      </c>
      <c r="B118" s="888">
        <f>B54</f>
        <v>456.4</v>
      </c>
      <c r="C118" s="891">
        <f>C54</f>
        <v>252.2</v>
      </c>
      <c r="D118" s="891">
        <f>D54</f>
        <v>252.2</v>
      </c>
      <c r="E118" s="891">
        <f>E54</f>
        <v>252.2</v>
      </c>
      <c r="F118" s="588">
        <f t="shared" si="26"/>
        <v>55.25854513584575</v>
      </c>
      <c r="G118" s="588">
        <f t="shared" si="27"/>
        <v>100</v>
      </c>
      <c r="H118" s="589">
        <f t="shared" ref="H118:AE118" si="32">H54</f>
        <v>0</v>
      </c>
      <c r="I118" s="589">
        <f>I54</f>
        <v>0</v>
      </c>
      <c r="J118" s="589">
        <f t="shared" si="32"/>
        <v>0</v>
      </c>
      <c r="K118" s="589">
        <f t="shared" si="32"/>
        <v>0</v>
      </c>
      <c r="L118" s="58">
        <f t="shared" si="32"/>
        <v>228.2</v>
      </c>
      <c r="M118" s="58">
        <f t="shared" si="32"/>
        <v>25</v>
      </c>
      <c r="N118" s="58">
        <f t="shared" si="32"/>
        <v>0</v>
      </c>
      <c r="O118" s="58">
        <f t="shared" si="32"/>
        <v>27.2</v>
      </c>
      <c r="P118" s="58">
        <f t="shared" si="32"/>
        <v>0</v>
      </c>
      <c r="Q118" s="58">
        <f>Q54</f>
        <v>200</v>
      </c>
      <c r="R118" s="58">
        <f t="shared" si="32"/>
        <v>0</v>
      </c>
      <c r="S118" s="58">
        <f t="shared" si="32"/>
        <v>0</v>
      </c>
      <c r="T118" s="58">
        <f t="shared" si="32"/>
        <v>0</v>
      </c>
      <c r="U118" s="58">
        <f t="shared" si="32"/>
        <v>0</v>
      </c>
      <c r="V118" s="58">
        <f t="shared" si="32"/>
        <v>0</v>
      </c>
      <c r="W118" s="58">
        <f t="shared" si="32"/>
        <v>0</v>
      </c>
      <c r="X118" s="58">
        <f t="shared" si="32"/>
        <v>0</v>
      </c>
      <c r="Y118" s="58">
        <f t="shared" si="32"/>
        <v>0</v>
      </c>
      <c r="Z118" s="58">
        <f t="shared" si="32"/>
        <v>228.2</v>
      </c>
      <c r="AA118" s="58">
        <f t="shared" si="32"/>
        <v>0</v>
      </c>
      <c r="AB118" s="58">
        <f t="shared" si="32"/>
        <v>0</v>
      </c>
      <c r="AC118" s="58">
        <f t="shared" si="32"/>
        <v>0</v>
      </c>
      <c r="AD118" s="58">
        <f t="shared" si="32"/>
        <v>0</v>
      </c>
      <c r="AE118" s="58">
        <f t="shared" si="32"/>
        <v>0</v>
      </c>
      <c r="AF118" s="90"/>
    </row>
    <row r="119" spans="1:32" ht="37.5" x14ac:dyDescent="0.3">
      <c r="A119" s="57" t="s">
        <v>64</v>
      </c>
      <c r="B119" s="58">
        <f>B120+B121</f>
        <v>1666.9</v>
      </c>
      <c r="C119" s="882">
        <f>C120+C121</f>
        <v>997.99499999999989</v>
      </c>
      <c r="D119" s="882">
        <f>D120+D121</f>
        <v>997.99499999999989</v>
      </c>
      <c r="E119" s="882">
        <f>E120+E121</f>
        <v>997.99499999999989</v>
      </c>
      <c r="F119" s="588">
        <f t="shared" si="26"/>
        <v>59.871318015477826</v>
      </c>
      <c r="G119" s="588">
        <f t="shared" si="27"/>
        <v>100</v>
      </c>
      <c r="H119" s="589">
        <f>H120+H121+H122</f>
        <v>0</v>
      </c>
      <c r="I119" s="589">
        <f t="shared" ref="I119:AE119" si="33">I120+I121+I122</f>
        <v>0</v>
      </c>
      <c r="J119" s="589">
        <f t="shared" si="33"/>
        <v>0</v>
      </c>
      <c r="K119" s="589">
        <f t="shared" si="33"/>
        <v>0</v>
      </c>
      <c r="L119" s="58">
        <f t="shared" si="33"/>
        <v>578.20000000000005</v>
      </c>
      <c r="M119" s="58">
        <f>M120+M121</f>
        <v>122.8</v>
      </c>
      <c r="N119" s="882">
        <f>N120+N121</f>
        <v>0</v>
      </c>
      <c r="O119" s="882">
        <f>O120+O121</f>
        <v>107.2</v>
      </c>
      <c r="P119" s="882">
        <f>P120+P121</f>
        <v>569.4</v>
      </c>
      <c r="Q119" s="882">
        <f>Q120+Q121</f>
        <v>767.995</v>
      </c>
      <c r="R119" s="58">
        <f t="shared" si="33"/>
        <v>0</v>
      </c>
      <c r="S119" s="58">
        <f t="shared" si="33"/>
        <v>0</v>
      </c>
      <c r="T119" s="58">
        <f t="shared" si="33"/>
        <v>0</v>
      </c>
      <c r="U119" s="58">
        <f t="shared" si="33"/>
        <v>0</v>
      </c>
      <c r="V119" s="58">
        <f t="shared" si="33"/>
        <v>0</v>
      </c>
      <c r="W119" s="58">
        <f t="shared" si="33"/>
        <v>0</v>
      </c>
      <c r="X119" s="58">
        <f t="shared" si="33"/>
        <v>0</v>
      </c>
      <c r="Y119" s="58">
        <f t="shared" si="33"/>
        <v>0</v>
      </c>
      <c r="Z119" s="58">
        <f t="shared" si="33"/>
        <v>530.20000000000005</v>
      </c>
      <c r="AA119" s="58">
        <f t="shared" si="33"/>
        <v>0</v>
      </c>
      <c r="AB119" s="58">
        <f t="shared" si="33"/>
        <v>309.8</v>
      </c>
      <c r="AC119" s="58">
        <f t="shared" si="33"/>
        <v>0</v>
      </c>
      <c r="AD119" s="58">
        <f t="shared" si="33"/>
        <v>0</v>
      </c>
      <c r="AE119" s="58">
        <f t="shared" si="33"/>
        <v>0</v>
      </c>
      <c r="AF119" s="90"/>
    </row>
    <row r="120" spans="1:32" ht="18.75" x14ac:dyDescent="0.3">
      <c r="A120" s="15" t="s">
        <v>97</v>
      </c>
      <c r="B120" s="58">
        <f t="shared" ref="B120:E122" si="34">B116</f>
        <v>195.6</v>
      </c>
      <c r="C120" s="589">
        <f t="shared" si="34"/>
        <v>97.8</v>
      </c>
      <c r="D120" s="589">
        <f t="shared" si="34"/>
        <v>97.8</v>
      </c>
      <c r="E120" s="589">
        <f t="shared" si="34"/>
        <v>97.8</v>
      </c>
      <c r="F120" s="588"/>
      <c r="G120" s="588"/>
      <c r="H120" s="589">
        <f>H116</f>
        <v>0</v>
      </c>
      <c r="I120" s="589">
        <f t="shared" ref="I120:AE120" si="35">I116</f>
        <v>0</v>
      </c>
      <c r="J120" s="589">
        <f t="shared" si="35"/>
        <v>0</v>
      </c>
      <c r="K120" s="589">
        <f t="shared" si="35"/>
        <v>0</v>
      </c>
      <c r="L120" s="58">
        <f t="shared" si="35"/>
        <v>97.8</v>
      </c>
      <c r="M120" s="58">
        <f>M116</f>
        <v>97.8</v>
      </c>
      <c r="N120" s="58">
        <f t="shared" si="35"/>
        <v>0</v>
      </c>
      <c r="O120" s="58">
        <f t="shared" si="35"/>
        <v>0</v>
      </c>
      <c r="P120" s="58">
        <f t="shared" si="35"/>
        <v>0</v>
      </c>
      <c r="Q120" s="58">
        <f t="shared" si="35"/>
        <v>0</v>
      </c>
      <c r="R120" s="58">
        <f t="shared" si="35"/>
        <v>0</v>
      </c>
      <c r="S120" s="58">
        <f t="shared" si="35"/>
        <v>0</v>
      </c>
      <c r="T120" s="58">
        <f t="shared" si="35"/>
        <v>0</v>
      </c>
      <c r="U120" s="58">
        <f t="shared" si="35"/>
        <v>0</v>
      </c>
      <c r="V120" s="58">
        <f t="shared" si="35"/>
        <v>0</v>
      </c>
      <c r="W120" s="58">
        <f t="shared" si="35"/>
        <v>0</v>
      </c>
      <c r="X120" s="58">
        <f t="shared" si="35"/>
        <v>0</v>
      </c>
      <c r="Y120" s="58">
        <f t="shared" si="35"/>
        <v>0</v>
      </c>
      <c r="Z120" s="58">
        <f t="shared" si="35"/>
        <v>97.8</v>
      </c>
      <c r="AA120" s="58">
        <f t="shared" si="35"/>
        <v>0</v>
      </c>
      <c r="AB120" s="58">
        <f t="shared" si="35"/>
        <v>0</v>
      </c>
      <c r="AC120" s="58">
        <f t="shared" si="35"/>
        <v>0</v>
      </c>
      <c r="AD120" s="58">
        <f t="shared" si="35"/>
        <v>0</v>
      </c>
      <c r="AE120" s="58">
        <f t="shared" si="35"/>
        <v>0</v>
      </c>
      <c r="AF120" s="90"/>
    </row>
    <row r="121" spans="1:32" ht="18.75" x14ac:dyDescent="0.3">
      <c r="A121" s="15" t="s">
        <v>33</v>
      </c>
      <c r="B121" s="58">
        <f t="shared" si="34"/>
        <v>1471.3000000000002</v>
      </c>
      <c r="C121" s="589">
        <f t="shared" si="34"/>
        <v>900.19499999999994</v>
      </c>
      <c r="D121" s="589">
        <f t="shared" si="34"/>
        <v>900.19499999999994</v>
      </c>
      <c r="E121" s="589">
        <f t="shared" si="34"/>
        <v>900.19499999999994</v>
      </c>
      <c r="F121" s="588">
        <f t="shared" si="26"/>
        <v>61.183647114796422</v>
      </c>
      <c r="G121" s="588">
        <f t="shared" si="27"/>
        <v>100</v>
      </c>
      <c r="H121" s="589">
        <f>H117</f>
        <v>0</v>
      </c>
      <c r="I121" s="589">
        <f t="shared" ref="I121:AE121" si="36">I117</f>
        <v>0</v>
      </c>
      <c r="J121" s="589">
        <f t="shared" si="36"/>
        <v>0</v>
      </c>
      <c r="K121" s="589">
        <f t="shared" si="36"/>
        <v>0</v>
      </c>
      <c r="L121" s="58">
        <f t="shared" si="36"/>
        <v>252.2</v>
      </c>
      <c r="M121" s="58">
        <f t="shared" si="36"/>
        <v>25</v>
      </c>
      <c r="N121" s="58">
        <f t="shared" si="36"/>
        <v>0</v>
      </c>
      <c r="O121" s="58">
        <f>O117</f>
        <v>107.2</v>
      </c>
      <c r="P121" s="58">
        <f t="shared" si="36"/>
        <v>569.4</v>
      </c>
      <c r="Q121" s="58">
        <f>Q117</f>
        <v>767.995</v>
      </c>
      <c r="R121" s="58">
        <f t="shared" si="36"/>
        <v>0</v>
      </c>
      <c r="S121" s="58">
        <f t="shared" si="36"/>
        <v>0</v>
      </c>
      <c r="T121" s="58">
        <f t="shared" si="36"/>
        <v>0</v>
      </c>
      <c r="U121" s="58">
        <f t="shared" si="36"/>
        <v>0</v>
      </c>
      <c r="V121" s="58">
        <f t="shared" si="36"/>
        <v>0</v>
      </c>
      <c r="W121" s="58">
        <f t="shared" si="36"/>
        <v>0</v>
      </c>
      <c r="X121" s="58">
        <f t="shared" si="36"/>
        <v>0</v>
      </c>
      <c r="Y121" s="58">
        <f t="shared" si="36"/>
        <v>0</v>
      </c>
      <c r="Z121" s="58">
        <f t="shared" si="36"/>
        <v>204.2</v>
      </c>
      <c r="AA121" s="58">
        <f t="shared" si="36"/>
        <v>0</v>
      </c>
      <c r="AB121" s="58">
        <f t="shared" si="36"/>
        <v>309.8</v>
      </c>
      <c r="AC121" s="58">
        <f t="shared" si="36"/>
        <v>0</v>
      </c>
      <c r="AD121" s="58">
        <f t="shared" si="36"/>
        <v>0</v>
      </c>
      <c r="AE121" s="58">
        <f t="shared" si="36"/>
        <v>0</v>
      </c>
      <c r="AF121" s="90"/>
    </row>
    <row r="122" spans="1:32" ht="37.5" x14ac:dyDescent="0.3">
      <c r="A122" s="93" t="s">
        <v>130</v>
      </c>
      <c r="B122" s="58">
        <f t="shared" si="34"/>
        <v>456.4</v>
      </c>
      <c r="C122" s="589">
        <f t="shared" si="34"/>
        <v>252.2</v>
      </c>
      <c r="D122" s="589">
        <f t="shared" si="34"/>
        <v>252.2</v>
      </c>
      <c r="E122" s="589">
        <f t="shared" si="34"/>
        <v>252.2</v>
      </c>
      <c r="F122" s="588">
        <f t="shared" si="26"/>
        <v>55.25854513584575</v>
      </c>
      <c r="G122" s="588">
        <f t="shared" si="27"/>
        <v>100</v>
      </c>
      <c r="H122" s="589">
        <f>H118</f>
        <v>0</v>
      </c>
      <c r="I122" s="589">
        <f t="shared" ref="I122:AE122" si="37">I118</f>
        <v>0</v>
      </c>
      <c r="J122" s="589">
        <f t="shared" si="37"/>
        <v>0</v>
      </c>
      <c r="K122" s="589">
        <f t="shared" si="37"/>
        <v>0</v>
      </c>
      <c r="L122" s="58">
        <f t="shared" si="37"/>
        <v>228.2</v>
      </c>
      <c r="M122" s="58">
        <f t="shared" si="37"/>
        <v>25</v>
      </c>
      <c r="N122" s="58">
        <f t="shared" si="37"/>
        <v>0</v>
      </c>
      <c r="O122" s="58">
        <f t="shared" si="37"/>
        <v>27.2</v>
      </c>
      <c r="P122" s="58">
        <f t="shared" si="37"/>
        <v>0</v>
      </c>
      <c r="Q122" s="58">
        <f t="shared" si="37"/>
        <v>200</v>
      </c>
      <c r="R122" s="58">
        <f t="shared" si="37"/>
        <v>0</v>
      </c>
      <c r="S122" s="58">
        <f t="shared" si="37"/>
        <v>0</v>
      </c>
      <c r="T122" s="58">
        <f t="shared" si="37"/>
        <v>0</v>
      </c>
      <c r="U122" s="58">
        <f t="shared" si="37"/>
        <v>0</v>
      </c>
      <c r="V122" s="58">
        <f t="shared" si="37"/>
        <v>0</v>
      </c>
      <c r="W122" s="58">
        <f t="shared" si="37"/>
        <v>0</v>
      </c>
      <c r="X122" s="58">
        <f t="shared" si="37"/>
        <v>0</v>
      </c>
      <c r="Y122" s="58">
        <f t="shared" si="37"/>
        <v>0</v>
      </c>
      <c r="Z122" s="58">
        <f t="shared" si="37"/>
        <v>228.2</v>
      </c>
      <c r="AA122" s="58">
        <f t="shared" si="37"/>
        <v>0</v>
      </c>
      <c r="AB122" s="58">
        <f t="shared" si="37"/>
        <v>0</v>
      </c>
      <c r="AC122" s="58">
        <f t="shared" si="37"/>
        <v>0</v>
      </c>
      <c r="AD122" s="58">
        <f t="shared" si="37"/>
        <v>0</v>
      </c>
      <c r="AE122" s="58">
        <f t="shared" si="37"/>
        <v>0</v>
      </c>
      <c r="AF122" s="90"/>
    </row>
    <row r="123" spans="1:32" ht="18.75" x14ac:dyDescent="0.3">
      <c r="B123" s="61"/>
    </row>
    <row r="124" spans="1:32" x14ac:dyDescent="0.25">
      <c r="B124" s="76"/>
      <c r="F124" s="71">
        <f>L117+P117+Z117+AB117</f>
        <v>1335.6</v>
      </c>
    </row>
    <row r="125" spans="1:32" x14ac:dyDescent="0.25">
      <c r="B125" s="76"/>
    </row>
    <row r="126" spans="1:32" ht="37.5" x14ac:dyDescent="0.3">
      <c r="A126" s="9" t="s">
        <v>71</v>
      </c>
      <c r="B126" s="26"/>
      <c r="C126" s="26"/>
      <c r="D126" s="23" t="s">
        <v>70</v>
      </c>
    </row>
    <row r="127" spans="1:32" ht="18.75" x14ac:dyDescent="0.3">
      <c r="A127" s="9"/>
      <c r="B127" s="20" t="s">
        <v>68</v>
      </c>
      <c r="C127" s="20"/>
      <c r="D127" s="22"/>
    </row>
    <row r="128" spans="1:32" ht="37.5" x14ac:dyDescent="0.3">
      <c r="A128" s="25" t="s">
        <v>69</v>
      </c>
      <c r="B128" s="25"/>
      <c r="C128" s="25"/>
      <c r="D128" s="9"/>
    </row>
  </sheetData>
  <customSheetViews>
    <customSheetView guid="{7C130984-112A-4861-AA43-E2940708E3DC}" scale="70" hiddenRows="1" state="hidden">
      <pane xSplit="1" ySplit="6" topLeftCell="Y42" activePane="bottomRight" state="frozen"/>
      <selection pane="bottomRight" activeCell="AF43" sqref="AF43"/>
      <pageMargins left="0.7" right="0.7" top="0.75" bottom="0.75" header="0.3" footer="0.3"/>
      <pageSetup paperSize="9" orientation="portrait" r:id="rId1"/>
    </customSheetView>
    <customSheetView guid="{4F41B9CC-959D-442C-80B0-1F0DB2C76D27}" scale="70" hiddenRows="1">
      <pane xSplit="1" ySplit="5" topLeftCell="B7" activePane="bottomRight" state="frozen"/>
      <selection pane="bottomRight" activeCell="L115" sqref="L115"/>
      <pageMargins left="0.7" right="0.7" top="0.75" bottom="0.75" header="0.3" footer="0.3"/>
      <pageSetup paperSize="9" orientation="portrait" r:id="rId2"/>
    </customSheetView>
    <customSheetView guid="{391AB76E-B386-49C1-800F-016A48AA1A46}" scale="70" hiddenRows="1">
      <pane xSplit="1" ySplit="6" topLeftCell="B7" activePane="bottomRight" state="frozen"/>
      <selection pane="bottomRight" activeCell="L115" sqref="L115"/>
      <pageMargins left="0.7" right="0.7" top="0.75" bottom="0.75" header="0.3" footer="0.3"/>
      <pageSetup paperSize="9" orientation="portrait" r:id="rId3"/>
    </customSheetView>
    <customSheetView guid="{D01FA037-9AEC-4167-ADB8-2F327C01ECE6}" scale="70" hiddenRows="1">
      <pane xSplit="1" ySplit="6" topLeftCell="B7" activePane="bottomRight" state="frozen"/>
      <selection pane="bottomRight" activeCell="L115" sqref="L115"/>
      <pageMargins left="0.7" right="0.7" top="0.75" bottom="0.75" header="0.3" footer="0.3"/>
      <pageSetup paperSize="9" orientation="portrait" r:id="rId4"/>
    </customSheetView>
    <customSheetView guid="{6A602CB8-B24C-4ED4-B378-B27354BE0A1A}" scale="70" hiddenRows="1">
      <pane xSplit="1" ySplit="6" topLeftCell="B7" activePane="bottomRight" state="frozen"/>
      <selection pane="bottomRight" activeCell="L115" sqref="L115"/>
      <pageMargins left="0.7" right="0.7" top="0.75" bottom="0.75" header="0.3" footer="0.3"/>
      <pageSetup paperSize="9" orientation="portrait" r:id="rId5"/>
    </customSheetView>
    <customSheetView guid="{DAA8A688-7558-4B5B-8DBD-E2629BD9E9A8}" scale="70" hiddenRows="1">
      <pane xSplit="1" ySplit="6" topLeftCell="B7" activePane="bottomRight" state="frozen"/>
      <selection pane="bottomRight" activeCell="L115" sqref="L115"/>
      <pageMargins left="0.7" right="0.7" top="0.75" bottom="0.75" header="0.3" footer="0.3"/>
      <pageSetup paperSize="9" orientation="portrait" r:id="rId6"/>
    </customSheetView>
    <customSheetView guid="{0C2B9C2A-7B94-41EF-A2E6-F8AC9A67DE25}" scale="70" hiddenRows="1">
      <pane xSplit="1" ySplit="6" topLeftCell="B7" activePane="bottomRight" state="frozen"/>
      <selection pane="bottomRight" activeCell="L115" sqref="L115"/>
      <pageMargins left="0.7" right="0.7" top="0.75" bottom="0.75" header="0.3" footer="0.3"/>
      <pageSetup paperSize="9" orientation="portrait" r:id="rId7"/>
    </customSheetView>
    <customSheetView guid="{87218168-6C8E-4D5B-A5E5-DCCC26803AA3}" scale="70" hiddenRows="1">
      <pane xSplit="1" ySplit="6" topLeftCell="B7" activePane="bottomRight" state="frozen"/>
      <selection pane="bottomRight" activeCell="AD115" sqref="AD115"/>
      <pageMargins left="0.7" right="0.7" top="0.75" bottom="0.75" header="0.3" footer="0.3"/>
      <pageSetup paperSize="9" orientation="portrait" r:id="rId8"/>
    </customSheetView>
    <customSheetView guid="{533DC55B-6AD4-4674-9488-685EF2039F3E}" scale="60" hiddenRows="1">
      <pane xSplit="1" ySplit="6" topLeftCell="B107" activePane="bottomRight" state="frozen"/>
      <selection pane="bottomRight" activeCell="A119" sqref="A119"/>
      <pageMargins left="0.7" right="0.7" top="0.75" bottom="0.75" header="0.3" footer="0.3"/>
      <pageSetup paperSize="9" orientation="portrait" r:id="rId9"/>
    </customSheetView>
    <customSheetView guid="{69DABE6F-6182-4403-A4A2-969F10F1C13A}" scale="50" hiddenRows="1">
      <pane xSplit="1" ySplit="6" topLeftCell="T119" activePane="bottomRight" state="frozen"/>
      <selection pane="bottomRight" activeCell="AF39" sqref="AF39"/>
      <pageMargins left="0.7" right="0.7" top="0.75" bottom="0.75" header="0.3" footer="0.3"/>
      <pageSetup paperSize="9" orientation="portrait" r:id="rId10"/>
    </customSheetView>
    <customSheetView guid="{84867370-1F3E-4368-AF79-FBCE46FFFE92}" scale="50" hiddenRows="1">
      <pane xSplit="1" ySplit="6" topLeftCell="T119" activePane="bottomRight" state="frozen"/>
      <selection pane="bottomRight" activeCell="AF39" sqref="AF39"/>
      <pageMargins left="0.7" right="0.7" top="0.75" bottom="0.75" header="0.3" footer="0.3"/>
      <pageSetup paperSize="9" orientation="portrait" r:id="rId11"/>
    </customSheetView>
    <customSheetView guid="{47B983AB-FE5F-4725-860C-A2F29420596D}" scale="50" hiddenRows="1">
      <pane xSplit="1" ySplit="6" topLeftCell="T7" activePane="bottomRight" state="frozen"/>
      <selection pane="bottomRight" activeCell="AF39" sqref="AF39"/>
      <pageMargins left="0.7" right="0.7" top="0.75" bottom="0.75" header="0.3" footer="0.3"/>
      <pageSetup paperSize="9" orientation="portrait" r:id="rId12"/>
    </customSheetView>
    <customSheetView guid="{959E901C-5DDE-42EE-AE94-AB8976B5E00B}" scale="50" hiddenRows="1">
      <pane xSplit="1" ySplit="6" topLeftCell="T7" activePane="bottomRight" state="frozen"/>
      <selection pane="bottomRight" activeCell="AF39" sqref="AF39"/>
      <pageMargins left="0.7" right="0.7" top="0.75" bottom="0.75" header="0.3" footer="0.3"/>
      <pageSetup paperSize="9" orientation="portrait" r:id="rId13"/>
    </customSheetView>
    <customSheetView guid="{F679EF4A-C5FD-4B86-B87B-D85968E0F2CA}" scale="50" hiddenRows="1">
      <pane xSplit="1" ySplit="6" topLeftCell="T7" activePane="bottomRight" state="frozen"/>
      <selection pane="bottomRight" activeCell="AF39" sqref="AF39"/>
      <pageMargins left="0.7" right="0.7" top="0.75" bottom="0.75" header="0.3" footer="0.3"/>
      <pageSetup paperSize="9" orientation="portrait" r:id="rId14"/>
    </customSheetView>
    <customSheetView guid="{009B3074-D8EC-4952-BF50-43CD64449612}" scale="50" hiddenRows="1">
      <pane xSplit="1" ySplit="6" topLeftCell="B64" activePane="bottomRight" state="frozen"/>
      <selection pane="bottomRight" activeCell="AF77" sqref="AF77"/>
      <pageMargins left="0.7" right="0.7" top="0.75" bottom="0.75" header="0.3" footer="0.3"/>
      <pageSetup paperSize="9" orientation="portrait" r:id="rId15"/>
    </customSheetView>
    <customSheetView guid="{770624BF-07F3-44B6-94C3-4CC447CDD45C}" scale="50" hiddenRows="1">
      <pane xSplit="1" ySplit="6" topLeftCell="B101" activePane="bottomRight" state="frozen"/>
      <selection pane="bottomRight" activeCell="H129" sqref="H129"/>
      <pageMargins left="0.7" right="0.7" top="0.75" bottom="0.75" header="0.3" footer="0.3"/>
      <pageSetup paperSize="9" orientation="portrait" r:id="rId16"/>
    </customSheetView>
    <customSheetView guid="{B82BA08A-1A30-4F4D-A478-74A6BD09EA97}" scale="50" hiddenRows="1">
      <pane xSplit="1" ySplit="6" topLeftCell="B104" activePane="bottomRight" state="frozen"/>
      <selection pane="bottomRight" activeCell="P107" sqref="P107"/>
      <pageMargins left="0.7" right="0.7" top="0.75" bottom="0.75" header="0.3" footer="0.3"/>
      <pageSetup paperSize="9" orientation="portrait" r:id="rId17"/>
    </customSheetView>
    <customSheetView guid="{874882D1-E741-4CCA-BF0D-E72FA60B771D}" scale="60">
      <pane xSplit="1" ySplit="6" topLeftCell="B22" activePane="bottomRight" state="frozen"/>
      <selection pane="bottomRight" activeCell="B80" sqref="B80"/>
      <pageMargins left="0.7" right="0.7" top="0.75" bottom="0.75" header="0.3" footer="0.3"/>
      <pageSetup paperSize="9" orientation="portrait" r:id="rId18"/>
    </customSheetView>
    <customSheetView guid="{C236B307-BD63-48C4-A75F-B3F3717BF55C}" scale="60">
      <pane xSplit="1" ySplit="6" topLeftCell="B22" activePane="bottomRight" state="frozen"/>
      <selection pane="bottomRight" activeCell="B80" sqref="B80"/>
      <pageMargins left="0.7" right="0.7" top="0.75" bottom="0.75" header="0.3" footer="0.3"/>
      <pageSetup paperSize="9" orientation="portrait" r:id="rId19"/>
    </customSheetView>
    <customSheetView guid="{BCD82A82-B724-4763-8580-D765356E09BA}" scale="60">
      <pane xSplit="1" ySplit="6" topLeftCell="H7" activePane="bottomRight" state="frozen"/>
      <selection pane="bottomRight" activeCell="A2" sqref="A2:AE2"/>
      <pageMargins left="0.7" right="0.7" top="0.75" bottom="0.75" header="0.3" footer="0.3"/>
      <pageSetup paperSize="9" orientation="portrait" r:id="rId20"/>
    </customSheetView>
    <customSheetView guid="{B1BF08D1-D416-4B47-ADD0-4F59132DC9E8}" scale="50" hiddenRows="1">
      <pane xSplit="1" ySplit="6" topLeftCell="T7" activePane="bottomRight" state="frozen"/>
      <selection pane="bottomRight" activeCell="AF39" sqref="AF39"/>
      <pageMargins left="0.7" right="0.7" top="0.75" bottom="0.75" header="0.3" footer="0.3"/>
      <pageSetup paperSize="9" orientation="portrait" r:id="rId21"/>
    </customSheetView>
    <customSheetView guid="{85F4575B-DBC5-482A-9916-255D8F0BC94E}" scale="50" hiddenRows="1">
      <pane xSplit="1" ySplit="6" topLeftCell="T7" activePane="bottomRight" state="frozen"/>
      <selection pane="bottomRight" activeCell="AF39" sqref="AF39"/>
      <pageMargins left="0.7" right="0.7" top="0.75" bottom="0.75" header="0.3" footer="0.3"/>
      <pageSetup paperSize="9" orientation="portrait" r:id="rId22"/>
    </customSheetView>
    <customSheetView guid="{74870EE6-26B9-40F7-9DC9-260EF16D8959}" scale="60" hiddenRows="1">
      <pane xSplit="1" ySplit="6" topLeftCell="B7" activePane="bottomRight" state="frozen"/>
      <selection pane="bottomRight" activeCell="AE24" sqref="AE24"/>
      <pageMargins left="0.7" right="0.7" top="0.75" bottom="0.75" header="0.3" footer="0.3"/>
      <pageSetup paperSize="9" orientation="portrait" r:id="rId23"/>
    </customSheetView>
    <customSheetView guid="{E508E171-4ED9-4B07-84DF-DA28C60E1969}" scale="70" hiddenRows="1">
      <pane xSplit="1" ySplit="6" topLeftCell="B7" activePane="bottomRight" state="frozen"/>
      <selection pane="bottomRight" activeCell="AD115" sqref="AD115"/>
      <pageMargins left="0.7" right="0.7" top="0.75" bottom="0.75" header="0.3" footer="0.3"/>
      <pageSetup paperSize="9" orientation="portrait" r:id="rId24"/>
    </customSheetView>
    <customSheetView guid="{4D0DFB57-2CBA-42F2-9A97-C453A6851FBA}" scale="70" hiddenRows="1">
      <pane xSplit="1" ySplit="6" topLeftCell="B7" activePane="bottomRight" state="frozen"/>
      <selection pane="bottomRight" activeCell="AD115" sqref="AD115"/>
      <pageMargins left="0.7" right="0.7" top="0.75" bottom="0.75" header="0.3" footer="0.3"/>
      <pageSetup paperSize="9" orientation="portrait" r:id="rId25"/>
    </customSheetView>
    <customSheetView guid="{CE1CCA00-200D-4EAA-9FBE-F8EE7C5F82FE}" scale="70" hiddenRows="1">
      <pane xSplit="1" ySplit="6" topLeftCell="B7" activePane="bottomRight" state="frozen"/>
      <selection pane="bottomRight" activeCell="L115" sqref="L115"/>
      <pageMargins left="0.7" right="0.7" top="0.75" bottom="0.75" header="0.3" footer="0.3"/>
      <pageSetup paperSize="9" orientation="portrait" r:id="rId26"/>
    </customSheetView>
    <customSheetView guid="{442F2C94-DD1B-4A01-8694-513D4D6F3BD9}" scale="70" hiddenRows="1">
      <pane xSplit="1" ySplit="6" topLeftCell="B7" activePane="bottomRight" state="frozen"/>
      <selection pane="bottomRight" activeCell="L115" sqref="L115"/>
      <pageMargins left="0.7" right="0.7" top="0.75" bottom="0.75" header="0.3" footer="0.3"/>
      <pageSetup paperSize="9" orientation="portrait" r:id="rId27"/>
    </customSheetView>
    <customSheetView guid="{AC2D5927-4079-4C74-AF69-1BFAC505648F}" scale="70" hiddenRows="1">
      <pane xSplit="1" ySplit="6" topLeftCell="B7" activePane="bottomRight" state="frozen"/>
      <selection pane="bottomRight" activeCell="L115" sqref="L115"/>
      <pageMargins left="0.7" right="0.7" top="0.75" bottom="0.75" header="0.3" footer="0.3"/>
      <pageSetup paperSize="9" orientation="portrait" r:id="rId28"/>
    </customSheetView>
    <customSheetView guid="{602C8EDB-B9EF-4C85-B0D5-0558C3A0ABAB}" scale="70" hiddenRows="1">
      <pane xSplit="1" ySplit="6" topLeftCell="B7" activePane="bottomRight" state="frozen"/>
      <selection pane="bottomRight" activeCell="L115" sqref="L115"/>
      <pageMargins left="0.7" right="0.7" top="0.75" bottom="0.75" header="0.3" footer="0.3"/>
      <pageSetup paperSize="9" orientation="portrait" r:id="rId29"/>
    </customSheetView>
    <customSheetView guid="{09C3E205-981E-4A4E-BE89-8B7044192060}" scale="70" hiddenRows="1">
      <pane xSplit="1" ySplit="6" topLeftCell="Y42" activePane="bottomRight" state="frozen"/>
      <selection pane="bottomRight" activeCell="AF43" sqref="AF43"/>
      <pageMargins left="0.7" right="0.7" top="0.75" bottom="0.75" header="0.3" footer="0.3"/>
      <pageSetup paperSize="9" orientation="portrait" r:id="rId30"/>
    </customSheetView>
  </customSheetViews>
  <mergeCells count="21">
    <mergeCell ref="V3:W4"/>
    <mergeCell ref="A1:AF1"/>
    <mergeCell ref="A2:AE2"/>
    <mergeCell ref="A3:A4"/>
    <mergeCell ref="B3:B4"/>
    <mergeCell ref="C3:C4"/>
    <mergeCell ref="D3:D4"/>
    <mergeCell ref="E3:E4"/>
    <mergeCell ref="F3:G4"/>
    <mergeCell ref="H3:I4"/>
    <mergeCell ref="J3:K4"/>
    <mergeCell ref="L3:M4"/>
    <mergeCell ref="N3:O4"/>
    <mergeCell ref="P3:Q4"/>
    <mergeCell ref="R3:S4"/>
    <mergeCell ref="T3:U4"/>
    <mergeCell ref="X3:Y4"/>
    <mergeCell ref="Z3:AA4"/>
    <mergeCell ref="AB3:AC4"/>
    <mergeCell ref="AD3:AE4"/>
    <mergeCell ref="AF3:AF5"/>
  </mergeCells>
  <hyperlinks>
    <hyperlink ref="A2:AE2" location="Оглавление!A1" display="Оглавление!A1"/>
  </hyperlinks>
  <pageMargins left="0.7" right="0.7" top="0.75" bottom="0.75" header="0.3" footer="0.3"/>
  <pageSetup paperSize="9" orientation="portrait" r:id="rId31"/>
  <legacyDrawing r:id="rId3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AG304"/>
  <sheetViews>
    <sheetView tabSelected="1" zoomScale="55" zoomScaleNormal="55" workbookViewId="0">
      <pane xSplit="2" ySplit="11" topLeftCell="E174" activePane="bottomRight" state="frozen"/>
      <selection activeCell="F284" sqref="F284:G284"/>
      <selection pane="topRight" activeCell="F284" sqref="F284:G284"/>
      <selection pane="bottomLeft" activeCell="F284" sqref="F284:G284"/>
      <selection pane="bottomRight" activeCell="G298" sqref="G298"/>
    </sheetView>
  </sheetViews>
  <sheetFormatPr defaultColWidth="9.140625" defaultRowHeight="18.75" x14ac:dyDescent="0.3"/>
  <cols>
    <col min="1" max="1" width="55" style="33" customWidth="1"/>
    <col min="2" max="5" width="16.7109375" style="33" customWidth="1"/>
    <col min="6" max="7" width="16.42578125" style="33" customWidth="1"/>
    <col min="8" max="31" width="13.42578125" style="33" customWidth="1"/>
    <col min="32" max="32" width="17.7109375" style="33" customWidth="1"/>
    <col min="33" max="33" width="10.7109375" style="33" customWidth="1"/>
    <col min="34" max="16384" width="9.140625" style="33"/>
  </cols>
  <sheetData>
    <row r="4" spans="1:33" x14ac:dyDescent="0.3">
      <c r="A4" s="1026" t="s">
        <v>162</v>
      </c>
      <c r="B4" s="1026"/>
      <c r="C4" s="1026"/>
      <c r="D4" s="1026"/>
      <c r="E4" s="1026"/>
      <c r="F4" s="1026"/>
      <c r="G4" s="1026"/>
      <c r="H4" s="1026"/>
      <c r="I4" s="1026"/>
      <c r="J4" s="1026"/>
      <c r="K4" s="1026"/>
      <c r="L4" s="1026"/>
      <c r="M4" s="1026"/>
      <c r="N4" s="1026"/>
      <c r="O4" s="1026"/>
      <c r="P4" s="1026"/>
      <c r="Q4" s="1026"/>
      <c r="R4" s="1026"/>
      <c r="S4" s="1026"/>
      <c r="T4" s="1026"/>
      <c r="U4" s="1026"/>
      <c r="V4" s="1026"/>
      <c r="W4" s="1026"/>
      <c r="X4" s="1026"/>
      <c r="Y4" s="1026"/>
      <c r="Z4" s="1026"/>
      <c r="AA4" s="1026"/>
      <c r="AB4" s="1026"/>
      <c r="AC4" s="1026"/>
      <c r="AD4" s="1026"/>
      <c r="AE4" s="1026"/>
      <c r="AF4" s="1026"/>
    </row>
    <row r="6" spans="1:33" ht="50.25" customHeight="1" x14ac:dyDescent="0.3">
      <c r="A6" s="1027" t="s">
        <v>163</v>
      </c>
      <c r="B6" s="95" t="s">
        <v>3</v>
      </c>
      <c r="C6" s="95" t="s">
        <v>3</v>
      </c>
      <c r="D6" s="95" t="s">
        <v>4</v>
      </c>
      <c r="E6" s="95" t="s">
        <v>5</v>
      </c>
      <c r="F6" s="1028" t="s">
        <v>6</v>
      </c>
      <c r="G6" s="1029"/>
      <c r="H6" s="1028" t="s">
        <v>7</v>
      </c>
      <c r="I6" s="1030"/>
      <c r="J6" s="1028" t="s">
        <v>8</v>
      </c>
      <c r="K6" s="1030"/>
      <c r="L6" s="1028" t="s">
        <v>9</v>
      </c>
      <c r="M6" s="1030"/>
      <c r="N6" s="1028" t="s">
        <v>10</v>
      </c>
      <c r="O6" s="1030"/>
      <c r="P6" s="1028" t="s">
        <v>11</v>
      </c>
      <c r="Q6" s="1030"/>
      <c r="R6" s="1028" t="s">
        <v>12</v>
      </c>
      <c r="S6" s="1030"/>
      <c r="T6" s="1028" t="s">
        <v>13</v>
      </c>
      <c r="U6" s="1030"/>
      <c r="V6" s="1028" t="s">
        <v>14</v>
      </c>
      <c r="W6" s="1030"/>
      <c r="X6" s="1028" t="s">
        <v>15</v>
      </c>
      <c r="Y6" s="1030"/>
      <c r="Z6" s="1028" t="s">
        <v>16</v>
      </c>
      <c r="AA6" s="1030"/>
      <c r="AB6" s="1028" t="s">
        <v>17</v>
      </c>
      <c r="AC6" s="1030"/>
      <c r="AD6" s="1031" t="s">
        <v>18</v>
      </c>
      <c r="AE6" s="1031"/>
      <c r="AF6" s="1019" t="s">
        <v>19</v>
      </c>
    </row>
    <row r="7" spans="1:33" ht="56.25" x14ac:dyDescent="0.3">
      <c r="A7" s="1027"/>
      <c r="B7" s="3">
        <v>2024</v>
      </c>
      <c r="C7" s="4">
        <v>45413</v>
      </c>
      <c r="D7" s="4">
        <v>45413</v>
      </c>
      <c r="E7" s="4">
        <v>45413</v>
      </c>
      <c r="F7" s="5" t="s">
        <v>20</v>
      </c>
      <c r="G7" s="5" t="s">
        <v>21</v>
      </c>
      <c r="H7" s="96" t="s">
        <v>22</v>
      </c>
      <c r="I7" s="96" t="s">
        <v>164</v>
      </c>
      <c r="J7" s="96" t="s">
        <v>22</v>
      </c>
      <c r="K7" s="96" t="s">
        <v>164</v>
      </c>
      <c r="L7" s="96" t="s">
        <v>22</v>
      </c>
      <c r="M7" s="96" t="s">
        <v>164</v>
      </c>
      <c r="N7" s="96" t="s">
        <v>22</v>
      </c>
      <c r="O7" s="96" t="s">
        <v>164</v>
      </c>
      <c r="P7" s="96" t="s">
        <v>22</v>
      </c>
      <c r="Q7" s="96" t="s">
        <v>164</v>
      </c>
      <c r="R7" s="96" t="s">
        <v>22</v>
      </c>
      <c r="S7" s="96" t="s">
        <v>164</v>
      </c>
      <c r="T7" s="96" t="s">
        <v>22</v>
      </c>
      <c r="U7" s="96" t="s">
        <v>164</v>
      </c>
      <c r="V7" s="96" t="s">
        <v>22</v>
      </c>
      <c r="W7" s="96" t="s">
        <v>164</v>
      </c>
      <c r="X7" s="96" t="s">
        <v>22</v>
      </c>
      <c r="Y7" s="96" t="s">
        <v>164</v>
      </c>
      <c r="Z7" s="96" t="s">
        <v>22</v>
      </c>
      <c r="AA7" s="96" t="s">
        <v>164</v>
      </c>
      <c r="AB7" s="96" t="s">
        <v>22</v>
      </c>
      <c r="AC7" s="96" t="s">
        <v>164</v>
      </c>
      <c r="AD7" s="96" t="s">
        <v>165</v>
      </c>
      <c r="AE7" s="96" t="s">
        <v>164</v>
      </c>
      <c r="AF7" s="1020"/>
    </row>
    <row r="8" spans="1:33" x14ac:dyDescent="0.3">
      <c r="A8" s="6">
        <v>1</v>
      </c>
      <c r="B8" s="6">
        <v>2</v>
      </c>
      <c r="C8" s="6">
        <v>3</v>
      </c>
      <c r="D8" s="6">
        <v>4</v>
      </c>
      <c r="E8" s="6">
        <v>5</v>
      </c>
      <c r="F8" s="6">
        <v>6</v>
      </c>
      <c r="G8" s="6">
        <v>7</v>
      </c>
      <c r="H8" s="6">
        <v>8</v>
      </c>
      <c r="I8" s="6">
        <v>9</v>
      </c>
      <c r="J8" s="6">
        <v>10</v>
      </c>
      <c r="K8" s="6">
        <v>11</v>
      </c>
      <c r="L8" s="6">
        <v>12</v>
      </c>
      <c r="M8" s="6">
        <v>13</v>
      </c>
      <c r="N8" s="6">
        <v>14</v>
      </c>
      <c r="O8" s="6">
        <v>15</v>
      </c>
      <c r="P8" s="6">
        <v>16</v>
      </c>
      <c r="Q8" s="6">
        <v>17</v>
      </c>
      <c r="R8" s="6">
        <v>18</v>
      </c>
      <c r="S8" s="6">
        <v>19</v>
      </c>
      <c r="T8" s="6">
        <v>20</v>
      </c>
      <c r="U8" s="6">
        <v>21</v>
      </c>
      <c r="V8" s="6">
        <v>22</v>
      </c>
      <c r="W8" s="6">
        <v>23</v>
      </c>
      <c r="X8" s="6">
        <v>24</v>
      </c>
      <c r="Y8" s="6">
        <v>25</v>
      </c>
      <c r="Z8" s="6">
        <v>26</v>
      </c>
      <c r="AA8" s="6">
        <v>27</v>
      </c>
      <c r="AB8" s="6">
        <v>28</v>
      </c>
      <c r="AC8" s="6">
        <v>29</v>
      </c>
      <c r="AD8" s="6">
        <v>30</v>
      </c>
      <c r="AE8" s="6">
        <v>31</v>
      </c>
      <c r="AF8" s="6">
        <v>32</v>
      </c>
    </row>
    <row r="9" spans="1:33" s="97" customFormat="1" x14ac:dyDescent="0.3">
      <c r="A9" s="1032" t="s">
        <v>166</v>
      </c>
      <c r="B9" s="1033"/>
      <c r="C9" s="1033"/>
      <c r="D9" s="1033"/>
      <c r="E9" s="1033"/>
      <c r="F9" s="1033"/>
      <c r="G9" s="1033"/>
      <c r="H9" s="1033"/>
      <c r="I9" s="1033"/>
      <c r="J9" s="1033"/>
      <c r="K9" s="1033"/>
      <c r="L9" s="1033"/>
      <c r="M9" s="1033"/>
      <c r="N9" s="1033"/>
      <c r="O9" s="1033"/>
      <c r="P9" s="1033"/>
      <c r="Q9" s="1033"/>
      <c r="R9" s="1033"/>
      <c r="S9" s="1033"/>
      <c r="T9" s="1033"/>
      <c r="U9" s="1033"/>
      <c r="V9" s="1033"/>
      <c r="W9" s="1033"/>
      <c r="X9" s="1033"/>
      <c r="Y9" s="1033"/>
      <c r="Z9" s="1033"/>
      <c r="AA9" s="1033"/>
      <c r="AB9" s="1033"/>
      <c r="AC9" s="1033"/>
      <c r="AD9" s="1033"/>
      <c r="AE9" s="1033"/>
      <c r="AF9" s="1034"/>
    </row>
    <row r="10" spans="1:33" s="97" customFormat="1" x14ac:dyDescent="0.3">
      <c r="A10" s="1032" t="s">
        <v>167</v>
      </c>
      <c r="B10" s="1033"/>
      <c r="C10" s="1033"/>
      <c r="D10" s="1033"/>
      <c r="E10" s="1033"/>
      <c r="F10" s="1033"/>
      <c r="G10" s="1033"/>
      <c r="H10" s="1033"/>
      <c r="I10" s="1033"/>
      <c r="J10" s="1033"/>
      <c r="K10" s="1033"/>
      <c r="L10" s="1033"/>
      <c r="M10" s="1033"/>
      <c r="N10" s="1033"/>
      <c r="O10" s="1033"/>
      <c r="P10" s="1033"/>
      <c r="Q10" s="1033"/>
      <c r="R10" s="1033"/>
      <c r="S10" s="1033"/>
      <c r="T10" s="1033"/>
      <c r="U10" s="1033"/>
      <c r="V10" s="1033"/>
      <c r="W10" s="1033"/>
      <c r="X10" s="1033"/>
      <c r="Y10" s="1033"/>
      <c r="Z10" s="1033"/>
      <c r="AA10" s="1033"/>
      <c r="AB10" s="1033"/>
      <c r="AC10" s="1033"/>
      <c r="AD10" s="1033"/>
      <c r="AE10" s="1033"/>
      <c r="AF10" s="1034"/>
    </row>
    <row r="11" spans="1:33" ht="39" customHeight="1" x14ac:dyDescent="0.3">
      <c r="A11" s="98" t="s">
        <v>168</v>
      </c>
      <c r="B11" s="99"/>
      <c r="C11" s="100"/>
      <c r="D11" s="100"/>
      <c r="E11" s="100"/>
      <c r="F11" s="100"/>
      <c r="G11" s="100"/>
      <c r="H11" s="100"/>
      <c r="I11" s="100"/>
      <c r="J11" s="100"/>
      <c r="K11" s="100"/>
      <c r="L11" s="100"/>
      <c r="M11" s="100"/>
      <c r="N11" s="100"/>
      <c r="O11" s="100"/>
      <c r="P11" s="100"/>
      <c r="Q11" s="100"/>
      <c r="R11" s="100"/>
      <c r="S11" s="100"/>
      <c r="T11" s="100"/>
      <c r="U11" s="100"/>
      <c r="V11" s="100"/>
      <c r="W11" s="100"/>
      <c r="X11" s="100"/>
      <c r="Y11" s="100"/>
      <c r="Z11" s="100"/>
      <c r="AA11" s="100"/>
      <c r="AB11" s="100"/>
      <c r="AC11" s="100"/>
      <c r="AD11" s="100"/>
      <c r="AE11" s="100"/>
      <c r="AF11" s="101"/>
      <c r="AG11" s="102">
        <f>B11-H11-J11-L11-N11-P11-R11-T11-V11-X11-Z11-AB11-AD11</f>
        <v>0</v>
      </c>
    </row>
    <row r="12" spans="1:33" x14ac:dyDescent="0.3">
      <c r="A12" s="103" t="s">
        <v>31</v>
      </c>
      <c r="B12" s="104">
        <f>B13+B14+B15+B16</f>
        <v>0</v>
      </c>
      <c r="C12" s="104">
        <f>C13+C14+C15+C16</f>
        <v>0</v>
      </c>
      <c r="D12" s="104">
        <f>D13+D14+D15+D16</f>
        <v>0</v>
      </c>
      <c r="E12" s="104">
        <f>E13+E14+E15+E16</f>
        <v>0</v>
      </c>
      <c r="F12" s="105">
        <f>IFERROR(E12/B12*100,0)</f>
        <v>0</v>
      </c>
      <c r="G12" s="105">
        <f>IFERROR(E12/C12*100,0)</f>
        <v>0</v>
      </c>
      <c r="H12" s="104">
        <f>H13+H14+H15+H16</f>
        <v>0</v>
      </c>
      <c r="I12" s="104">
        <f t="shared" ref="I12:AE12" si="0">I13+I14+I15+I16</f>
        <v>0</v>
      </c>
      <c r="J12" s="104">
        <f t="shared" si="0"/>
        <v>0</v>
      </c>
      <c r="K12" s="104">
        <f t="shared" si="0"/>
        <v>0</v>
      </c>
      <c r="L12" s="104">
        <f t="shared" si="0"/>
        <v>0</v>
      </c>
      <c r="M12" s="104">
        <f t="shared" si="0"/>
        <v>0</v>
      </c>
      <c r="N12" s="104">
        <f t="shared" si="0"/>
        <v>0</v>
      </c>
      <c r="O12" s="104">
        <f t="shared" si="0"/>
        <v>0</v>
      </c>
      <c r="P12" s="104">
        <f t="shared" si="0"/>
        <v>0</v>
      </c>
      <c r="Q12" s="104">
        <f t="shared" si="0"/>
        <v>0</v>
      </c>
      <c r="R12" s="104">
        <f t="shared" si="0"/>
        <v>0</v>
      </c>
      <c r="S12" s="104">
        <f t="shared" si="0"/>
        <v>0</v>
      </c>
      <c r="T12" s="104">
        <f t="shared" si="0"/>
        <v>0</v>
      </c>
      <c r="U12" s="104">
        <f t="shared" si="0"/>
        <v>0</v>
      </c>
      <c r="V12" s="104">
        <f t="shared" si="0"/>
        <v>0</v>
      </c>
      <c r="W12" s="104">
        <f t="shared" si="0"/>
        <v>0</v>
      </c>
      <c r="X12" s="104">
        <f t="shared" si="0"/>
        <v>0</v>
      </c>
      <c r="Y12" s="104">
        <f t="shared" si="0"/>
        <v>0</v>
      </c>
      <c r="Z12" s="104">
        <f t="shared" si="0"/>
        <v>0</v>
      </c>
      <c r="AA12" s="104">
        <f t="shared" si="0"/>
        <v>0</v>
      </c>
      <c r="AB12" s="104">
        <f t="shared" si="0"/>
        <v>0</v>
      </c>
      <c r="AC12" s="104">
        <f t="shared" si="0"/>
        <v>0</v>
      </c>
      <c r="AD12" s="104">
        <f t="shared" si="0"/>
        <v>0</v>
      </c>
      <c r="AE12" s="104">
        <f t="shared" si="0"/>
        <v>0</v>
      </c>
      <c r="AF12" s="101"/>
      <c r="AG12" s="102">
        <f t="shared" ref="AG12:AG76" si="1">B12-H12-J12-L12-N12-P12-R12-T12-V12-X12-Z12-AB12-AD12</f>
        <v>0</v>
      </c>
    </row>
    <row r="13" spans="1:33" x14ac:dyDescent="0.3">
      <c r="A13" s="106" t="s">
        <v>169</v>
      </c>
      <c r="B13" s="107">
        <f>J13+L13+N13+P13+R13+T13+V13+X13+Z13+AB13+AD13+H13</f>
        <v>0</v>
      </c>
      <c r="C13" s="107">
        <f>SUM(H13)</f>
        <v>0</v>
      </c>
      <c r="D13" s="107">
        <f>E13</f>
        <v>0</v>
      </c>
      <c r="E13" s="107">
        <f>SUM(I13,K13,M13,O13,Q13,S13,U13,W13,Y13,AA13,AC13,AE13)</f>
        <v>0</v>
      </c>
      <c r="F13" s="107">
        <f>IFERROR(E13/B13*100,0)</f>
        <v>0</v>
      </c>
      <c r="G13" s="107">
        <f>IFERROR(E13/C13*100,0)</f>
        <v>0</v>
      </c>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1"/>
      <c r="AG13" s="102">
        <f t="shared" si="1"/>
        <v>0</v>
      </c>
    </row>
    <row r="14" spans="1:33" x14ac:dyDescent="0.3">
      <c r="A14" s="106" t="s">
        <v>32</v>
      </c>
      <c r="B14" s="107">
        <f>J14+L14+N14+P14+R14+T14+V14+X14+Z14+AB14+AD14+H14</f>
        <v>0</v>
      </c>
      <c r="C14" s="107">
        <f>SUM(H14)</f>
        <v>0</v>
      </c>
      <c r="D14" s="107">
        <f>E14</f>
        <v>0</v>
      </c>
      <c r="E14" s="107">
        <f>SUM(I14,K14,M14,O14,Q14,S14,U14,W14,Y14,AA14,AC14,AE14)</f>
        <v>0</v>
      </c>
      <c r="F14" s="107">
        <f>IFERROR(E14/B14*100,0)</f>
        <v>0</v>
      </c>
      <c r="G14" s="107">
        <f>IFERROR(E14/C14*100,0)</f>
        <v>0</v>
      </c>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1"/>
      <c r="AG14" s="102">
        <f t="shared" si="1"/>
        <v>0</v>
      </c>
    </row>
    <row r="15" spans="1:33" x14ac:dyDescent="0.3">
      <c r="A15" s="106" t="s">
        <v>33</v>
      </c>
      <c r="B15" s="107">
        <f>J15+L15+N15+P15+R15+T15+V15+X15+Z15+AB15+AD15+H15</f>
        <v>0</v>
      </c>
      <c r="C15" s="107">
        <f>SUM(H15)</f>
        <v>0</v>
      </c>
      <c r="D15" s="107">
        <f>E15</f>
        <v>0</v>
      </c>
      <c r="E15" s="107">
        <f>SUM(I15,K15,M15,O15,Q15,S15,U15,W15,Y15,AA15,AC15,AE15)</f>
        <v>0</v>
      </c>
      <c r="F15" s="107">
        <f>IFERROR(E15/B15*100,0)</f>
        <v>0</v>
      </c>
      <c r="G15" s="107">
        <f>IFERROR(E15/C15*100,0)</f>
        <v>0</v>
      </c>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1"/>
      <c r="AG15" s="102">
        <f t="shared" si="1"/>
        <v>0</v>
      </c>
    </row>
    <row r="16" spans="1:33" x14ac:dyDescent="0.3">
      <c r="A16" s="106" t="s">
        <v>170</v>
      </c>
      <c r="B16" s="107">
        <f>J16+L16+N16+P16+R16+T16+V16+X16+Z16+AB16+AD16+H16</f>
        <v>0</v>
      </c>
      <c r="C16" s="107">
        <f>SUM(H16)</f>
        <v>0</v>
      </c>
      <c r="D16" s="107">
        <f>E16</f>
        <v>0</v>
      </c>
      <c r="E16" s="107">
        <f>SUM(I16,K16,M16,O16,Q16,S16,U16,W16,Y16,AA16,AC16,AE16)</f>
        <v>0</v>
      </c>
      <c r="F16" s="107">
        <f>IFERROR(E16/B16*100,0)</f>
        <v>0</v>
      </c>
      <c r="G16" s="107">
        <f>IFERROR(E16/C16*100,0)</f>
        <v>0</v>
      </c>
      <c r="H16" s="107"/>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1"/>
      <c r="AG16" s="102">
        <f t="shared" si="1"/>
        <v>0</v>
      </c>
    </row>
    <row r="17" spans="1:33" ht="64.5" customHeight="1" x14ac:dyDescent="0.3">
      <c r="A17" s="98" t="s">
        <v>171</v>
      </c>
      <c r="B17" s="99"/>
      <c r="C17" s="100"/>
      <c r="D17" s="100"/>
      <c r="E17" s="100"/>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1"/>
      <c r="AG17" s="102">
        <f t="shared" si="1"/>
        <v>0</v>
      </c>
    </row>
    <row r="18" spans="1:33" x14ac:dyDescent="0.3">
      <c r="A18" s="103" t="s">
        <v>31</v>
      </c>
      <c r="B18" s="104">
        <f>B19+B20+B21+B22</f>
        <v>100</v>
      </c>
      <c r="C18" s="104">
        <f>C19+C20+C21+C22</f>
        <v>100</v>
      </c>
      <c r="D18" s="104">
        <f>D19+D20+D21+D22</f>
        <v>99.999999999999986</v>
      </c>
      <c r="E18" s="104">
        <f>E19+E20+E21+E22</f>
        <v>99.999999999999986</v>
      </c>
      <c r="F18" s="105">
        <f>IFERROR(E18/B18*100,0)</f>
        <v>99.999999999999986</v>
      </c>
      <c r="G18" s="105">
        <f>IFERROR(E18/C18*100,0)</f>
        <v>99.999999999999986</v>
      </c>
      <c r="H18" s="104">
        <f>H19+H20+H21+H22</f>
        <v>0</v>
      </c>
      <c r="I18" s="104">
        <f t="shared" ref="I18:AE18" si="2">I19+I20+I21+I22</f>
        <v>0</v>
      </c>
      <c r="J18" s="104">
        <f t="shared" si="2"/>
        <v>0</v>
      </c>
      <c r="K18" s="104">
        <f t="shared" si="2"/>
        <v>0</v>
      </c>
      <c r="L18" s="104">
        <f t="shared" si="2"/>
        <v>100</v>
      </c>
      <c r="M18" s="104">
        <f t="shared" si="2"/>
        <v>68.11</v>
      </c>
      <c r="N18" s="104">
        <f t="shared" si="2"/>
        <v>0</v>
      </c>
      <c r="O18" s="104">
        <f t="shared" si="2"/>
        <v>17.399999999999999</v>
      </c>
      <c r="P18" s="104">
        <f t="shared" si="2"/>
        <v>0</v>
      </c>
      <c r="Q18" s="104">
        <f t="shared" si="2"/>
        <v>14.49</v>
      </c>
      <c r="R18" s="104">
        <f t="shared" si="2"/>
        <v>0</v>
      </c>
      <c r="S18" s="104">
        <f t="shared" si="2"/>
        <v>0</v>
      </c>
      <c r="T18" s="104">
        <f t="shared" si="2"/>
        <v>0</v>
      </c>
      <c r="U18" s="104">
        <f t="shared" si="2"/>
        <v>0</v>
      </c>
      <c r="V18" s="104">
        <f t="shared" si="2"/>
        <v>0</v>
      </c>
      <c r="W18" s="104">
        <f t="shared" si="2"/>
        <v>0</v>
      </c>
      <c r="X18" s="104">
        <f t="shared" si="2"/>
        <v>0</v>
      </c>
      <c r="Y18" s="104">
        <f t="shared" si="2"/>
        <v>0</v>
      </c>
      <c r="Z18" s="104">
        <f t="shared" si="2"/>
        <v>0</v>
      </c>
      <c r="AA18" s="104">
        <f t="shared" si="2"/>
        <v>0</v>
      </c>
      <c r="AB18" s="104">
        <f t="shared" si="2"/>
        <v>0</v>
      </c>
      <c r="AC18" s="104">
        <f t="shared" si="2"/>
        <v>0</v>
      </c>
      <c r="AD18" s="104">
        <f t="shared" si="2"/>
        <v>0</v>
      </c>
      <c r="AE18" s="104">
        <f t="shared" si="2"/>
        <v>0</v>
      </c>
      <c r="AF18" s="101"/>
      <c r="AG18" s="102">
        <f t="shared" si="1"/>
        <v>0</v>
      </c>
    </row>
    <row r="19" spans="1:33" x14ac:dyDescent="0.3">
      <c r="A19" s="106" t="s">
        <v>169</v>
      </c>
      <c r="B19" s="107">
        <f>J19+L19+N19+P19+R19+T19+V19+X19+Z19+AB19+AD19+H19</f>
        <v>0</v>
      </c>
      <c r="C19" s="107">
        <f>N19</f>
        <v>0</v>
      </c>
      <c r="D19" s="107">
        <f>E19</f>
        <v>0</v>
      </c>
      <c r="E19" s="107">
        <f>SUM(I19,K19,M19,O19,Q19,S19,U19,W19,Y19,AA19,AC19,AE19)</f>
        <v>0</v>
      </c>
      <c r="F19" s="107">
        <f>IFERROR(E19/B19*100,0)</f>
        <v>0</v>
      </c>
      <c r="G19" s="107">
        <f>IFERROR(E19/C19*100,0)</f>
        <v>0</v>
      </c>
      <c r="H19" s="107"/>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1"/>
      <c r="AG19" s="102">
        <f t="shared" si="1"/>
        <v>0</v>
      </c>
    </row>
    <row r="20" spans="1:33" x14ac:dyDescent="0.3">
      <c r="A20" s="106" t="s">
        <v>32</v>
      </c>
      <c r="B20" s="107">
        <f>J20+L20+N20+P20+R20+T20+V20+X20+Z20+AB20+AD20+H20</f>
        <v>0</v>
      </c>
      <c r="C20" s="107">
        <f>N20</f>
        <v>0</v>
      </c>
      <c r="D20" s="107">
        <f>E20</f>
        <v>0</v>
      </c>
      <c r="E20" s="107">
        <f>SUM(I20,K20,M20,O20,Q20,S20,U20,W20,Y20,AA20,AC20,AE20)</f>
        <v>0</v>
      </c>
      <c r="F20" s="107">
        <f>IFERROR(E20/B20*100,0)</f>
        <v>0</v>
      </c>
      <c r="G20" s="107">
        <f>IFERROR(E20/C20*100,0)</f>
        <v>0</v>
      </c>
      <c r="H20" s="107"/>
      <c r="I20" s="107"/>
      <c r="J20" s="107"/>
      <c r="K20" s="107"/>
      <c r="L20" s="107"/>
      <c r="M20" s="107"/>
      <c r="N20" s="107"/>
      <c r="O20" s="107"/>
      <c r="P20" s="107"/>
      <c r="Q20" s="107"/>
      <c r="R20" s="107"/>
      <c r="S20" s="107"/>
      <c r="T20" s="107"/>
      <c r="U20" s="107"/>
      <c r="V20" s="107"/>
      <c r="W20" s="107"/>
      <c r="X20" s="107"/>
      <c r="Y20" s="107"/>
      <c r="Z20" s="107"/>
      <c r="AA20" s="107"/>
      <c r="AB20" s="107"/>
      <c r="AC20" s="107"/>
      <c r="AD20" s="107"/>
      <c r="AE20" s="107"/>
      <c r="AF20" s="101"/>
      <c r="AG20" s="102">
        <f t="shared" si="1"/>
        <v>0</v>
      </c>
    </row>
    <row r="21" spans="1:33" x14ac:dyDescent="0.3">
      <c r="A21" s="106" t="s">
        <v>33</v>
      </c>
      <c r="B21" s="107">
        <f>J21+L21+N21+P21+R21+T21+V21+X21+Z21+AB21+AD21+H21</f>
        <v>100</v>
      </c>
      <c r="C21" s="107">
        <f>N21+L21</f>
        <v>100</v>
      </c>
      <c r="D21" s="107">
        <f>E21</f>
        <v>99.999999999999986</v>
      </c>
      <c r="E21" s="107">
        <f>SUM(I21,K21,M21,O21,Q21,S21,U21,W21,Y21,AA21,AC21,AE21)</f>
        <v>99.999999999999986</v>
      </c>
      <c r="F21" s="107">
        <f>IFERROR(E21/B21*100,0)</f>
        <v>99.999999999999986</v>
      </c>
      <c r="G21" s="107">
        <f>IFERROR(E21/C21*100,0)</f>
        <v>99.999999999999986</v>
      </c>
      <c r="H21" s="107"/>
      <c r="I21" s="107"/>
      <c r="J21" s="107"/>
      <c r="K21" s="107"/>
      <c r="L21" s="107">
        <v>100</v>
      </c>
      <c r="M21" s="107">
        <v>68.11</v>
      </c>
      <c r="N21" s="107">
        <v>0</v>
      </c>
      <c r="O21" s="107">
        <v>17.399999999999999</v>
      </c>
      <c r="P21" s="107">
        <v>0</v>
      </c>
      <c r="Q21" s="107">
        <v>14.49</v>
      </c>
      <c r="R21" s="107"/>
      <c r="S21" s="107"/>
      <c r="T21" s="107"/>
      <c r="U21" s="107"/>
      <c r="V21" s="107"/>
      <c r="W21" s="107"/>
      <c r="X21" s="107"/>
      <c r="Y21" s="107"/>
      <c r="Z21" s="107"/>
      <c r="AA21" s="107"/>
      <c r="AB21" s="107"/>
      <c r="AC21" s="107"/>
      <c r="AD21" s="107"/>
      <c r="AE21" s="107"/>
      <c r="AF21" s="101"/>
      <c r="AG21" s="102">
        <f t="shared" si="1"/>
        <v>0</v>
      </c>
    </row>
    <row r="22" spans="1:33" x14ac:dyDescent="0.3">
      <c r="A22" s="106" t="s">
        <v>170</v>
      </c>
      <c r="B22" s="107">
        <f>J22+L22+N22+P22+R22+T22+V22+X22+Z22+AB22+AD22+H22</f>
        <v>0</v>
      </c>
      <c r="C22" s="107">
        <f>N22</f>
        <v>0</v>
      </c>
      <c r="D22" s="107">
        <f>E22</f>
        <v>0</v>
      </c>
      <c r="E22" s="107">
        <f>SUM(I22,K22,M22,O22,Q22,S22,U22,W22,Y22,AA22,AC22,AE22)</f>
        <v>0</v>
      </c>
      <c r="F22" s="107">
        <f>IFERROR(E22/B22*100,0)</f>
        <v>0</v>
      </c>
      <c r="G22" s="107">
        <f>IFERROR(E22/C22*100,0)</f>
        <v>0</v>
      </c>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1"/>
      <c r="AG22" s="102">
        <f t="shared" si="1"/>
        <v>0</v>
      </c>
    </row>
    <row r="23" spans="1:33" s="97" customFormat="1" x14ac:dyDescent="0.3">
      <c r="A23" s="1032" t="s">
        <v>54</v>
      </c>
      <c r="B23" s="1033"/>
      <c r="C23" s="1033"/>
      <c r="D23" s="1033"/>
      <c r="E23" s="1033"/>
      <c r="F23" s="1033"/>
      <c r="G23" s="1033"/>
      <c r="H23" s="1033"/>
      <c r="I23" s="1033"/>
      <c r="J23" s="1033"/>
      <c r="K23" s="1033"/>
      <c r="L23" s="1033"/>
      <c r="M23" s="1033"/>
      <c r="N23" s="1033"/>
      <c r="O23" s="1033"/>
      <c r="P23" s="1033"/>
      <c r="Q23" s="1033"/>
      <c r="R23" s="1033"/>
      <c r="S23" s="1033"/>
      <c r="T23" s="1033"/>
      <c r="U23" s="1033"/>
      <c r="V23" s="1033"/>
      <c r="W23" s="1033"/>
      <c r="X23" s="1033"/>
      <c r="Y23" s="1033"/>
      <c r="Z23" s="1033"/>
      <c r="AA23" s="1033"/>
      <c r="AB23" s="1033"/>
      <c r="AC23" s="1033"/>
      <c r="AD23" s="1033"/>
      <c r="AE23" s="1033"/>
      <c r="AF23" s="1034"/>
      <c r="AG23" s="102">
        <f t="shared" si="1"/>
        <v>0</v>
      </c>
    </row>
    <row r="24" spans="1:33" x14ac:dyDescent="0.3">
      <c r="A24" s="98" t="s">
        <v>172</v>
      </c>
      <c r="B24" s="99"/>
      <c r="C24" s="100"/>
      <c r="D24" s="100"/>
      <c r="E24" s="100"/>
      <c r="F24" s="100"/>
      <c r="G24" s="100"/>
      <c r="H24" s="99"/>
      <c r="I24" s="99"/>
      <c r="J24" s="99"/>
      <c r="K24" s="99"/>
      <c r="L24" s="99"/>
      <c r="M24" s="99"/>
      <c r="N24" s="99"/>
      <c r="O24" s="99"/>
      <c r="P24" s="99"/>
      <c r="Q24" s="99"/>
      <c r="R24" s="99"/>
      <c r="S24" s="99"/>
      <c r="T24" s="99"/>
      <c r="U24" s="99"/>
      <c r="V24" s="99"/>
      <c r="W24" s="99"/>
      <c r="X24" s="99"/>
      <c r="Y24" s="99"/>
      <c r="Z24" s="99"/>
      <c r="AA24" s="99"/>
      <c r="AB24" s="99"/>
      <c r="AC24" s="99"/>
      <c r="AD24" s="99"/>
      <c r="AE24" s="99"/>
      <c r="AF24" s="101"/>
      <c r="AG24" s="102">
        <f t="shared" si="1"/>
        <v>0</v>
      </c>
    </row>
    <row r="25" spans="1:33" x14ac:dyDescent="0.3">
      <c r="A25" s="103" t="s">
        <v>31</v>
      </c>
      <c r="B25" s="104">
        <f>B26+B27+B28+B29</f>
        <v>71009.099999999977</v>
      </c>
      <c r="C25" s="104">
        <f>C26+C27+C28+C29</f>
        <v>20922.649999999994</v>
      </c>
      <c r="D25" s="104">
        <f>D26+D27+D28+D29</f>
        <v>30532.30616</v>
      </c>
      <c r="E25" s="104">
        <f>E26+E27+E28+E29</f>
        <v>30532.30616</v>
      </c>
      <c r="F25" s="105">
        <f>E25/B25*100</f>
        <v>42.997737135099598</v>
      </c>
      <c r="G25" s="105">
        <f>E25/C25*100</f>
        <v>145.92944086910603</v>
      </c>
      <c r="H25" s="104">
        <f>H26+H27+H28+H29</f>
        <v>2224.6999999999998</v>
      </c>
      <c r="I25" s="104">
        <f t="shared" ref="I25:AE25" si="3">I26+I27+I28+I29</f>
        <v>1357.8</v>
      </c>
      <c r="J25" s="104">
        <f t="shared" si="3"/>
        <v>6477.4999999999991</v>
      </c>
      <c r="K25" s="104">
        <f t="shared" si="3"/>
        <v>4365.0499999999993</v>
      </c>
      <c r="L25" s="104">
        <f t="shared" si="3"/>
        <v>6141.2</v>
      </c>
      <c r="M25" s="104">
        <f t="shared" si="3"/>
        <v>4589.01</v>
      </c>
      <c r="N25" s="104">
        <f t="shared" si="3"/>
        <v>6088.35</v>
      </c>
      <c r="O25" s="104">
        <f t="shared" si="3"/>
        <v>4422.43</v>
      </c>
      <c r="P25" s="104">
        <f t="shared" si="3"/>
        <v>7497.8499999999995</v>
      </c>
      <c r="Q25" s="104">
        <f t="shared" si="3"/>
        <v>7667.4161599999989</v>
      </c>
      <c r="R25" s="104">
        <f t="shared" si="3"/>
        <v>7146.4500000000007</v>
      </c>
      <c r="S25" s="104">
        <f t="shared" si="3"/>
        <v>8183.8000000000011</v>
      </c>
      <c r="T25" s="104">
        <f t="shared" si="3"/>
        <v>8070.05</v>
      </c>
      <c r="U25" s="104">
        <f t="shared" si="3"/>
        <v>0</v>
      </c>
      <c r="V25" s="104">
        <f t="shared" si="3"/>
        <v>4985.8500000000004</v>
      </c>
      <c r="W25" s="104">
        <f t="shared" si="3"/>
        <v>0</v>
      </c>
      <c r="X25" s="104">
        <f t="shared" si="3"/>
        <v>5439.85</v>
      </c>
      <c r="Y25" s="104">
        <f t="shared" si="3"/>
        <v>0</v>
      </c>
      <c r="Z25" s="104">
        <f t="shared" si="3"/>
        <v>4379.9500000000007</v>
      </c>
      <c r="AA25" s="104">
        <f t="shared" si="3"/>
        <v>0</v>
      </c>
      <c r="AB25" s="104">
        <f t="shared" si="3"/>
        <v>4301.79</v>
      </c>
      <c r="AC25" s="104">
        <f t="shared" si="3"/>
        <v>0</v>
      </c>
      <c r="AD25" s="104">
        <f t="shared" si="3"/>
        <v>8255.56</v>
      </c>
      <c r="AE25" s="104">
        <f t="shared" si="3"/>
        <v>0</v>
      </c>
      <c r="AF25" s="101"/>
      <c r="AG25" s="102">
        <f t="shared" si="1"/>
        <v>0</v>
      </c>
    </row>
    <row r="26" spans="1:33" x14ac:dyDescent="0.3">
      <c r="A26" s="106" t="s">
        <v>169</v>
      </c>
      <c r="B26" s="107">
        <f>B32+B39+B45+B51+B58</f>
        <v>105.21</v>
      </c>
      <c r="C26" s="107">
        <f>C32+C39+C45+C51+C58</f>
        <v>0</v>
      </c>
      <c r="D26" s="107">
        <f>D32+D39+D45+D51+D58</f>
        <v>105.21</v>
      </c>
      <c r="E26" s="107">
        <f>E32+E39+E45+E51+E58</f>
        <v>105.21</v>
      </c>
      <c r="F26" s="107">
        <f>E26/B26*100</f>
        <v>100</v>
      </c>
      <c r="G26" s="107">
        <f>IFERROR(E26/C26*100,0)</f>
        <v>0</v>
      </c>
      <c r="H26" s="107">
        <f t="shared" ref="H26:AE29" si="4">H32+H39+H45+H51+H58</f>
        <v>0</v>
      </c>
      <c r="I26" s="107">
        <f t="shared" si="4"/>
        <v>0</v>
      </c>
      <c r="J26" s="107">
        <f t="shared" si="4"/>
        <v>0</v>
      </c>
      <c r="K26" s="107">
        <f t="shared" si="4"/>
        <v>0</v>
      </c>
      <c r="L26" s="107">
        <f t="shared" si="4"/>
        <v>0</v>
      </c>
      <c r="M26" s="107">
        <f t="shared" si="4"/>
        <v>0</v>
      </c>
      <c r="N26" s="107">
        <f t="shared" si="4"/>
        <v>0</v>
      </c>
      <c r="O26" s="107">
        <f t="shared" si="4"/>
        <v>0</v>
      </c>
      <c r="P26" s="107">
        <f t="shared" si="4"/>
        <v>0</v>
      </c>
      <c r="Q26" s="107">
        <f t="shared" si="4"/>
        <v>0</v>
      </c>
      <c r="R26" s="107">
        <f t="shared" si="4"/>
        <v>105.21</v>
      </c>
      <c r="S26" s="107">
        <f t="shared" si="4"/>
        <v>105.21</v>
      </c>
      <c r="T26" s="107">
        <f t="shared" si="4"/>
        <v>0</v>
      </c>
      <c r="U26" s="107">
        <f t="shared" si="4"/>
        <v>0</v>
      </c>
      <c r="V26" s="107">
        <f t="shared" si="4"/>
        <v>0</v>
      </c>
      <c r="W26" s="107">
        <f t="shared" si="4"/>
        <v>0</v>
      </c>
      <c r="X26" s="107">
        <f t="shared" si="4"/>
        <v>0</v>
      </c>
      <c r="Y26" s="107">
        <f t="shared" si="4"/>
        <v>0</v>
      </c>
      <c r="Z26" s="107">
        <f t="shared" si="4"/>
        <v>0</v>
      </c>
      <c r="AA26" s="107">
        <f t="shared" si="4"/>
        <v>0</v>
      </c>
      <c r="AB26" s="107">
        <f t="shared" si="4"/>
        <v>0</v>
      </c>
      <c r="AC26" s="107">
        <f t="shared" si="4"/>
        <v>0</v>
      </c>
      <c r="AD26" s="107">
        <f t="shared" si="4"/>
        <v>0</v>
      </c>
      <c r="AE26" s="107">
        <f t="shared" si="4"/>
        <v>0</v>
      </c>
      <c r="AF26" s="101"/>
      <c r="AG26" s="102">
        <f t="shared" si="1"/>
        <v>0</v>
      </c>
    </row>
    <row r="27" spans="1:33" x14ac:dyDescent="0.3">
      <c r="A27" s="106" t="s">
        <v>32</v>
      </c>
      <c r="B27" s="107">
        <f t="shared" ref="B27:E28" si="5">B33+B40+B46+B52+B59</f>
        <v>519.69000000000005</v>
      </c>
      <c r="C27" s="107">
        <f t="shared" si="5"/>
        <v>21.6</v>
      </c>
      <c r="D27" s="107">
        <f t="shared" si="5"/>
        <v>300.65999999999997</v>
      </c>
      <c r="E27" s="107">
        <f t="shared" si="5"/>
        <v>300.65999999999997</v>
      </c>
      <c r="F27" s="107">
        <f>E27/B27*100</f>
        <v>57.853720487213522</v>
      </c>
      <c r="G27" s="107">
        <f>IFERROR(E27/C27*100,0)</f>
        <v>1391.9444444444443</v>
      </c>
      <c r="H27" s="107">
        <f t="shared" si="4"/>
        <v>0</v>
      </c>
      <c r="I27" s="107">
        <f t="shared" si="4"/>
        <v>0</v>
      </c>
      <c r="J27" s="107">
        <f t="shared" si="4"/>
        <v>0</v>
      </c>
      <c r="K27" s="107">
        <f t="shared" si="4"/>
        <v>0</v>
      </c>
      <c r="L27" s="107">
        <f t="shared" si="4"/>
        <v>10.8</v>
      </c>
      <c r="M27" s="107">
        <f t="shared" si="4"/>
        <v>10.8</v>
      </c>
      <c r="N27" s="107">
        <f t="shared" si="4"/>
        <v>19.899999999999999</v>
      </c>
      <c r="O27" s="107">
        <f t="shared" si="4"/>
        <v>19.899999999999999</v>
      </c>
      <c r="P27" s="107">
        <f t="shared" si="4"/>
        <v>118.57</v>
      </c>
      <c r="Q27" s="107">
        <f t="shared" si="4"/>
        <v>118.57</v>
      </c>
      <c r="R27" s="107">
        <f t="shared" si="4"/>
        <v>151.39000000000001</v>
      </c>
      <c r="S27" s="107">
        <f t="shared" si="4"/>
        <v>151.39000000000001</v>
      </c>
      <c r="T27" s="107">
        <f t="shared" si="4"/>
        <v>22.8</v>
      </c>
      <c r="U27" s="107">
        <f t="shared" si="4"/>
        <v>0</v>
      </c>
      <c r="V27" s="107">
        <f t="shared" si="4"/>
        <v>22.8</v>
      </c>
      <c r="W27" s="107">
        <f t="shared" si="4"/>
        <v>0</v>
      </c>
      <c r="X27" s="107">
        <f t="shared" si="4"/>
        <v>94.2</v>
      </c>
      <c r="Y27" s="107">
        <f t="shared" si="4"/>
        <v>0</v>
      </c>
      <c r="Z27" s="107">
        <f t="shared" si="4"/>
        <v>22.8</v>
      </c>
      <c r="AA27" s="107">
        <f t="shared" si="4"/>
        <v>0</v>
      </c>
      <c r="AB27" s="107">
        <f t="shared" si="4"/>
        <v>22.8</v>
      </c>
      <c r="AC27" s="107">
        <f t="shared" si="4"/>
        <v>0</v>
      </c>
      <c r="AD27" s="107">
        <f t="shared" si="4"/>
        <v>33.629999999999995</v>
      </c>
      <c r="AE27" s="107">
        <f t="shared" si="4"/>
        <v>0</v>
      </c>
      <c r="AF27" s="101"/>
      <c r="AG27" s="102">
        <f t="shared" si="1"/>
        <v>0</v>
      </c>
    </row>
    <row r="28" spans="1:33" x14ac:dyDescent="0.3">
      <c r="A28" s="106" t="s">
        <v>33</v>
      </c>
      <c r="B28" s="107">
        <f>B34+B41+B47+B53+B60</f>
        <v>70384.199999999983</v>
      </c>
      <c r="C28" s="107">
        <f>C34+C41+C47+C53+C60</f>
        <v>20901.049999999996</v>
      </c>
      <c r="D28" s="107">
        <f t="shared" si="5"/>
        <v>30126.436160000001</v>
      </c>
      <c r="E28" s="107">
        <f t="shared" si="5"/>
        <v>30126.436160000001</v>
      </c>
      <c r="F28" s="107">
        <f>E28/B28*100</f>
        <v>42.802839500910729</v>
      </c>
      <c r="G28" s="107">
        <f>IFERROR(E28/C28*100,0)</f>
        <v>144.13838615763325</v>
      </c>
      <c r="H28" s="107">
        <f t="shared" si="4"/>
        <v>2224.6999999999998</v>
      </c>
      <c r="I28" s="107">
        <f t="shared" si="4"/>
        <v>1357.8</v>
      </c>
      <c r="J28" s="107">
        <f>J34+J41+J47+J53+J60</f>
        <v>6477.4999999999991</v>
      </c>
      <c r="K28" s="107">
        <f t="shared" si="4"/>
        <v>4365.0499999999993</v>
      </c>
      <c r="L28" s="107">
        <f t="shared" si="4"/>
        <v>6130.4</v>
      </c>
      <c r="M28" s="107">
        <f t="shared" si="4"/>
        <v>4578.21</v>
      </c>
      <c r="N28" s="107">
        <f t="shared" si="4"/>
        <v>6068.4500000000007</v>
      </c>
      <c r="O28" s="107">
        <f t="shared" si="4"/>
        <v>4402.5300000000007</v>
      </c>
      <c r="P28" s="107">
        <f t="shared" si="4"/>
        <v>7379.28</v>
      </c>
      <c r="Q28" s="107">
        <f t="shared" si="4"/>
        <v>7537.6461599999993</v>
      </c>
      <c r="R28" s="107">
        <f t="shared" si="4"/>
        <v>6889.85</v>
      </c>
      <c r="S28" s="107">
        <f t="shared" si="4"/>
        <v>7885.2000000000007</v>
      </c>
      <c r="T28" s="107">
        <f t="shared" si="4"/>
        <v>8047.25</v>
      </c>
      <c r="U28" s="107">
        <f t="shared" si="4"/>
        <v>0</v>
      </c>
      <c r="V28" s="107">
        <f t="shared" si="4"/>
        <v>4963.05</v>
      </c>
      <c r="W28" s="107">
        <f t="shared" si="4"/>
        <v>0</v>
      </c>
      <c r="X28" s="107">
        <f t="shared" si="4"/>
        <v>5345.6500000000005</v>
      </c>
      <c r="Y28" s="107">
        <f t="shared" si="4"/>
        <v>0</v>
      </c>
      <c r="Z28" s="107">
        <f t="shared" si="4"/>
        <v>4357.1500000000005</v>
      </c>
      <c r="AA28" s="107">
        <f t="shared" si="4"/>
        <v>0</v>
      </c>
      <c r="AB28" s="107">
        <f t="shared" si="4"/>
        <v>4278.99</v>
      </c>
      <c r="AC28" s="107">
        <f t="shared" si="4"/>
        <v>0</v>
      </c>
      <c r="AD28" s="107">
        <f t="shared" si="4"/>
        <v>8221.93</v>
      </c>
      <c r="AE28" s="107">
        <f t="shared" si="4"/>
        <v>0</v>
      </c>
      <c r="AF28" s="101"/>
      <c r="AG28" s="102">
        <f t="shared" si="1"/>
        <v>-2.0008883439004421E-11</v>
      </c>
    </row>
    <row r="29" spans="1:33" x14ac:dyDescent="0.3">
      <c r="A29" s="106" t="s">
        <v>170</v>
      </c>
      <c r="B29" s="107">
        <f>B36+B42+B48+B61+B55</f>
        <v>0</v>
      </c>
      <c r="C29" s="107">
        <f>C36+C42+C48+C55+C61</f>
        <v>0</v>
      </c>
      <c r="D29" s="107">
        <f>D36+D42+D48+D55+D61</f>
        <v>0</v>
      </c>
      <c r="E29" s="107">
        <f>E36+E42+E48+E55+E61</f>
        <v>0</v>
      </c>
      <c r="F29" s="107">
        <f>IFERROR(E29/B29*100,0)</f>
        <v>0</v>
      </c>
      <c r="G29" s="107">
        <f>IFERROR(E29/C29*100,0)</f>
        <v>0</v>
      </c>
      <c r="H29" s="107">
        <f t="shared" si="4"/>
        <v>0</v>
      </c>
      <c r="I29" s="107">
        <f t="shared" si="4"/>
        <v>0</v>
      </c>
      <c r="J29" s="107">
        <f t="shared" si="4"/>
        <v>0</v>
      </c>
      <c r="K29" s="107">
        <f t="shared" si="4"/>
        <v>0</v>
      </c>
      <c r="L29" s="107">
        <f>L36+L42+L48+L61+L55</f>
        <v>0</v>
      </c>
      <c r="M29" s="107">
        <f>M36+M42+M48+M61+M55</f>
        <v>0</v>
      </c>
      <c r="N29" s="107">
        <f>N36+N42+N48+N61+N55</f>
        <v>0</v>
      </c>
      <c r="O29" s="107">
        <f>O36+O42+O48+O61+O55</f>
        <v>0</v>
      </c>
      <c r="P29" s="107">
        <f>P36+P42+P48+P61+P55</f>
        <v>0</v>
      </c>
      <c r="Q29" s="107">
        <f t="shared" si="4"/>
        <v>11.2</v>
      </c>
      <c r="R29" s="107">
        <f>R36+R42+R48+R61+R55</f>
        <v>0</v>
      </c>
      <c r="S29" s="107">
        <f t="shared" si="4"/>
        <v>42</v>
      </c>
      <c r="T29" s="107">
        <f>T36+T42+T48+T61+T55</f>
        <v>0</v>
      </c>
      <c r="U29" s="107">
        <f t="shared" si="4"/>
        <v>0</v>
      </c>
      <c r="V29" s="107">
        <f>V36+V42+V48+V61+V55</f>
        <v>0</v>
      </c>
      <c r="W29" s="107">
        <f t="shared" si="4"/>
        <v>0</v>
      </c>
      <c r="X29" s="107">
        <f>X36+X42+X48+X61+X55</f>
        <v>0</v>
      </c>
      <c r="Y29" s="107">
        <f t="shared" si="4"/>
        <v>0</v>
      </c>
      <c r="Z29" s="107">
        <f>Z36+Z42+Z48+Z61+Z55</f>
        <v>0</v>
      </c>
      <c r="AA29" s="107">
        <f t="shared" si="4"/>
        <v>0</v>
      </c>
      <c r="AB29" s="107">
        <f>AB36+AB42+AB48+AB55+AB61</f>
        <v>0</v>
      </c>
      <c r="AC29" s="107">
        <f t="shared" si="4"/>
        <v>0</v>
      </c>
      <c r="AD29" s="107">
        <f>AD36+AD42+AD48+AD55+AD61</f>
        <v>0</v>
      </c>
      <c r="AE29" s="107">
        <f t="shared" si="4"/>
        <v>0</v>
      </c>
      <c r="AF29" s="101"/>
      <c r="AG29" s="102">
        <f t="shared" si="1"/>
        <v>0</v>
      </c>
    </row>
    <row r="30" spans="1:33" ht="157.5" x14ac:dyDescent="0.3">
      <c r="A30" s="108" t="s">
        <v>173</v>
      </c>
      <c r="B30" s="109"/>
      <c r="C30" s="110"/>
      <c r="D30" s="110"/>
      <c r="E30" s="110"/>
      <c r="F30" s="110"/>
      <c r="G30" s="110"/>
      <c r="H30" s="111"/>
      <c r="I30" s="111"/>
      <c r="J30" s="111"/>
      <c r="K30" s="111"/>
      <c r="L30" s="111"/>
      <c r="M30" s="111"/>
      <c r="N30" s="111"/>
      <c r="O30" s="111"/>
      <c r="P30" s="111"/>
      <c r="Q30" s="111"/>
      <c r="R30" s="111"/>
      <c r="S30" s="111"/>
      <c r="T30" s="111"/>
      <c r="U30" s="111"/>
      <c r="V30" s="111"/>
      <c r="W30" s="111"/>
      <c r="X30" s="111"/>
      <c r="Y30" s="111"/>
      <c r="Z30" s="111"/>
      <c r="AA30" s="111"/>
      <c r="AB30" s="111"/>
      <c r="AC30" s="111"/>
      <c r="AD30" s="111"/>
      <c r="AE30" s="111"/>
      <c r="AF30" s="851" t="s">
        <v>663</v>
      </c>
      <c r="AG30" s="102">
        <f t="shared" si="1"/>
        <v>0</v>
      </c>
    </row>
    <row r="31" spans="1:33" x14ac:dyDescent="0.3">
      <c r="A31" s="112" t="s">
        <v>31</v>
      </c>
      <c r="B31" s="805">
        <f>B33+B34+B32+B36</f>
        <v>982.6</v>
      </c>
      <c r="C31" s="805">
        <f>C33+C34+C32+C36</f>
        <v>450</v>
      </c>
      <c r="D31" s="810">
        <f>D33+D34+D32+D36</f>
        <v>982.78000000000009</v>
      </c>
      <c r="E31" s="805">
        <f>E33+E34+E32+E36</f>
        <v>982.78000000000009</v>
      </c>
      <c r="F31" s="113">
        <f>IFERROR(E31/B31*100,0)</f>
        <v>100.01831874618361</v>
      </c>
      <c r="G31" s="113">
        <f>IFERROR(E31/C31*100,0)</f>
        <v>218.39555555555557</v>
      </c>
      <c r="H31" s="113">
        <f t="shared" ref="H31:AE31" si="6">H33+H34+H32+H36</f>
        <v>0</v>
      </c>
      <c r="I31" s="113">
        <f t="shared" si="6"/>
        <v>0</v>
      </c>
      <c r="J31" s="113">
        <f t="shared" si="6"/>
        <v>200</v>
      </c>
      <c r="K31" s="113">
        <f t="shared" si="6"/>
        <v>197.2</v>
      </c>
      <c r="L31" s="113">
        <f t="shared" si="6"/>
        <v>250</v>
      </c>
      <c r="M31" s="113">
        <f t="shared" si="6"/>
        <v>250</v>
      </c>
      <c r="N31" s="113">
        <f t="shared" si="6"/>
        <v>0</v>
      </c>
      <c r="O31" s="113">
        <f t="shared" si="6"/>
        <v>2.98</v>
      </c>
      <c r="P31" s="113">
        <f t="shared" si="6"/>
        <v>0</v>
      </c>
      <c r="Q31" s="113">
        <f t="shared" si="6"/>
        <v>0</v>
      </c>
      <c r="R31" s="113">
        <f t="shared" si="6"/>
        <v>532.6</v>
      </c>
      <c r="S31" s="113">
        <f t="shared" si="6"/>
        <v>532.6</v>
      </c>
      <c r="T31" s="113">
        <f t="shared" si="6"/>
        <v>0</v>
      </c>
      <c r="U31" s="113">
        <f t="shared" si="6"/>
        <v>0</v>
      </c>
      <c r="V31" s="113">
        <f t="shared" si="6"/>
        <v>0</v>
      </c>
      <c r="W31" s="113">
        <f t="shared" si="6"/>
        <v>0</v>
      </c>
      <c r="X31" s="113">
        <f t="shared" si="6"/>
        <v>0</v>
      </c>
      <c r="Y31" s="113">
        <f t="shared" si="6"/>
        <v>0</v>
      </c>
      <c r="Z31" s="113">
        <f t="shared" si="6"/>
        <v>0</v>
      </c>
      <c r="AA31" s="113">
        <f t="shared" si="6"/>
        <v>0</v>
      </c>
      <c r="AB31" s="113">
        <f t="shared" si="6"/>
        <v>0</v>
      </c>
      <c r="AC31" s="113">
        <f t="shared" si="6"/>
        <v>0</v>
      </c>
      <c r="AD31" s="113">
        <f t="shared" si="6"/>
        <v>0</v>
      </c>
      <c r="AE31" s="113">
        <f t="shared" si="6"/>
        <v>0</v>
      </c>
      <c r="AF31" s="29"/>
      <c r="AG31" s="102">
        <f t="shared" si="1"/>
        <v>0</v>
      </c>
    </row>
    <row r="32" spans="1:33" x14ac:dyDescent="0.3">
      <c r="A32" s="115" t="s">
        <v>169</v>
      </c>
      <c r="B32" s="807">
        <f>J32+L32+N32+P32+R32+T32+V32+X32+Z32+AB32+AD32+H32</f>
        <v>105.21</v>
      </c>
      <c r="C32" s="808">
        <f>SUM(H32)</f>
        <v>0</v>
      </c>
      <c r="D32" s="809">
        <f>E32</f>
        <v>105.21</v>
      </c>
      <c r="E32" s="808">
        <f>SUM(I32,K32,M32,O32,Q32,S32,U32,W32,Y32,AA32,AC32,AE32)</f>
        <v>105.21</v>
      </c>
      <c r="F32" s="116">
        <f>IFERROR(E32/B32*100,0)</f>
        <v>100</v>
      </c>
      <c r="G32" s="116">
        <f>IFERROR(E32/C32*100,0)</f>
        <v>0</v>
      </c>
      <c r="H32" s="111"/>
      <c r="I32" s="111"/>
      <c r="J32" s="111"/>
      <c r="K32" s="111"/>
      <c r="L32" s="111"/>
      <c r="M32" s="111"/>
      <c r="N32" s="111"/>
      <c r="O32" s="111"/>
      <c r="P32" s="111"/>
      <c r="Q32" s="111">
        <v>0</v>
      </c>
      <c r="R32" s="111">
        <v>105.21</v>
      </c>
      <c r="S32" s="111">
        <v>105.21</v>
      </c>
      <c r="T32" s="111"/>
      <c r="U32" s="111"/>
      <c r="V32" s="111"/>
      <c r="W32" s="111"/>
      <c r="X32" s="111"/>
      <c r="Y32" s="111"/>
      <c r="Z32" s="111"/>
      <c r="AA32" s="111"/>
      <c r="AB32" s="111"/>
      <c r="AC32" s="111"/>
      <c r="AD32" s="111"/>
      <c r="AE32" s="111"/>
      <c r="AF32" s="29"/>
      <c r="AG32" s="102">
        <f t="shared" si="1"/>
        <v>0</v>
      </c>
    </row>
    <row r="33" spans="1:33" x14ac:dyDescent="0.3">
      <c r="A33" s="626" t="s">
        <v>32</v>
      </c>
      <c r="B33" s="807">
        <f>J33+L33+N33+P33+R33+T33+V33+X33+Z33+AB33+AD33+H33</f>
        <v>128.59</v>
      </c>
      <c r="C33" s="808">
        <f>SUM(H33)</f>
        <v>0</v>
      </c>
      <c r="D33" s="809">
        <f>E33</f>
        <v>128.59</v>
      </c>
      <c r="E33" s="808">
        <f>SUM(I33,K33,M33,O33,Q33,S33,U33,W33,Y33,AA33,AC33,AE33)</f>
        <v>128.59</v>
      </c>
      <c r="F33" s="116">
        <f>IFERROR(E33/B33*100,0)</f>
        <v>100</v>
      </c>
      <c r="G33" s="116">
        <f>IFERROR(E33/C33*100,0)</f>
        <v>0</v>
      </c>
      <c r="H33" s="111"/>
      <c r="I33" s="111"/>
      <c r="J33" s="111"/>
      <c r="K33" s="111"/>
      <c r="L33" s="111"/>
      <c r="M33" s="111"/>
      <c r="N33" s="111"/>
      <c r="O33" s="111"/>
      <c r="P33" s="111"/>
      <c r="Q33" s="111">
        <v>0</v>
      </c>
      <c r="R33" s="111">
        <v>128.59</v>
      </c>
      <c r="S33" s="111">
        <v>128.59</v>
      </c>
      <c r="T33" s="111"/>
      <c r="U33" s="111"/>
      <c r="V33" s="111"/>
      <c r="W33" s="111"/>
      <c r="X33" s="111"/>
      <c r="Y33" s="111"/>
      <c r="Z33" s="111"/>
      <c r="AA33" s="111"/>
      <c r="AB33" s="111"/>
      <c r="AC33" s="111"/>
      <c r="AD33" s="111"/>
      <c r="AE33" s="111"/>
      <c r="AF33" s="29"/>
      <c r="AG33" s="102">
        <f t="shared" si="1"/>
        <v>0</v>
      </c>
    </row>
    <row r="34" spans="1:33" x14ac:dyDescent="0.3">
      <c r="A34" s="115" t="s">
        <v>33</v>
      </c>
      <c r="B34" s="807">
        <f>J34+L34+N34+P34+R34+T34+V34+X34+Z34+AB34+AD34+H34</f>
        <v>748.8</v>
      </c>
      <c r="C34" s="808">
        <f>SUM(H34+J34+L34+N34)</f>
        <v>450</v>
      </c>
      <c r="D34" s="809">
        <f>E34</f>
        <v>748.98</v>
      </c>
      <c r="E34" s="808">
        <f>SUM(I34,K34,M34,O34,Q34,S34,U34,W34,Y34,AA34,AC34,AE34)</f>
        <v>748.98</v>
      </c>
      <c r="F34" s="116">
        <f>IFERROR(E34/B34*100,0)</f>
        <v>100.02403846153847</v>
      </c>
      <c r="G34" s="116">
        <f>IFERROR(E34/C34*100,0)</f>
        <v>166.44</v>
      </c>
      <c r="H34" s="111">
        <v>0</v>
      </c>
      <c r="I34" s="111">
        <v>0</v>
      </c>
      <c r="J34" s="111">
        <v>200</v>
      </c>
      <c r="K34" s="111">
        <v>197.2</v>
      </c>
      <c r="L34" s="111">
        <v>250</v>
      </c>
      <c r="M34" s="111">
        <v>250</v>
      </c>
      <c r="N34" s="111">
        <v>0</v>
      </c>
      <c r="O34" s="111">
        <v>2.98</v>
      </c>
      <c r="P34" s="111"/>
      <c r="Q34" s="111">
        <v>0</v>
      </c>
      <c r="R34" s="111">
        <v>298.8</v>
      </c>
      <c r="S34" s="111">
        <v>298.8</v>
      </c>
      <c r="T34" s="111"/>
      <c r="U34" s="111"/>
      <c r="V34" s="111"/>
      <c r="W34" s="111"/>
      <c r="X34" s="111"/>
      <c r="Y34" s="111"/>
      <c r="Z34" s="111"/>
      <c r="AA34" s="111"/>
      <c r="AB34" s="111"/>
      <c r="AC34" s="111"/>
      <c r="AD34" s="111"/>
      <c r="AE34" s="111"/>
      <c r="AF34" s="29"/>
      <c r="AG34" s="102">
        <f t="shared" si="1"/>
        <v>-5.6843418860808015E-14</v>
      </c>
    </row>
    <row r="35" spans="1:33" ht="37.5" x14ac:dyDescent="0.3">
      <c r="A35" s="837" t="s">
        <v>174</v>
      </c>
      <c r="B35" s="119">
        <f>P35</f>
        <v>0</v>
      </c>
      <c r="C35" s="119">
        <f>SUM(H35)</f>
        <v>0</v>
      </c>
      <c r="D35" s="119">
        <f>E35</f>
        <v>41.3</v>
      </c>
      <c r="E35" s="119">
        <f>SUM(I35,K35,M35,O35,Q35,S35,U35,W35,Y35,AA35,AC35,AE35)</f>
        <v>41.3</v>
      </c>
      <c r="F35" s="119">
        <f>IFERROR(E35/B35*100,0)</f>
        <v>0</v>
      </c>
      <c r="G35" s="119">
        <f>IFERROR(E35/C35*100,0)</f>
        <v>0</v>
      </c>
      <c r="H35" s="119"/>
      <c r="I35" s="119"/>
      <c r="J35" s="119"/>
      <c r="K35" s="119"/>
      <c r="L35" s="119"/>
      <c r="M35" s="119"/>
      <c r="N35" s="119"/>
      <c r="O35" s="119"/>
      <c r="P35" s="119"/>
      <c r="Q35" s="119">
        <v>0</v>
      </c>
      <c r="R35" s="119">
        <v>41.3</v>
      </c>
      <c r="S35" s="119">
        <v>41.3</v>
      </c>
      <c r="T35" s="119"/>
      <c r="U35" s="119"/>
      <c r="V35" s="119"/>
      <c r="W35" s="119"/>
      <c r="X35" s="119"/>
      <c r="Y35" s="119"/>
      <c r="Z35" s="119"/>
      <c r="AA35" s="119"/>
      <c r="AB35" s="119"/>
      <c r="AC35" s="119"/>
      <c r="AD35" s="119"/>
      <c r="AE35" s="119"/>
      <c r="AF35" s="119"/>
      <c r="AG35" s="102">
        <f t="shared" si="1"/>
        <v>-41.3</v>
      </c>
    </row>
    <row r="36" spans="1:33" x14ac:dyDescent="0.3">
      <c r="A36" s="115" t="s">
        <v>170</v>
      </c>
      <c r="B36" s="116"/>
      <c r="C36" s="117"/>
      <c r="D36" s="118"/>
      <c r="E36" s="117"/>
      <c r="F36" s="116"/>
      <c r="G36" s="116"/>
      <c r="H36" s="111"/>
      <c r="I36" s="111"/>
      <c r="J36" s="111"/>
      <c r="K36" s="111"/>
      <c r="L36" s="111"/>
      <c r="M36" s="111"/>
      <c r="N36" s="111"/>
      <c r="O36" s="111"/>
      <c r="P36" s="111"/>
      <c r="Q36" s="111"/>
      <c r="R36" s="111"/>
      <c r="S36" s="111"/>
      <c r="T36" s="111"/>
      <c r="U36" s="111"/>
      <c r="V36" s="111"/>
      <c r="W36" s="111"/>
      <c r="X36" s="111"/>
      <c r="Y36" s="111"/>
      <c r="Z36" s="111"/>
      <c r="AA36" s="111"/>
      <c r="AB36" s="111"/>
      <c r="AC36" s="111"/>
      <c r="AD36" s="111"/>
      <c r="AE36" s="111"/>
      <c r="AF36" s="29"/>
      <c r="AG36" s="102">
        <f t="shared" si="1"/>
        <v>0</v>
      </c>
    </row>
    <row r="37" spans="1:33" ht="173.25" x14ac:dyDescent="0.3">
      <c r="A37" s="120" t="s">
        <v>175</v>
      </c>
      <c r="B37" s="805"/>
      <c r="C37" s="806"/>
      <c r="D37" s="806"/>
      <c r="E37" s="806"/>
      <c r="F37" s="121"/>
      <c r="G37" s="121"/>
      <c r="H37" s="111"/>
      <c r="I37" s="111"/>
      <c r="J37" s="111"/>
      <c r="K37" s="111"/>
      <c r="L37" s="111"/>
      <c r="M37" s="111"/>
      <c r="N37" s="111"/>
      <c r="O37" s="111"/>
      <c r="P37" s="111"/>
      <c r="Q37" s="111"/>
      <c r="R37" s="111"/>
      <c r="S37" s="111"/>
      <c r="T37" s="111"/>
      <c r="U37" s="111"/>
      <c r="V37" s="111"/>
      <c r="W37" s="111"/>
      <c r="X37" s="111"/>
      <c r="Y37" s="111"/>
      <c r="Z37" s="111"/>
      <c r="AA37" s="111"/>
      <c r="AB37" s="111"/>
      <c r="AC37" s="111"/>
      <c r="AD37" s="111"/>
      <c r="AE37" s="111"/>
      <c r="AF37" s="731" t="s">
        <v>514</v>
      </c>
      <c r="AG37" s="102">
        <f t="shared" si="1"/>
        <v>0</v>
      </c>
    </row>
    <row r="38" spans="1:33" x14ac:dyDescent="0.3">
      <c r="A38" s="112" t="s">
        <v>31</v>
      </c>
      <c r="B38" s="805">
        <f>B40+B41+B39+B42</f>
        <v>144.60000000000002</v>
      </c>
      <c r="C38" s="805">
        <f>C40+C41+C39+C42</f>
        <v>144.60000000000002</v>
      </c>
      <c r="D38" s="805">
        <f>D40+D41+D39+D42</f>
        <v>144.60000000000002</v>
      </c>
      <c r="E38" s="805">
        <f>E40+E41+E39+E42</f>
        <v>144.60000000000002</v>
      </c>
      <c r="F38" s="113">
        <f>IFERROR(E38/B38*100,0)</f>
        <v>100</v>
      </c>
      <c r="G38" s="113">
        <f>IFERROR(E38/C38*100,0)</f>
        <v>100</v>
      </c>
      <c r="H38" s="113">
        <f t="shared" ref="H38:AE38" si="7">H40+H41+H39+H42</f>
        <v>0</v>
      </c>
      <c r="I38" s="113">
        <f t="shared" si="7"/>
        <v>0</v>
      </c>
      <c r="J38" s="113">
        <f t="shared" si="7"/>
        <v>44.45</v>
      </c>
      <c r="K38" s="113">
        <f t="shared" si="7"/>
        <v>44.45</v>
      </c>
      <c r="L38" s="113">
        <f t="shared" si="7"/>
        <v>100.15</v>
      </c>
      <c r="M38" s="113">
        <f t="shared" si="7"/>
        <v>100.15</v>
      </c>
      <c r="N38" s="113">
        <f t="shared" si="7"/>
        <v>0</v>
      </c>
      <c r="O38" s="113">
        <f t="shared" si="7"/>
        <v>0</v>
      </c>
      <c r="P38" s="113">
        <f t="shared" si="7"/>
        <v>0</v>
      </c>
      <c r="Q38" s="113">
        <f t="shared" si="7"/>
        <v>0</v>
      </c>
      <c r="R38" s="113">
        <f t="shared" si="7"/>
        <v>0</v>
      </c>
      <c r="S38" s="113">
        <f t="shared" si="7"/>
        <v>0</v>
      </c>
      <c r="T38" s="113">
        <f t="shared" si="7"/>
        <v>0</v>
      </c>
      <c r="U38" s="113">
        <f t="shared" si="7"/>
        <v>0</v>
      </c>
      <c r="V38" s="113">
        <f t="shared" si="7"/>
        <v>0</v>
      </c>
      <c r="W38" s="113">
        <f t="shared" si="7"/>
        <v>0</v>
      </c>
      <c r="X38" s="113">
        <f t="shared" si="7"/>
        <v>0</v>
      </c>
      <c r="Y38" s="113">
        <f t="shared" si="7"/>
        <v>0</v>
      </c>
      <c r="Z38" s="113">
        <f t="shared" si="7"/>
        <v>0</v>
      </c>
      <c r="AA38" s="113">
        <f t="shared" si="7"/>
        <v>0</v>
      </c>
      <c r="AB38" s="113">
        <f t="shared" si="7"/>
        <v>0</v>
      </c>
      <c r="AC38" s="113">
        <f t="shared" si="7"/>
        <v>0</v>
      </c>
      <c r="AD38" s="113">
        <f t="shared" si="7"/>
        <v>0</v>
      </c>
      <c r="AE38" s="113">
        <f t="shared" si="7"/>
        <v>0</v>
      </c>
      <c r="AF38" s="29"/>
      <c r="AG38" s="102">
        <f t="shared" si="1"/>
        <v>1.4210854715202004E-14</v>
      </c>
    </row>
    <row r="39" spans="1:33" x14ac:dyDescent="0.3">
      <c r="A39" s="115" t="s">
        <v>169</v>
      </c>
      <c r="B39" s="807"/>
      <c r="C39" s="808"/>
      <c r="D39" s="809"/>
      <c r="E39" s="808"/>
      <c r="F39" s="116"/>
      <c r="G39" s="116"/>
      <c r="H39" s="111"/>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1"/>
      <c r="AF39" s="29"/>
      <c r="AG39" s="102">
        <f t="shared" si="1"/>
        <v>0</v>
      </c>
    </row>
    <row r="40" spans="1:33" x14ac:dyDescent="0.3">
      <c r="A40" s="115" t="s">
        <v>32</v>
      </c>
      <c r="B40" s="807"/>
      <c r="C40" s="808"/>
      <c r="D40" s="809"/>
      <c r="E40" s="808"/>
      <c r="F40" s="116"/>
      <c r="G40" s="116"/>
      <c r="H40" s="111"/>
      <c r="I40" s="111"/>
      <c r="J40" s="111"/>
      <c r="K40" s="111"/>
      <c r="L40" s="111"/>
      <c r="M40" s="111"/>
      <c r="N40" s="111"/>
      <c r="O40" s="111"/>
      <c r="P40" s="111"/>
      <c r="Q40" s="111"/>
      <c r="R40" s="111"/>
      <c r="S40" s="111"/>
      <c r="T40" s="111"/>
      <c r="U40" s="111"/>
      <c r="V40" s="111"/>
      <c r="W40" s="111"/>
      <c r="X40" s="111"/>
      <c r="Y40" s="111"/>
      <c r="Z40" s="111"/>
      <c r="AA40" s="111"/>
      <c r="AB40" s="111"/>
      <c r="AC40" s="111"/>
      <c r="AD40" s="111"/>
      <c r="AE40" s="111"/>
      <c r="AF40" s="29"/>
      <c r="AG40" s="102">
        <f t="shared" si="1"/>
        <v>0</v>
      </c>
    </row>
    <row r="41" spans="1:33" x14ac:dyDescent="0.3">
      <c r="A41" s="115" t="s">
        <v>33</v>
      </c>
      <c r="B41" s="807">
        <f>J41+L41+N41+P41+R41+T41+V41+X41+Z41+AB41+AD41+H41</f>
        <v>144.60000000000002</v>
      </c>
      <c r="C41" s="808">
        <f>SUM(H41+N41+J41+L41)</f>
        <v>144.60000000000002</v>
      </c>
      <c r="D41" s="809">
        <f>E41</f>
        <v>144.60000000000002</v>
      </c>
      <c r="E41" s="808">
        <f>SUM(I41,K41,M41,O41,Q41,S41,U41,W41,Y41,AA41,AC41,AE41)</f>
        <v>144.60000000000002</v>
      </c>
      <c r="F41" s="116">
        <f>IFERROR(E41/B41*100,0)</f>
        <v>100</v>
      </c>
      <c r="G41" s="116">
        <f>IFERROR(E41/C41*100,0)</f>
        <v>100</v>
      </c>
      <c r="H41" s="111">
        <v>0</v>
      </c>
      <c r="I41" s="111">
        <v>0</v>
      </c>
      <c r="J41" s="111">
        <v>44.45</v>
      </c>
      <c r="K41" s="111">
        <v>44.45</v>
      </c>
      <c r="L41" s="111">
        <v>100.15</v>
      </c>
      <c r="M41" s="111">
        <v>100.15</v>
      </c>
      <c r="N41" s="111">
        <v>0</v>
      </c>
      <c r="O41" s="111">
        <v>0</v>
      </c>
      <c r="P41" s="111">
        <v>0</v>
      </c>
      <c r="Q41" s="111">
        <v>0</v>
      </c>
      <c r="R41" s="111">
        <v>0</v>
      </c>
      <c r="S41" s="111">
        <v>0</v>
      </c>
      <c r="T41" s="111"/>
      <c r="U41" s="111"/>
      <c r="V41" s="111"/>
      <c r="W41" s="111"/>
      <c r="X41" s="111"/>
      <c r="Y41" s="111"/>
      <c r="Z41" s="111"/>
      <c r="AA41" s="111"/>
      <c r="AB41" s="111"/>
      <c r="AC41" s="111"/>
      <c r="AD41" s="111"/>
      <c r="AE41" s="111"/>
      <c r="AF41" s="29"/>
      <c r="AG41" s="102">
        <f t="shared" si="1"/>
        <v>1.4210854715202004E-14</v>
      </c>
    </row>
    <row r="42" spans="1:33" x14ac:dyDescent="0.3">
      <c r="A42" s="115" t="s">
        <v>170</v>
      </c>
      <c r="B42" s="807"/>
      <c r="C42" s="808"/>
      <c r="D42" s="809"/>
      <c r="E42" s="808"/>
      <c r="F42" s="116"/>
      <c r="G42" s="116"/>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c r="AE42" s="111"/>
      <c r="AF42" s="29"/>
      <c r="AG42" s="102">
        <f t="shared" si="1"/>
        <v>0</v>
      </c>
    </row>
    <row r="43" spans="1:33" ht="409.5" x14ac:dyDescent="0.3">
      <c r="A43" s="122" t="s">
        <v>176</v>
      </c>
      <c r="B43" s="805"/>
      <c r="C43" s="806"/>
      <c r="D43" s="806"/>
      <c r="E43" s="806"/>
      <c r="F43" s="121"/>
      <c r="G43" s="121"/>
      <c r="H43" s="111"/>
      <c r="I43" s="111"/>
      <c r="J43" s="111"/>
      <c r="K43" s="111"/>
      <c r="L43" s="111"/>
      <c r="M43" s="111"/>
      <c r="N43" s="111"/>
      <c r="O43" s="111"/>
      <c r="P43" s="111"/>
      <c r="Q43" s="111"/>
      <c r="R43" s="111"/>
      <c r="S43" s="111"/>
      <c r="T43" s="111"/>
      <c r="U43" s="111"/>
      <c r="V43" s="111"/>
      <c r="W43" s="111"/>
      <c r="X43" s="111"/>
      <c r="Y43" s="111"/>
      <c r="Z43" s="111"/>
      <c r="AA43" s="111"/>
      <c r="AB43" s="111"/>
      <c r="AC43" s="111"/>
      <c r="AD43" s="111"/>
      <c r="AE43" s="111"/>
      <c r="AF43" s="730" t="s">
        <v>664</v>
      </c>
      <c r="AG43" s="102">
        <f t="shared" si="1"/>
        <v>0</v>
      </c>
    </row>
    <row r="44" spans="1:33" x14ac:dyDescent="0.3">
      <c r="A44" s="112" t="s">
        <v>31</v>
      </c>
      <c r="B44" s="805">
        <f>B46+B47+B45+B48</f>
        <v>69421.7</v>
      </c>
      <c r="C44" s="805">
        <f>C46+C47+C45+C48</f>
        <v>20280.099999999999</v>
      </c>
      <c r="D44" s="113">
        <f>D46+D47+D45+D48</f>
        <v>29186.476159999998</v>
      </c>
      <c r="E44" s="113">
        <f>E46+E47+E45+E48</f>
        <v>29186.476159999998</v>
      </c>
      <c r="F44" s="113">
        <f>IFERROR(E44/B44*100,0)</f>
        <v>42.042295362977285</v>
      </c>
      <c r="G44" s="113">
        <f>IFERROR(E44/C44*100,0)</f>
        <v>143.91682565667821</v>
      </c>
      <c r="H44" s="805">
        <f t="shared" ref="H44:AE44" si="8">H46+H47+H45+H48</f>
        <v>2224.6999999999998</v>
      </c>
      <c r="I44" s="805">
        <f t="shared" si="8"/>
        <v>1357.8</v>
      </c>
      <c r="J44" s="805">
        <f t="shared" si="8"/>
        <v>6221.4</v>
      </c>
      <c r="K44" s="805">
        <f t="shared" si="8"/>
        <v>4111.75</v>
      </c>
      <c r="L44" s="805">
        <f t="shared" si="8"/>
        <v>5770</v>
      </c>
      <c r="M44" s="113">
        <f t="shared" si="8"/>
        <v>4217.8100000000004</v>
      </c>
      <c r="N44" s="113">
        <f t="shared" si="8"/>
        <v>6064</v>
      </c>
      <c r="O44" s="113">
        <f t="shared" si="8"/>
        <v>4395.1000000000004</v>
      </c>
      <c r="P44" s="113">
        <f t="shared" si="8"/>
        <v>7360.8</v>
      </c>
      <c r="Q44" s="113">
        <f t="shared" si="8"/>
        <v>7519.1661599999998</v>
      </c>
      <c r="R44" s="113">
        <f t="shared" si="8"/>
        <v>6589.5</v>
      </c>
      <c r="S44" s="113">
        <f t="shared" si="8"/>
        <v>7584.85</v>
      </c>
      <c r="T44" s="113">
        <f t="shared" si="8"/>
        <v>8045.7</v>
      </c>
      <c r="U44" s="113">
        <f t="shared" si="8"/>
        <v>0</v>
      </c>
      <c r="V44" s="113">
        <f t="shared" si="8"/>
        <v>4961.5</v>
      </c>
      <c r="W44" s="113">
        <f t="shared" si="8"/>
        <v>0</v>
      </c>
      <c r="X44" s="113">
        <f t="shared" si="8"/>
        <v>5331.5</v>
      </c>
      <c r="Y44" s="113">
        <f t="shared" si="8"/>
        <v>0</v>
      </c>
      <c r="Z44" s="113">
        <f t="shared" si="8"/>
        <v>4355.6000000000004</v>
      </c>
      <c r="AA44" s="113">
        <f t="shared" si="8"/>
        <v>0</v>
      </c>
      <c r="AB44" s="113">
        <f t="shared" si="8"/>
        <v>4277.4399999999996</v>
      </c>
      <c r="AC44" s="113">
        <f t="shared" si="8"/>
        <v>0</v>
      </c>
      <c r="AD44" s="113">
        <f t="shared" si="8"/>
        <v>8219.56</v>
      </c>
      <c r="AE44" s="113">
        <f t="shared" si="8"/>
        <v>0</v>
      </c>
      <c r="AF44" s="29"/>
      <c r="AG44" s="102">
        <f t="shared" si="1"/>
        <v>0</v>
      </c>
    </row>
    <row r="45" spans="1:33" x14ac:dyDescent="0.3">
      <c r="A45" s="115" t="s">
        <v>169</v>
      </c>
      <c r="B45" s="807"/>
      <c r="C45" s="808"/>
      <c r="D45" s="118"/>
      <c r="E45" s="117"/>
      <c r="F45" s="116"/>
      <c r="G45" s="116"/>
      <c r="H45" s="111"/>
      <c r="I45" s="111"/>
      <c r="J45" s="111"/>
      <c r="K45" s="111"/>
      <c r="L45" s="111"/>
      <c r="M45" s="111"/>
      <c r="N45" s="111"/>
      <c r="O45" s="111"/>
      <c r="P45" s="111"/>
      <c r="Q45" s="111"/>
      <c r="R45" s="111"/>
      <c r="S45" s="111"/>
      <c r="T45" s="111"/>
      <c r="U45" s="111"/>
      <c r="V45" s="111"/>
      <c r="W45" s="111"/>
      <c r="X45" s="111"/>
      <c r="Y45" s="111"/>
      <c r="Z45" s="111"/>
      <c r="AA45" s="111"/>
      <c r="AB45" s="111"/>
      <c r="AC45" s="111"/>
      <c r="AD45" s="111"/>
      <c r="AE45" s="111"/>
      <c r="AF45" s="29"/>
      <c r="AG45" s="102">
        <f t="shared" si="1"/>
        <v>0</v>
      </c>
    </row>
    <row r="46" spans="1:33" x14ac:dyDescent="0.3">
      <c r="A46" s="115" t="s">
        <v>32</v>
      </c>
      <c r="B46" s="807"/>
      <c r="C46" s="808"/>
      <c r="D46" s="118"/>
      <c r="E46" s="117"/>
      <c r="F46" s="116"/>
      <c r="G46" s="116"/>
      <c r="H46" s="111"/>
      <c r="I46" s="111"/>
      <c r="J46" s="111"/>
      <c r="K46" s="111"/>
      <c r="L46" s="111"/>
      <c r="M46" s="111"/>
      <c r="N46" s="111"/>
      <c r="O46" s="111"/>
      <c r="P46" s="111"/>
      <c r="Q46" s="111"/>
      <c r="R46" s="111"/>
      <c r="S46" s="111"/>
      <c r="T46" s="111"/>
      <c r="U46" s="111"/>
      <c r="V46" s="111"/>
      <c r="W46" s="111"/>
      <c r="X46" s="111"/>
      <c r="Y46" s="111"/>
      <c r="Z46" s="111"/>
      <c r="AA46" s="111"/>
      <c r="AB46" s="111"/>
      <c r="AC46" s="111"/>
      <c r="AD46" s="111"/>
      <c r="AE46" s="111"/>
      <c r="AF46" s="29"/>
      <c r="AG46" s="102">
        <f t="shared" si="1"/>
        <v>0</v>
      </c>
    </row>
    <row r="47" spans="1:33" x14ac:dyDescent="0.3">
      <c r="A47" s="115" t="s">
        <v>33</v>
      </c>
      <c r="B47" s="807">
        <f>J47+L47+N47+P47+R47+T47+V47+X47+Z47+AB47+AD47+H47</f>
        <v>69421.7</v>
      </c>
      <c r="C47" s="808">
        <f>SUM(H47+J47+L47+N47)</f>
        <v>20280.099999999999</v>
      </c>
      <c r="D47" s="118">
        <f>E47</f>
        <v>29186.476159999998</v>
      </c>
      <c r="E47" s="117">
        <f>SUM(I47,K47,M47,O47,Q47,S47,U47,W47,Y47,AA47,AC47,AE47)</f>
        <v>29186.476159999998</v>
      </c>
      <c r="F47" s="116">
        <f>IFERROR(E47/B47*100,0)</f>
        <v>42.042295362977285</v>
      </c>
      <c r="G47" s="116">
        <f>IFERROR(E47/C47*100,0)</f>
        <v>143.91682565667821</v>
      </c>
      <c r="H47" s="111">
        <v>2224.6999999999998</v>
      </c>
      <c r="I47" s="111">
        <v>1357.8</v>
      </c>
      <c r="J47" s="111">
        <v>6221.4</v>
      </c>
      <c r="K47" s="111">
        <v>4111.75</v>
      </c>
      <c r="L47" s="111">
        <v>5770</v>
      </c>
      <c r="M47" s="111">
        <v>4217.8100000000004</v>
      </c>
      <c r="N47" s="111">
        <v>6064</v>
      </c>
      <c r="O47" s="111">
        <v>4395.1000000000004</v>
      </c>
      <c r="P47" s="520">
        <f>6884+476.8</f>
        <v>7360.8</v>
      </c>
      <c r="Q47" s="111">
        <v>7519.1661599999998</v>
      </c>
      <c r="R47" s="111">
        <v>6589.5</v>
      </c>
      <c r="S47" s="111">
        <v>7584.85</v>
      </c>
      <c r="T47" s="111">
        <v>8045.7</v>
      </c>
      <c r="U47" s="111"/>
      <c r="V47" s="111">
        <v>4961.5</v>
      </c>
      <c r="W47" s="111"/>
      <c r="X47" s="111">
        <v>5331.5</v>
      </c>
      <c r="Y47" s="111"/>
      <c r="Z47" s="111">
        <v>4355.6000000000004</v>
      </c>
      <c r="AA47" s="111"/>
      <c r="AB47" s="111">
        <v>4277.4399999999996</v>
      </c>
      <c r="AC47" s="111"/>
      <c r="AD47" s="111">
        <v>8219.56</v>
      </c>
      <c r="AE47" s="111"/>
      <c r="AF47" s="29"/>
      <c r="AG47" s="102">
        <f t="shared" si="1"/>
        <v>0</v>
      </c>
    </row>
    <row r="48" spans="1:33" x14ac:dyDescent="0.3">
      <c r="A48" s="115" t="s">
        <v>170</v>
      </c>
      <c r="B48" s="116"/>
      <c r="C48" s="117"/>
      <c r="D48" s="118"/>
      <c r="E48" s="117"/>
      <c r="F48" s="116"/>
      <c r="G48" s="116"/>
      <c r="H48" s="111"/>
      <c r="I48" s="111"/>
      <c r="J48" s="111"/>
      <c r="K48" s="111"/>
      <c r="L48" s="111"/>
      <c r="M48" s="111"/>
      <c r="N48" s="111"/>
      <c r="O48" s="111"/>
      <c r="P48" s="111"/>
      <c r="Q48" s="111"/>
      <c r="R48" s="111"/>
      <c r="S48" s="111"/>
      <c r="T48" s="111"/>
      <c r="U48" s="111"/>
      <c r="V48" s="111"/>
      <c r="W48" s="111"/>
      <c r="X48" s="111"/>
      <c r="Y48" s="111"/>
      <c r="Z48" s="111"/>
      <c r="AA48" s="111"/>
      <c r="AB48" s="111"/>
      <c r="AC48" s="111"/>
      <c r="AD48" s="111"/>
      <c r="AE48" s="111"/>
      <c r="AF48" s="29"/>
      <c r="AG48" s="102">
        <f t="shared" si="1"/>
        <v>0</v>
      </c>
    </row>
    <row r="49" spans="1:33" ht="112.5" x14ac:dyDescent="0.3">
      <c r="A49" s="88" t="s">
        <v>177</v>
      </c>
      <c r="B49" s="116"/>
      <c r="C49" s="123"/>
      <c r="D49" s="123"/>
      <c r="E49" s="123"/>
      <c r="F49" s="123"/>
      <c r="G49" s="123"/>
      <c r="H49" s="111"/>
      <c r="I49" s="111"/>
      <c r="J49" s="111"/>
      <c r="K49" s="111"/>
      <c r="L49" s="111"/>
      <c r="M49" s="111"/>
      <c r="N49" s="111"/>
      <c r="O49" s="111"/>
      <c r="P49" s="111"/>
      <c r="Q49" s="111"/>
      <c r="R49" s="111"/>
      <c r="S49" s="111"/>
      <c r="T49" s="111"/>
      <c r="U49" s="111"/>
      <c r="V49" s="111"/>
      <c r="W49" s="111"/>
      <c r="X49" s="111"/>
      <c r="Y49" s="111"/>
      <c r="Z49" s="111"/>
      <c r="AA49" s="111"/>
      <c r="AB49" s="111"/>
      <c r="AC49" s="111"/>
      <c r="AD49" s="111"/>
      <c r="AE49" s="111"/>
      <c r="AF49" s="852" t="s">
        <v>667</v>
      </c>
      <c r="AG49" s="102">
        <f t="shared" si="1"/>
        <v>0</v>
      </c>
    </row>
    <row r="50" spans="1:33" ht="94.5" x14ac:dyDescent="0.3">
      <c r="A50" s="11" t="s">
        <v>31</v>
      </c>
      <c r="B50" s="805">
        <f>B52+B53+B51+B55</f>
        <v>277.7</v>
      </c>
      <c r="C50" s="805">
        <f>C52+C53+C51+C55</f>
        <v>13</v>
      </c>
      <c r="D50" s="810">
        <f>D52+D53+D51+D55</f>
        <v>117.5</v>
      </c>
      <c r="E50" s="113">
        <f>E52+E53+E51+E55</f>
        <v>117.5</v>
      </c>
      <c r="F50" s="113">
        <f>IFERROR(E50/B50*100,0)</f>
        <v>42.311847317248827</v>
      </c>
      <c r="G50" s="113">
        <f>IFERROR(E50/C50*100,0)</f>
        <v>903.84615384615381</v>
      </c>
      <c r="H50" s="113">
        <f t="shared" ref="H50:AE50" si="9">H52+H53+H51+H55</f>
        <v>0</v>
      </c>
      <c r="I50" s="113">
        <f t="shared" si="9"/>
        <v>0</v>
      </c>
      <c r="J50" s="113">
        <f t="shared" si="9"/>
        <v>0</v>
      </c>
      <c r="K50" s="113">
        <f t="shared" si="9"/>
        <v>0</v>
      </c>
      <c r="L50" s="113">
        <f t="shared" si="9"/>
        <v>9.4</v>
      </c>
      <c r="M50" s="113">
        <f t="shared" si="9"/>
        <v>9.4</v>
      </c>
      <c r="N50" s="113">
        <f t="shared" si="9"/>
        <v>12.7</v>
      </c>
      <c r="O50" s="113">
        <f t="shared" si="9"/>
        <v>12.7</v>
      </c>
      <c r="P50" s="113">
        <f t="shared" si="9"/>
        <v>82.7</v>
      </c>
      <c r="Q50" s="113">
        <f t="shared" si="9"/>
        <v>82.7</v>
      </c>
      <c r="R50" s="113">
        <f t="shared" si="9"/>
        <v>12.7</v>
      </c>
      <c r="S50" s="113" t="e">
        <f>S52+S53+S51+S55</f>
        <v>#VALUE!</v>
      </c>
      <c r="T50" s="113">
        <f t="shared" si="9"/>
        <v>12.7</v>
      </c>
      <c r="U50" s="113">
        <f t="shared" si="9"/>
        <v>0</v>
      </c>
      <c r="V50" s="113">
        <f t="shared" si="9"/>
        <v>12.7</v>
      </c>
      <c r="W50" s="113">
        <f t="shared" si="9"/>
        <v>0</v>
      </c>
      <c r="X50" s="113">
        <f t="shared" si="9"/>
        <v>96.7</v>
      </c>
      <c r="Y50" s="113">
        <f t="shared" si="9"/>
        <v>0</v>
      </c>
      <c r="Z50" s="113">
        <f t="shared" si="9"/>
        <v>12.7</v>
      </c>
      <c r="AA50" s="113">
        <f t="shared" si="9"/>
        <v>0</v>
      </c>
      <c r="AB50" s="113">
        <f t="shared" si="9"/>
        <v>12.7</v>
      </c>
      <c r="AC50" s="113">
        <f t="shared" si="9"/>
        <v>0</v>
      </c>
      <c r="AD50" s="113">
        <f t="shared" si="9"/>
        <v>12.7</v>
      </c>
      <c r="AE50" s="113">
        <f t="shared" si="9"/>
        <v>0</v>
      </c>
      <c r="AF50" s="852" t="s">
        <v>668</v>
      </c>
      <c r="AG50" s="102">
        <f t="shared" si="1"/>
        <v>6.7501559897209518E-14</v>
      </c>
    </row>
    <row r="51" spans="1:33" x14ac:dyDescent="0.3">
      <c r="A51" s="7" t="s">
        <v>169</v>
      </c>
      <c r="B51" s="807"/>
      <c r="C51" s="808"/>
      <c r="D51" s="809"/>
      <c r="E51" s="117"/>
      <c r="F51" s="116"/>
      <c r="G51" s="116"/>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29"/>
      <c r="AG51" s="102">
        <f t="shared" si="1"/>
        <v>0</v>
      </c>
    </row>
    <row r="52" spans="1:33" x14ac:dyDescent="0.3">
      <c r="A52" s="683" t="s">
        <v>32</v>
      </c>
      <c r="B52" s="807">
        <f>J52+L52+N52+P52+R52+T52+V52+X52+Z52+AB52+AD52+H52</f>
        <v>236</v>
      </c>
      <c r="C52" s="808">
        <f>SUM(H52)</f>
        <v>0</v>
      </c>
      <c r="D52" s="809">
        <f>E52</f>
        <v>92.6</v>
      </c>
      <c r="E52" s="117">
        <f>SUM(I52,K52,M52,O52,Q52,S52,U52,W52,Y52,AA52,AC52,AE52)</f>
        <v>92.6</v>
      </c>
      <c r="F52" s="116">
        <f>IFERROR(E52/B52*100,0)</f>
        <v>39.237288135593218</v>
      </c>
      <c r="G52" s="116">
        <f>IFERROR(E52/C52*100,0)</f>
        <v>0</v>
      </c>
      <c r="H52" s="111"/>
      <c r="I52" s="111"/>
      <c r="J52" s="111"/>
      <c r="K52" s="111"/>
      <c r="L52" s="111"/>
      <c r="M52" s="111"/>
      <c r="N52" s="111">
        <v>9.1</v>
      </c>
      <c r="O52" s="111">
        <v>9.1</v>
      </c>
      <c r="P52" s="111">
        <v>71.5</v>
      </c>
      <c r="Q52" s="111">
        <v>71.5</v>
      </c>
      <c r="R52" s="111">
        <v>12</v>
      </c>
      <c r="S52" s="111">
        <v>12</v>
      </c>
      <c r="T52" s="111">
        <v>12</v>
      </c>
      <c r="U52" s="111"/>
      <c r="V52" s="111">
        <v>12</v>
      </c>
      <c r="W52" s="111"/>
      <c r="X52" s="111">
        <v>83.4</v>
      </c>
      <c r="Y52" s="111"/>
      <c r="Z52" s="111">
        <v>12</v>
      </c>
      <c r="AA52" s="111"/>
      <c r="AB52" s="111">
        <v>12</v>
      </c>
      <c r="AC52" s="111"/>
      <c r="AD52" s="111">
        <v>12</v>
      </c>
      <c r="AE52" s="111"/>
      <c r="AF52" s="29"/>
      <c r="AG52" s="102">
        <f t="shared" si="1"/>
        <v>0</v>
      </c>
    </row>
    <row r="53" spans="1:33" x14ac:dyDescent="0.3">
      <c r="A53" s="7" t="s">
        <v>33</v>
      </c>
      <c r="B53" s="807">
        <f>J53+L53+N53+P53+R53+T53+V53+X53+Z53+AB53+AD53+H53</f>
        <v>41.7</v>
      </c>
      <c r="C53" s="808">
        <f>SUM(H53+J53+L53+N53)</f>
        <v>13</v>
      </c>
      <c r="D53" s="809">
        <f>E53</f>
        <v>24.9</v>
      </c>
      <c r="E53" s="117">
        <f>SUM(I53,K53,M53,O53,Q53,S53,U53,W53,Y53,AA53,AC53,AE53)</f>
        <v>24.9</v>
      </c>
      <c r="F53" s="116">
        <f>IFERROR(E53/B53*100,0)</f>
        <v>59.712230215827333</v>
      </c>
      <c r="G53" s="116">
        <f>IFERROR(E53/C53*100,0)</f>
        <v>191.53846153846152</v>
      </c>
      <c r="H53" s="111">
        <v>0</v>
      </c>
      <c r="I53" s="111">
        <v>0</v>
      </c>
      <c r="J53" s="111">
        <v>0</v>
      </c>
      <c r="K53" s="111">
        <v>0</v>
      </c>
      <c r="L53" s="111">
        <v>9.4</v>
      </c>
      <c r="M53" s="111">
        <v>9.4</v>
      </c>
      <c r="N53" s="111">
        <v>3.6</v>
      </c>
      <c r="O53" s="111">
        <v>3.6</v>
      </c>
      <c r="P53" s="111">
        <v>11.2</v>
      </c>
      <c r="Q53" s="111">
        <v>11.2</v>
      </c>
      <c r="R53" s="111">
        <v>0.7</v>
      </c>
      <c r="S53" s="111">
        <v>0.7</v>
      </c>
      <c r="T53" s="111">
        <v>0.7</v>
      </c>
      <c r="U53" s="111"/>
      <c r="V53" s="111">
        <v>0.7</v>
      </c>
      <c r="W53" s="111"/>
      <c r="X53" s="111">
        <v>13.3</v>
      </c>
      <c r="Y53" s="111"/>
      <c r="Z53" s="111">
        <v>0.7</v>
      </c>
      <c r="AA53" s="111"/>
      <c r="AB53" s="111">
        <v>0.7</v>
      </c>
      <c r="AC53" s="111"/>
      <c r="AD53" s="111">
        <v>0.7</v>
      </c>
      <c r="AE53" s="111"/>
      <c r="AF53" s="29"/>
      <c r="AG53" s="102">
        <f t="shared" si="1"/>
        <v>5.1070259132757201E-15</v>
      </c>
    </row>
    <row r="54" spans="1:33" s="61" customFormat="1" ht="37.5" x14ac:dyDescent="0.3">
      <c r="A54" s="837" t="s">
        <v>174</v>
      </c>
      <c r="B54" s="119">
        <f>J54+L54+N54+P54+R54+T54+V54+X54+Z54+AB54+AD54+H54</f>
        <v>41.7</v>
      </c>
      <c r="C54" s="119">
        <f>SUM(H54+J54+L54+N54)</f>
        <v>13</v>
      </c>
      <c r="D54" s="119">
        <f>E54</f>
        <v>24.9</v>
      </c>
      <c r="E54" s="119">
        <f>SUM(I54,K54,M54,O54,Q54,S54,U54,W54,Y54,AA54,AC54,AE54)</f>
        <v>24.9</v>
      </c>
      <c r="F54" s="119">
        <f>IFERROR(E54/B54*100,0)</f>
        <v>59.712230215827333</v>
      </c>
      <c r="G54" s="119">
        <f>IFERROR(E54/C54*100,0)</f>
        <v>191.53846153846152</v>
      </c>
      <c r="H54" s="119"/>
      <c r="I54" s="119"/>
      <c r="J54" s="119"/>
      <c r="K54" s="119"/>
      <c r="L54" s="119">
        <v>9.4</v>
      </c>
      <c r="M54" s="119">
        <v>9.4</v>
      </c>
      <c r="N54" s="119">
        <v>3.6</v>
      </c>
      <c r="O54" s="119">
        <v>3.6</v>
      </c>
      <c r="P54" s="119">
        <v>11.2</v>
      </c>
      <c r="Q54" s="119">
        <v>11.2</v>
      </c>
      <c r="R54" s="119">
        <v>0.7</v>
      </c>
      <c r="S54" s="119">
        <v>0.7</v>
      </c>
      <c r="T54" s="119">
        <v>0.7</v>
      </c>
      <c r="U54" s="119"/>
      <c r="V54" s="119">
        <v>0.7</v>
      </c>
      <c r="W54" s="119"/>
      <c r="X54" s="119">
        <v>13.3</v>
      </c>
      <c r="Y54" s="119"/>
      <c r="Z54" s="119">
        <v>0.7</v>
      </c>
      <c r="AA54" s="119"/>
      <c r="AB54" s="119">
        <v>0.7</v>
      </c>
      <c r="AC54" s="119"/>
      <c r="AD54" s="119">
        <v>0.7</v>
      </c>
      <c r="AE54" s="803"/>
      <c r="AF54" s="803"/>
      <c r="AG54" s="804">
        <f t="shared" si="1"/>
        <v>5.1070259132757201E-15</v>
      </c>
    </row>
    <row r="55" spans="1:33" x14ac:dyDescent="0.3">
      <c r="A55" s="7" t="s">
        <v>170</v>
      </c>
      <c r="B55" s="116"/>
      <c r="C55" s="117"/>
      <c r="D55" s="118"/>
      <c r="E55" s="117"/>
      <c r="F55" s="116"/>
      <c r="G55" s="116"/>
      <c r="H55" s="111"/>
      <c r="I55" s="111"/>
      <c r="J55" s="111"/>
      <c r="K55" s="111"/>
      <c r="L55" s="111"/>
      <c r="M55" s="111"/>
      <c r="N55" s="111"/>
      <c r="O55" s="111"/>
      <c r="P55" s="111"/>
      <c r="Q55" s="111"/>
      <c r="R55" s="111"/>
      <c r="S55" s="111" t="s">
        <v>656</v>
      </c>
      <c r="T55" s="111"/>
      <c r="U55" s="111"/>
      <c r="V55" s="111"/>
      <c r="W55" s="111"/>
      <c r="X55" s="111"/>
      <c r="Y55" s="111"/>
      <c r="Z55" s="111"/>
      <c r="AA55" s="111"/>
      <c r="AB55" s="111"/>
      <c r="AC55" s="111"/>
      <c r="AD55" s="111"/>
      <c r="AE55" s="111"/>
      <c r="AF55" s="29"/>
      <c r="AG55" s="102">
        <f t="shared" si="1"/>
        <v>0</v>
      </c>
    </row>
    <row r="56" spans="1:33" ht="126" x14ac:dyDescent="0.3">
      <c r="A56" s="122" t="s">
        <v>178</v>
      </c>
      <c r="B56" s="113"/>
      <c r="C56" s="121"/>
      <c r="D56" s="121"/>
      <c r="E56" s="121"/>
      <c r="F56" s="121"/>
      <c r="G56" s="121"/>
      <c r="H56" s="111"/>
      <c r="I56" s="111"/>
      <c r="J56" s="111"/>
      <c r="K56" s="111"/>
      <c r="L56" s="111"/>
      <c r="M56" s="111"/>
      <c r="N56" s="111"/>
      <c r="O56" s="111"/>
      <c r="P56" s="111"/>
      <c r="Q56" s="111"/>
      <c r="R56" s="111"/>
      <c r="S56" s="111"/>
      <c r="T56" s="111"/>
      <c r="U56" s="111"/>
      <c r="V56" s="111"/>
      <c r="W56" s="111"/>
      <c r="X56" s="111"/>
      <c r="Y56" s="111"/>
      <c r="Z56" s="111"/>
      <c r="AA56" s="111"/>
      <c r="AB56" s="111"/>
      <c r="AC56" s="111"/>
      <c r="AD56" s="111"/>
      <c r="AE56" s="111"/>
      <c r="AF56" s="852" t="s">
        <v>665</v>
      </c>
      <c r="AG56" s="102">
        <f t="shared" si="1"/>
        <v>0</v>
      </c>
    </row>
    <row r="57" spans="1:33" ht="110.25" x14ac:dyDescent="0.3">
      <c r="A57" s="112" t="s">
        <v>31</v>
      </c>
      <c r="B57" s="805">
        <f>B60+B59+B58+B61</f>
        <v>182.5</v>
      </c>
      <c r="C57" s="113">
        <f>C60+C59+C58+C61</f>
        <v>34.950000000000003</v>
      </c>
      <c r="D57" s="113">
        <f>D60+D59+D58+D61</f>
        <v>100.95</v>
      </c>
      <c r="E57" s="113">
        <f>E60+E59+E58+E61</f>
        <v>100.95</v>
      </c>
      <c r="F57" s="113">
        <f>IFERROR(E57/B57*100,0)</f>
        <v>55.31506849315069</v>
      </c>
      <c r="G57" s="113">
        <f>IFERROR(E57/C57*100,0)</f>
        <v>288.84120171673817</v>
      </c>
      <c r="H57" s="113">
        <f t="shared" ref="H57:U57" si="10">H60+H59+H58+H61</f>
        <v>0</v>
      </c>
      <c r="I57" s="113">
        <f t="shared" si="10"/>
        <v>0</v>
      </c>
      <c r="J57" s="113">
        <f t="shared" si="10"/>
        <v>11.65</v>
      </c>
      <c r="K57" s="113">
        <f t="shared" si="10"/>
        <v>11.65</v>
      </c>
      <c r="L57" s="113">
        <f t="shared" si="10"/>
        <v>11.65</v>
      </c>
      <c r="M57" s="113">
        <f t="shared" si="10"/>
        <v>11.65</v>
      </c>
      <c r="N57" s="113">
        <f t="shared" si="10"/>
        <v>11.65</v>
      </c>
      <c r="O57" s="113">
        <f t="shared" si="10"/>
        <v>11.65</v>
      </c>
      <c r="P57" s="113">
        <f t="shared" si="10"/>
        <v>54.35</v>
      </c>
      <c r="Q57" s="113">
        <f t="shared" si="10"/>
        <v>54.35</v>
      </c>
      <c r="R57" s="113">
        <f t="shared" si="10"/>
        <v>11.65</v>
      </c>
      <c r="S57" s="113">
        <f t="shared" si="10"/>
        <v>11.65</v>
      </c>
      <c r="T57" s="113">
        <f t="shared" si="10"/>
        <v>11.65</v>
      </c>
      <c r="U57" s="113">
        <f t="shared" si="10"/>
        <v>0</v>
      </c>
      <c r="V57" s="113">
        <f t="shared" ref="V57:AE57" si="11">V59+V60+V58+V61</f>
        <v>11.65</v>
      </c>
      <c r="W57" s="113">
        <f t="shared" si="11"/>
        <v>0</v>
      </c>
      <c r="X57" s="113">
        <f t="shared" si="11"/>
        <v>11.65</v>
      </c>
      <c r="Y57" s="113">
        <f t="shared" si="11"/>
        <v>0</v>
      </c>
      <c r="Z57" s="113">
        <f t="shared" si="11"/>
        <v>11.65</v>
      </c>
      <c r="AA57" s="113">
        <f t="shared" si="11"/>
        <v>0</v>
      </c>
      <c r="AB57" s="113">
        <f t="shared" si="11"/>
        <v>11.65</v>
      </c>
      <c r="AC57" s="113">
        <f t="shared" si="11"/>
        <v>0</v>
      </c>
      <c r="AD57" s="113">
        <f t="shared" si="11"/>
        <v>23.299999999999997</v>
      </c>
      <c r="AE57" s="113">
        <f t="shared" si="11"/>
        <v>0</v>
      </c>
      <c r="AF57" s="853" t="s">
        <v>666</v>
      </c>
      <c r="AG57" s="102">
        <f t="shared" si="1"/>
        <v>0</v>
      </c>
    </row>
    <row r="58" spans="1:33" x14ac:dyDescent="0.3">
      <c r="A58" s="115" t="s">
        <v>169</v>
      </c>
      <c r="B58" s="807"/>
      <c r="C58" s="117"/>
      <c r="D58" s="118"/>
      <c r="E58" s="117"/>
      <c r="F58" s="116"/>
      <c r="G58" s="116"/>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c r="AE58" s="111"/>
      <c r="AF58" s="29"/>
      <c r="AG58" s="102">
        <f t="shared" si="1"/>
        <v>0</v>
      </c>
    </row>
    <row r="59" spans="1:33" x14ac:dyDescent="0.3">
      <c r="A59" s="626" t="s">
        <v>32</v>
      </c>
      <c r="B59" s="807">
        <f>J59+L59+N59+P59+R59+T59+V59+X59+Z59+AB59+AD59+H59</f>
        <v>155.1</v>
      </c>
      <c r="C59" s="117">
        <f>SUM(H59+J59+L59+N59)</f>
        <v>21.6</v>
      </c>
      <c r="D59" s="118">
        <f>E59</f>
        <v>79.47</v>
      </c>
      <c r="E59" s="117">
        <f>SUM(I59,K59,M59,O59,Q59,S59,U59,W59,Y59,AA59,AC59,AE59)</f>
        <v>79.47</v>
      </c>
      <c r="F59" s="116">
        <f>IFERROR(E59/#REF!*100,0)</f>
        <v>0</v>
      </c>
      <c r="G59" s="116">
        <f>IFERROR(E59/C59*100,0)</f>
        <v>367.91666666666663</v>
      </c>
      <c r="H59" s="111"/>
      <c r="I59" s="111"/>
      <c r="J59" s="111">
        <v>0</v>
      </c>
      <c r="K59" s="111">
        <v>0</v>
      </c>
      <c r="L59" s="111">
        <v>10.8</v>
      </c>
      <c r="M59" s="111">
        <v>10.8</v>
      </c>
      <c r="N59" s="111">
        <v>10.8</v>
      </c>
      <c r="O59" s="111">
        <v>10.8</v>
      </c>
      <c r="P59" s="111">
        <v>47.07</v>
      </c>
      <c r="Q59" s="111">
        <v>47.07</v>
      </c>
      <c r="R59" s="111">
        <v>10.8</v>
      </c>
      <c r="S59" s="111">
        <v>10.8</v>
      </c>
      <c r="T59" s="111">
        <v>10.8</v>
      </c>
      <c r="U59" s="111"/>
      <c r="V59" s="111">
        <v>10.8</v>
      </c>
      <c r="W59" s="111"/>
      <c r="X59" s="111">
        <v>10.8</v>
      </c>
      <c r="Y59" s="111"/>
      <c r="Z59" s="111">
        <v>10.8</v>
      </c>
      <c r="AA59" s="111"/>
      <c r="AB59" s="111">
        <v>10.8</v>
      </c>
      <c r="AC59" s="111"/>
      <c r="AD59" s="111">
        <v>21.63</v>
      </c>
      <c r="AE59" s="111"/>
      <c r="AF59" s="29"/>
      <c r="AG59" s="102">
        <f t="shared" si="1"/>
        <v>0</v>
      </c>
    </row>
    <row r="60" spans="1:33" x14ac:dyDescent="0.3">
      <c r="A60" s="115" t="s">
        <v>33</v>
      </c>
      <c r="B60" s="807">
        <f>J60+L60+N60+P60+R60+T60+V60+X60+Z60+AB60+AD60+H60</f>
        <v>27.400000000000006</v>
      </c>
      <c r="C60" s="117">
        <f>SUM(H60+J60+L60+N60)</f>
        <v>13.35</v>
      </c>
      <c r="D60" s="118">
        <f>E60</f>
        <v>21.48</v>
      </c>
      <c r="E60" s="117">
        <f>SUM(I60,K60,M60,O60,Q60,S60,U60,W60,Y60,AA60,AC60,AE60)</f>
        <v>21.48</v>
      </c>
      <c r="F60" s="116">
        <f>IFERROR(E60/B59*100,0)</f>
        <v>13.849129593810448</v>
      </c>
      <c r="G60" s="116">
        <f>IFERROR(E60/C60*100,0)</f>
        <v>160.89887640449439</v>
      </c>
      <c r="H60" s="111">
        <v>0</v>
      </c>
      <c r="I60" s="111">
        <v>0</v>
      </c>
      <c r="J60" s="111">
        <v>11.65</v>
      </c>
      <c r="K60" s="111">
        <v>11.65</v>
      </c>
      <c r="L60" s="111">
        <v>0.85</v>
      </c>
      <c r="M60" s="111">
        <v>0.85</v>
      </c>
      <c r="N60" s="111">
        <v>0.85</v>
      </c>
      <c r="O60" s="111">
        <v>0.85</v>
      </c>
      <c r="P60" s="111">
        <v>7.28</v>
      </c>
      <c r="Q60" s="111">
        <v>7.28</v>
      </c>
      <c r="R60" s="111">
        <v>0.85</v>
      </c>
      <c r="S60" s="111">
        <v>0.85</v>
      </c>
      <c r="T60" s="111">
        <v>0.85</v>
      </c>
      <c r="U60" s="111"/>
      <c r="V60" s="111">
        <v>0.85</v>
      </c>
      <c r="W60" s="111"/>
      <c r="X60" s="111">
        <v>0.85</v>
      </c>
      <c r="Y60" s="111"/>
      <c r="Z60" s="111">
        <v>0.85</v>
      </c>
      <c r="AA60" s="111"/>
      <c r="AB60" s="111">
        <v>0.85</v>
      </c>
      <c r="AC60" s="111"/>
      <c r="AD60" s="111">
        <v>1.67</v>
      </c>
      <c r="AE60" s="111"/>
      <c r="AF60" s="29"/>
      <c r="AG60" s="102">
        <f t="shared" si="1"/>
        <v>6.6613381477509392E-15</v>
      </c>
    </row>
    <row r="61" spans="1:33" x14ac:dyDescent="0.3">
      <c r="A61" s="115" t="s">
        <v>170</v>
      </c>
      <c r="B61" s="116"/>
      <c r="C61" s="117"/>
      <c r="D61" s="118"/>
      <c r="E61" s="117"/>
      <c r="F61" s="116"/>
      <c r="G61" s="116"/>
      <c r="H61" s="111"/>
      <c r="I61" s="111"/>
      <c r="J61" s="111"/>
      <c r="K61" s="111"/>
      <c r="L61" s="111"/>
      <c r="M61" s="111"/>
      <c r="N61" s="111"/>
      <c r="O61" s="111"/>
      <c r="P61" s="111"/>
      <c r="Q61" s="111"/>
      <c r="R61" s="111"/>
      <c r="S61" s="111"/>
      <c r="T61" s="111"/>
      <c r="U61" s="111"/>
      <c r="V61" s="111"/>
      <c r="W61" s="111"/>
      <c r="X61" s="111"/>
      <c r="Y61" s="111"/>
      <c r="Z61" s="111"/>
      <c r="AA61" s="111"/>
      <c r="AB61" s="111"/>
      <c r="AC61" s="111"/>
      <c r="AD61" s="111"/>
      <c r="AE61" s="111"/>
      <c r="AF61" s="29"/>
      <c r="AG61" s="102">
        <f t="shared" si="1"/>
        <v>0</v>
      </c>
    </row>
    <row r="62" spans="1:33" ht="37.5" x14ac:dyDescent="0.3">
      <c r="A62" s="836" t="s">
        <v>174</v>
      </c>
      <c r="B62" s="116">
        <f>H62+J62+L62+N62+P62+R62+T62+V62+X62+Z62+AB62+AD62</f>
        <v>27.400000000000006</v>
      </c>
      <c r="C62" s="117">
        <f>H62+J62+L62+N62</f>
        <v>13.35</v>
      </c>
      <c r="D62" s="118">
        <f>E62</f>
        <v>21.48</v>
      </c>
      <c r="E62" s="117">
        <f>I62+K62+M62+O62+Q62+S62+U62+W62+Y62+AA62+AC62+AE62</f>
        <v>21.48</v>
      </c>
      <c r="F62" s="116">
        <f>IFERROR(E62/B60*100,0)</f>
        <v>78.394160583941584</v>
      </c>
      <c r="G62" s="116">
        <f>IFERROR(E62/C62*100,0)</f>
        <v>160.89887640449439</v>
      </c>
      <c r="H62" s="111"/>
      <c r="I62" s="111"/>
      <c r="J62" s="111">
        <v>11.65</v>
      </c>
      <c r="K62" s="111">
        <v>11.65</v>
      </c>
      <c r="L62" s="111">
        <v>0.85</v>
      </c>
      <c r="M62" s="111">
        <v>0.85</v>
      </c>
      <c r="N62" s="111">
        <v>0.85</v>
      </c>
      <c r="O62" s="111">
        <v>0.85</v>
      </c>
      <c r="P62" s="111">
        <v>7.28</v>
      </c>
      <c r="Q62" s="111">
        <v>7.28</v>
      </c>
      <c r="R62" s="111">
        <v>0.85</v>
      </c>
      <c r="S62" s="111">
        <v>0.85</v>
      </c>
      <c r="T62" s="111">
        <v>0.85</v>
      </c>
      <c r="U62" s="111"/>
      <c r="V62" s="111">
        <v>0.85</v>
      </c>
      <c r="W62" s="111"/>
      <c r="X62" s="111">
        <v>0.85</v>
      </c>
      <c r="Y62" s="111"/>
      <c r="Z62" s="111">
        <v>0.85</v>
      </c>
      <c r="AA62" s="111"/>
      <c r="AB62" s="111">
        <v>0.85</v>
      </c>
      <c r="AC62" s="111"/>
      <c r="AD62" s="111">
        <v>1.67</v>
      </c>
      <c r="AE62" s="111"/>
      <c r="AF62" s="29"/>
      <c r="AG62" s="102"/>
    </row>
    <row r="63" spans="1:33" x14ac:dyDescent="0.3">
      <c r="A63" s="124" t="s">
        <v>179</v>
      </c>
      <c r="B63" s="104"/>
      <c r="C63" s="125"/>
      <c r="D63" s="125"/>
      <c r="E63" s="125"/>
      <c r="F63" s="125"/>
      <c r="G63" s="125"/>
      <c r="H63" s="125"/>
      <c r="I63" s="125"/>
      <c r="J63" s="125"/>
      <c r="K63" s="125"/>
      <c r="L63" s="125"/>
      <c r="M63" s="125"/>
      <c r="N63" s="125"/>
      <c r="O63" s="125"/>
      <c r="P63" s="125"/>
      <c r="Q63" s="125"/>
      <c r="R63" s="125"/>
      <c r="S63" s="125"/>
      <c r="T63" s="125"/>
      <c r="U63" s="125"/>
      <c r="V63" s="125"/>
      <c r="W63" s="125"/>
      <c r="X63" s="125"/>
      <c r="Y63" s="125"/>
      <c r="Z63" s="125"/>
      <c r="AA63" s="125"/>
      <c r="AB63" s="125"/>
      <c r="AC63" s="125"/>
      <c r="AD63" s="125"/>
      <c r="AE63" s="125"/>
      <c r="AF63" s="101"/>
      <c r="AG63" s="102">
        <f t="shared" si="1"/>
        <v>0</v>
      </c>
    </row>
    <row r="64" spans="1:33" x14ac:dyDescent="0.3">
      <c r="A64" s="103" t="s">
        <v>31</v>
      </c>
      <c r="B64" s="104">
        <f>B65+B66+B67</f>
        <v>70865.2</v>
      </c>
      <c r="C64" s="104">
        <f>C65+C66+C67</f>
        <v>22131.060000000005</v>
      </c>
      <c r="D64" s="104">
        <f>D65+D66+D67</f>
        <v>29126.161</v>
      </c>
      <c r="E64" s="104">
        <f>E65+E66+E67</f>
        <v>29126.161</v>
      </c>
      <c r="F64" s="105">
        <f>E64/B64*100</f>
        <v>41.100795595017019</v>
      </c>
      <c r="G64" s="105">
        <f>E64/C64*100</f>
        <v>131.60761843309808</v>
      </c>
      <c r="H64" s="104">
        <f>H65+H66+H67</f>
        <v>4455.3</v>
      </c>
      <c r="I64" s="104">
        <f t="shared" ref="I64:AE64" si="12">I65+I66+I67</f>
        <v>1704.55</v>
      </c>
      <c r="J64" s="104">
        <f t="shared" si="12"/>
        <v>5432.6</v>
      </c>
      <c r="K64" s="104">
        <f t="shared" si="12"/>
        <v>4745.9340000000002</v>
      </c>
      <c r="L64" s="104">
        <f t="shared" si="12"/>
        <v>5719.1</v>
      </c>
      <c r="M64" s="104">
        <f t="shared" si="12"/>
        <v>4342.8149999999996</v>
      </c>
      <c r="N64" s="104">
        <f t="shared" si="12"/>
        <v>6524.0599999999995</v>
      </c>
      <c r="O64" s="104">
        <f t="shared" si="12"/>
        <v>5519.4000000000005</v>
      </c>
      <c r="P64" s="104">
        <f t="shared" si="12"/>
        <v>5928.9</v>
      </c>
      <c r="Q64" s="104">
        <f t="shared" si="12"/>
        <v>6612.4440000000004</v>
      </c>
      <c r="R64" s="104">
        <f t="shared" si="12"/>
        <v>6768.2</v>
      </c>
      <c r="S64" s="104">
        <f t="shared" si="12"/>
        <v>6201.018</v>
      </c>
      <c r="T64" s="104">
        <f t="shared" si="12"/>
        <v>7220.2</v>
      </c>
      <c r="U64" s="104">
        <f t="shared" si="12"/>
        <v>0</v>
      </c>
      <c r="V64" s="104">
        <f t="shared" si="12"/>
        <v>6677.84</v>
      </c>
      <c r="W64" s="104">
        <f t="shared" si="12"/>
        <v>0</v>
      </c>
      <c r="X64" s="104">
        <f t="shared" si="12"/>
        <v>6066.4</v>
      </c>
      <c r="Y64" s="104">
        <f t="shared" si="12"/>
        <v>0</v>
      </c>
      <c r="Z64" s="104">
        <f t="shared" si="12"/>
        <v>6496</v>
      </c>
      <c r="AA64" s="104">
        <f t="shared" si="12"/>
        <v>0</v>
      </c>
      <c r="AB64" s="104">
        <f t="shared" si="12"/>
        <v>5947.9</v>
      </c>
      <c r="AC64" s="104">
        <f t="shared" si="12"/>
        <v>0</v>
      </c>
      <c r="AD64" s="104">
        <f t="shared" si="12"/>
        <v>3628.7</v>
      </c>
      <c r="AE64" s="104">
        <f t="shared" si="12"/>
        <v>0</v>
      </c>
      <c r="AF64" s="101"/>
      <c r="AG64" s="102">
        <f t="shared" si="1"/>
        <v>0</v>
      </c>
    </row>
    <row r="65" spans="1:33" x14ac:dyDescent="0.3">
      <c r="A65" s="106" t="s">
        <v>169</v>
      </c>
      <c r="B65" s="107"/>
      <c r="C65" s="107"/>
      <c r="D65" s="107"/>
      <c r="E65" s="107"/>
      <c r="F65" s="107"/>
      <c r="G65" s="107"/>
      <c r="H65" s="107"/>
      <c r="I65" s="107"/>
      <c r="J65" s="107"/>
      <c r="K65" s="107"/>
      <c r="L65" s="107"/>
      <c r="M65" s="107"/>
      <c r="N65" s="107"/>
      <c r="O65" s="107"/>
      <c r="P65" s="107"/>
      <c r="Q65" s="107"/>
      <c r="R65" s="107"/>
      <c r="S65" s="107"/>
      <c r="T65" s="107"/>
      <c r="U65" s="107"/>
      <c r="V65" s="107"/>
      <c r="W65" s="107"/>
      <c r="X65" s="107"/>
      <c r="Y65" s="107"/>
      <c r="Z65" s="107"/>
      <c r="AA65" s="107"/>
      <c r="AB65" s="107"/>
      <c r="AC65" s="107"/>
      <c r="AD65" s="107"/>
      <c r="AE65" s="107"/>
      <c r="AF65" s="101"/>
      <c r="AG65" s="102">
        <f t="shared" si="1"/>
        <v>0</v>
      </c>
    </row>
    <row r="66" spans="1:33" x14ac:dyDescent="0.3">
      <c r="A66" s="106" t="s">
        <v>32</v>
      </c>
      <c r="B66" s="107"/>
      <c r="C66" s="107"/>
      <c r="D66" s="107"/>
      <c r="E66" s="107"/>
      <c r="F66" s="107"/>
      <c r="G66" s="107"/>
      <c r="H66" s="107"/>
      <c r="I66" s="107"/>
      <c r="J66" s="107"/>
      <c r="K66" s="107"/>
      <c r="L66" s="107"/>
      <c r="M66" s="107"/>
      <c r="N66" s="107"/>
      <c r="O66" s="107"/>
      <c r="P66" s="107"/>
      <c r="Q66" s="107"/>
      <c r="R66" s="107"/>
      <c r="S66" s="107"/>
      <c r="T66" s="107"/>
      <c r="U66" s="107"/>
      <c r="V66" s="107"/>
      <c r="W66" s="107"/>
      <c r="X66" s="107"/>
      <c r="Y66" s="107"/>
      <c r="Z66" s="107"/>
      <c r="AA66" s="107"/>
      <c r="AB66" s="107"/>
      <c r="AC66" s="107"/>
      <c r="AD66" s="107"/>
      <c r="AE66" s="107"/>
      <c r="AF66" s="101"/>
      <c r="AG66" s="102">
        <f t="shared" si="1"/>
        <v>0</v>
      </c>
    </row>
    <row r="67" spans="1:33" x14ac:dyDescent="0.3">
      <c r="A67" s="106" t="s">
        <v>33</v>
      </c>
      <c r="B67" s="107">
        <f>B73+B79+B85+B91+B97</f>
        <v>70865.2</v>
      </c>
      <c r="C67" s="107">
        <f>C73+C79+C85+C91+C97</f>
        <v>22131.060000000005</v>
      </c>
      <c r="D67" s="107">
        <f>D73+D79+D85+D91+D97</f>
        <v>29126.161</v>
      </c>
      <c r="E67" s="107">
        <f>E73+E79+E85+E91+E97</f>
        <v>29126.161</v>
      </c>
      <c r="F67" s="107">
        <f>E67/B67*100</f>
        <v>41.100795595017019</v>
      </c>
      <c r="G67" s="107">
        <f>IFERROR(E67/C67*100,0)</f>
        <v>131.60761843309808</v>
      </c>
      <c r="H67" s="107">
        <f>H73+H79+H85+H91+H97</f>
        <v>4455.3</v>
      </c>
      <c r="I67" s="107">
        <f t="shared" ref="I67:AE67" si="13">I73+I79+I85+I91+I97</f>
        <v>1704.55</v>
      </c>
      <c r="J67" s="107">
        <f t="shared" si="13"/>
        <v>5432.6</v>
      </c>
      <c r="K67" s="107">
        <f t="shared" si="13"/>
        <v>4745.9340000000002</v>
      </c>
      <c r="L67" s="107">
        <f t="shared" si="13"/>
        <v>5719.1</v>
      </c>
      <c r="M67" s="107">
        <f t="shared" si="13"/>
        <v>4342.8149999999996</v>
      </c>
      <c r="N67" s="107">
        <f t="shared" si="13"/>
        <v>6524.0599999999995</v>
      </c>
      <c r="O67" s="107">
        <f t="shared" si="13"/>
        <v>5519.4000000000005</v>
      </c>
      <c r="P67" s="107">
        <f t="shared" si="13"/>
        <v>5928.9</v>
      </c>
      <c r="Q67" s="107">
        <f t="shared" si="13"/>
        <v>6612.4440000000004</v>
      </c>
      <c r="R67" s="107">
        <f t="shared" si="13"/>
        <v>6768.2</v>
      </c>
      <c r="S67" s="107">
        <f t="shared" si="13"/>
        <v>6201.018</v>
      </c>
      <c r="T67" s="107">
        <f t="shared" si="13"/>
        <v>7220.2</v>
      </c>
      <c r="U67" s="107">
        <f t="shared" si="13"/>
        <v>0</v>
      </c>
      <c r="V67" s="107">
        <f t="shared" si="13"/>
        <v>6677.84</v>
      </c>
      <c r="W67" s="107">
        <f t="shared" si="13"/>
        <v>0</v>
      </c>
      <c r="X67" s="107">
        <f t="shared" si="13"/>
        <v>6066.4</v>
      </c>
      <c r="Y67" s="107">
        <f t="shared" si="13"/>
        <v>0</v>
      </c>
      <c r="Z67" s="107">
        <f t="shared" si="13"/>
        <v>6496</v>
      </c>
      <c r="AA67" s="107">
        <f t="shared" si="13"/>
        <v>0</v>
      </c>
      <c r="AB67" s="107">
        <f t="shared" si="13"/>
        <v>5947.9</v>
      </c>
      <c r="AC67" s="107">
        <f t="shared" si="13"/>
        <v>0</v>
      </c>
      <c r="AD67" s="107">
        <f t="shared" si="13"/>
        <v>3628.7</v>
      </c>
      <c r="AE67" s="107">
        <f t="shared" si="13"/>
        <v>0</v>
      </c>
      <c r="AF67" s="101"/>
      <c r="AG67" s="102">
        <f t="shared" si="1"/>
        <v>0</v>
      </c>
    </row>
    <row r="68" spans="1:33" x14ac:dyDescent="0.3">
      <c r="A68" s="106" t="s">
        <v>170</v>
      </c>
      <c r="B68" s="107"/>
      <c r="C68" s="107"/>
      <c r="D68" s="107"/>
      <c r="E68" s="107"/>
      <c r="F68" s="107"/>
      <c r="G68" s="107"/>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1"/>
      <c r="AG68" s="102">
        <f t="shared" si="1"/>
        <v>0</v>
      </c>
    </row>
    <row r="69" spans="1:33" ht="37.5" x14ac:dyDescent="0.3">
      <c r="A69" s="108" t="s">
        <v>180</v>
      </c>
      <c r="B69" s="109"/>
      <c r="C69" s="110"/>
      <c r="D69" s="110"/>
      <c r="E69" s="110"/>
      <c r="F69" s="110"/>
      <c r="G69" s="110"/>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29"/>
      <c r="AG69" s="102">
        <f t="shared" si="1"/>
        <v>0</v>
      </c>
    </row>
    <row r="70" spans="1:33" x14ac:dyDescent="0.3">
      <c r="A70" s="126" t="s">
        <v>31</v>
      </c>
      <c r="B70" s="647">
        <f>B72+B73+B71+B74</f>
        <v>314.7</v>
      </c>
      <c r="C70" s="647">
        <f>C72+C73+C71+C74</f>
        <v>0</v>
      </c>
      <c r="D70" s="113">
        <f>D72+D73+D71+D74</f>
        <v>0</v>
      </c>
      <c r="E70" s="113">
        <f>E72+E73+E71+E74</f>
        <v>0</v>
      </c>
      <c r="F70" s="113">
        <f>IFERROR(E70/B70*100,0)</f>
        <v>0</v>
      </c>
      <c r="G70" s="113">
        <f>IFERROR(E70/C70*100,0)</f>
        <v>0</v>
      </c>
      <c r="H70" s="113">
        <f t="shared" ref="H70:AE70" si="14">H72+H73+H71+H74</f>
        <v>0</v>
      </c>
      <c r="I70" s="113">
        <f t="shared" si="14"/>
        <v>0</v>
      </c>
      <c r="J70" s="113">
        <f t="shared" si="14"/>
        <v>0</v>
      </c>
      <c r="K70" s="113">
        <f t="shared" si="14"/>
        <v>0</v>
      </c>
      <c r="L70" s="113">
        <f t="shared" si="14"/>
        <v>0</v>
      </c>
      <c r="M70" s="113">
        <f t="shared" si="14"/>
        <v>0</v>
      </c>
      <c r="N70" s="113">
        <f t="shared" si="14"/>
        <v>0</v>
      </c>
      <c r="O70" s="113">
        <f t="shared" si="14"/>
        <v>0</v>
      </c>
      <c r="P70" s="113">
        <f t="shared" si="14"/>
        <v>0</v>
      </c>
      <c r="Q70" s="113">
        <f t="shared" si="14"/>
        <v>0</v>
      </c>
      <c r="R70" s="113">
        <f t="shared" si="14"/>
        <v>0</v>
      </c>
      <c r="S70" s="113">
        <f t="shared" si="14"/>
        <v>0</v>
      </c>
      <c r="T70" s="113">
        <f t="shared" si="14"/>
        <v>0</v>
      </c>
      <c r="U70" s="113">
        <f t="shared" si="14"/>
        <v>0</v>
      </c>
      <c r="V70" s="113">
        <f t="shared" si="14"/>
        <v>314.7</v>
      </c>
      <c r="W70" s="113">
        <f t="shared" si="14"/>
        <v>0</v>
      </c>
      <c r="X70" s="113">
        <f t="shared" si="14"/>
        <v>0</v>
      </c>
      <c r="Y70" s="113">
        <f t="shared" si="14"/>
        <v>0</v>
      </c>
      <c r="Z70" s="113">
        <f t="shared" si="14"/>
        <v>0</v>
      </c>
      <c r="AA70" s="113">
        <f t="shared" si="14"/>
        <v>0</v>
      </c>
      <c r="AB70" s="113">
        <f t="shared" si="14"/>
        <v>0</v>
      </c>
      <c r="AC70" s="113">
        <f t="shared" si="14"/>
        <v>0</v>
      </c>
      <c r="AD70" s="113">
        <f t="shared" si="14"/>
        <v>0</v>
      </c>
      <c r="AE70" s="113">
        <f t="shared" si="14"/>
        <v>0</v>
      </c>
      <c r="AF70" s="29"/>
      <c r="AG70" s="102">
        <f t="shared" si="1"/>
        <v>0</v>
      </c>
    </row>
    <row r="71" spans="1:33" x14ac:dyDescent="0.3">
      <c r="A71" s="127" t="s">
        <v>169</v>
      </c>
      <c r="B71" s="116"/>
      <c r="C71" s="117"/>
      <c r="D71" s="118"/>
      <c r="E71" s="117"/>
      <c r="F71" s="116"/>
      <c r="G71" s="116"/>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29"/>
      <c r="AG71" s="102">
        <f t="shared" si="1"/>
        <v>0</v>
      </c>
    </row>
    <row r="72" spans="1:33" x14ac:dyDescent="0.3">
      <c r="A72" s="127" t="s">
        <v>32</v>
      </c>
      <c r="B72" s="116"/>
      <c r="C72" s="117"/>
      <c r="D72" s="118"/>
      <c r="E72" s="117"/>
      <c r="F72" s="116"/>
      <c r="G72" s="116"/>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29"/>
      <c r="AG72" s="102">
        <f t="shared" si="1"/>
        <v>0</v>
      </c>
    </row>
    <row r="73" spans="1:33" x14ac:dyDescent="0.3">
      <c r="A73" s="115" t="s">
        <v>33</v>
      </c>
      <c r="B73" s="648">
        <f>J73+L73+N73+P73+R73+T73+V73+X73+Z73+AB73+AD73+H73</f>
        <v>314.7</v>
      </c>
      <c r="C73" s="117">
        <f>SUM(H73)</f>
        <v>0</v>
      </c>
      <c r="D73" s="118">
        <f>E73</f>
        <v>0</v>
      </c>
      <c r="E73" s="117">
        <f>SUM(I73,K73,M73,O73,Q73,S73,U73,W73,Y73,AA73,AC73,AE73)</f>
        <v>0</v>
      </c>
      <c r="F73" s="116">
        <f>IFERROR(E73/B73*100,0)</f>
        <v>0</v>
      </c>
      <c r="G73" s="116">
        <f>IFERROR(E73/C73*100,0)</f>
        <v>0</v>
      </c>
      <c r="H73" s="111">
        <v>0</v>
      </c>
      <c r="I73" s="111">
        <v>0</v>
      </c>
      <c r="J73" s="111">
        <v>0</v>
      </c>
      <c r="K73" s="111">
        <v>0</v>
      </c>
      <c r="L73" s="111">
        <v>0</v>
      </c>
      <c r="M73" s="111">
        <v>0</v>
      </c>
      <c r="N73" s="111">
        <v>0</v>
      </c>
      <c r="O73" s="111">
        <v>0</v>
      </c>
      <c r="P73" s="111">
        <v>0</v>
      </c>
      <c r="Q73" s="111">
        <v>0</v>
      </c>
      <c r="R73" s="111">
        <v>0</v>
      </c>
      <c r="S73" s="111">
        <v>0</v>
      </c>
      <c r="T73" s="111"/>
      <c r="U73" s="111"/>
      <c r="V73" s="111">
        <v>314.7</v>
      </c>
      <c r="W73" s="111"/>
      <c r="X73" s="111"/>
      <c r="Y73" s="111"/>
      <c r="Z73" s="111"/>
      <c r="AA73" s="111"/>
      <c r="AB73" s="111"/>
      <c r="AC73" s="111"/>
      <c r="AD73" s="111"/>
      <c r="AE73" s="111"/>
      <c r="AF73" s="29"/>
      <c r="AG73" s="102">
        <f t="shared" si="1"/>
        <v>0</v>
      </c>
    </row>
    <row r="74" spans="1:33" x14ac:dyDescent="0.3">
      <c r="A74" s="115" t="s">
        <v>170</v>
      </c>
      <c r="B74" s="116"/>
      <c r="C74" s="117"/>
      <c r="D74" s="118"/>
      <c r="E74" s="117"/>
      <c r="F74" s="116"/>
      <c r="G74" s="116"/>
      <c r="H74" s="111"/>
      <c r="I74" s="111"/>
      <c r="J74" s="111"/>
      <c r="K74" s="111"/>
      <c r="L74" s="111"/>
      <c r="M74" s="111"/>
      <c r="N74" s="111"/>
      <c r="O74" s="111"/>
      <c r="P74" s="111"/>
      <c r="Q74" s="111"/>
      <c r="R74" s="111"/>
      <c r="S74" s="111"/>
      <c r="T74" s="111"/>
      <c r="U74" s="111"/>
      <c r="V74" s="111"/>
      <c r="W74" s="111"/>
      <c r="X74" s="111"/>
      <c r="Y74" s="111"/>
      <c r="Z74" s="111"/>
      <c r="AA74" s="111"/>
      <c r="AB74" s="111"/>
      <c r="AC74" s="111"/>
      <c r="AD74" s="111"/>
      <c r="AE74" s="111"/>
      <c r="AF74" s="29"/>
      <c r="AG74" s="102">
        <f t="shared" si="1"/>
        <v>0</v>
      </c>
    </row>
    <row r="75" spans="1:33" ht="37.5" x14ac:dyDescent="0.3">
      <c r="A75" s="122" t="s">
        <v>181</v>
      </c>
      <c r="B75" s="113"/>
      <c r="C75" s="121"/>
      <c r="D75" s="121"/>
      <c r="E75" s="121"/>
      <c r="F75" s="121"/>
      <c r="G75" s="121"/>
      <c r="H75" s="111"/>
      <c r="I75" s="111"/>
      <c r="J75" s="111"/>
      <c r="K75" s="111"/>
      <c r="L75" s="111"/>
      <c r="M75" s="111"/>
      <c r="N75" s="111"/>
      <c r="O75" s="111"/>
      <c r="P75" s="111"/>
      <c r="Q75" s="111"/>
      <c r="R75" s="111"/>
      <c r="S75" s="111"/>
      <c r="T75" s="111"/>
      <c r="U75" s="111"/>
      <c r="V75" s="111"/>
      <c r="W75" s="111"/>
      <c r="X75" s="111"/>
      <c r="Y75" s="111"/>
      <c r="Z75" s="111"/>
      <c r="AA75" s="111"/>
      <c r="AB75" s="111"/>
      <c r="AC75" s="111"/>
      <c r="AD75" s="111"/>
      <c r="AE75" s="111"/>
      <c r="AF75" s="29"/>
      <c r="AG75" s="102">
        <f t="shared" si="1"/>
        <v>0</v>
      </c>
    </row>
    <row r="76" spans="1:33" x14ac:dyDescent="0.3">
      <c r="A76" s="112" t="s">
        <v>31</v>
      </c>
      <c r="B76" s="647">
        <f>B78+B79+B77+B80</f>
        <v>66</v>
      </c>
      <c r="C76" s="647">
        <f>C78+C79+C77+C80</f>
        <v>0</v>
      </c>
      <c r="D76" s="113">
        <f>D78+D79+D77+D80</f>
        <v>66</v>
      </c>
      <c r="E76" s="113">
        <f>E78+E79+E77+E80</f>
        <v>66</v>
      </c>
      <c r="F76" s="113">
        <f>IFERROR(E76/B76*100,0)</f>
        <v>100</v>
      </c>
      <c r="G76" s="113">
        <f>IFERROR(E76/C76*100,0)</f>
        <v>0</v>
      </c>
      <c r="H76" s="113">
        <f t="shared" ref="H76:AE76" si="15">H78+H79+H77+H80</f>
        <v>0</v>
      </c>
      <c r="I76" s="113">
        <f t="shared" si="15"/>
        <v>0</v>
      </c>
      <c r="J76" s="113">
        <f t="shared" si="15"/>
        <v>0</v>
      </c>
      <c r="K76" s="113">
        <f t="shared" si="15"/>
        <v>0</v>
      </c>
      <c r="L76" s="113">
        <f t="shared" si="15"/>
        <v>0</v>
      </c>
      <c r="M76" s="113">
        <f t="shared" si="15"/>
        <v>0</v>
      </c>
      <c r="N76" s="113">
        <f t="shared" si="15"/>
        <v>0</v>
      </c>
      <c r="O76" s="113">
        <f t="shared" si="15"/>
        <v>0</v>
      </c>
      <c r="P76" s="113">
        <f t="shared" si="15"/>
        <v>66</v>
      </c>
      <c r="Q76" s="113">
        <f t="shared" si="15"/>
        <v>66</v>
      </c>
      <c r="R76" s="113">
        <f t="shared" si="15"/>
        <v>0</v>
      </c>
      <c r="S76" s="113">
        <f t="shared" si="15"/>
        <v>0</v>
      </c>
      <c r="T76" s="113">
        <f t="shared" si="15"/>
        <v>0</v>
      </c>
      <c r="U76" s="113">
        <f t="shared" si="15"/>
        <v>0</v>
      </c>
      <c r="V76" s="113">
        <f t="shared" si="15"/>
        <v>0</v>
      </c>
      <c r="W76" s="113">
        <f t="shared" si="15"/>
        <v>0</v>
      </c>
      <c r="X76" s="113">
        <f t="shared" si="15"/>
        <v>0</v>
      </c>
      <c r="Y76" s="113">
        <f t="shared" si="15"/>
        <v>0</v>
      </c>
      <c r="Z76" s="113">
        <f t="shared" si="15"/>
        <v>0</v>
      </c>
      <c r="AA76" s="113">
        <f t="shared" si="15"/>
        <v>0</v>
      </c>
      <c r="AB76" s="113">
        <f t="shared" si="15"/>
        <v>0</v>
      </c>
      <c r="AC76" s="113">
        <f t="shared" si="15"/>
        <v>0</v>
      </c>
      <c r="AD76" s="113">
        <f t="shared" si="15"/>
        <v>0</v>
      </c>
      <c r="AE76" s="113">
        <f t="shared" si="15"/>
        <v>0</v>
      </c>
      <c r="AF76" s="29"/>
      <c r="AG76" s="102">
        <f t="shared" si="1"/>
        <v>0</v>
      </c>
    </row>
    <row r="77" spans="1:33" x14ac:dyDescent="0.3">
      <c r="A77" s="115" t="s">
        <v>169</v>
      </c>
      <c r="B77" s="116"/>
      <c r="C77" s="117"/>
      <c r="D77" s="118"/>
      <c r="E77" s="117"/>
      <c r="F77" s="116"/>
      <c r="G77" s="116"/>
      <c r="H77" s="111"/>
      <c r="I77" s="111"/>
      <c r="J77" s="111"/>
      <c r="K77" s="111"/>
      <c r="L77" s="111"/>
      <c r="M77" s="111"/>
      <c r="N77" s="111"/>
      <c r="O77" s="111"/>
      <c r="P77" s="111"/>
      <c r="Q77" s="111"/>
      <c r="R77" s="111"/>
      <c r="S77" s="111"/>
      <c r="T77" s="111"/>
      <c r="U77" s="111"/>
      <c r="V77" s="111"/>
      <c r="W77" s="111"/>
      <c r="X77" s="111"/>
      <c r="Y77" s="111"/>
      <c r="Z77" s="111"/>
      <c r="AA77" s="111"/>
      <c r="AB77" s="111"/>
      <c r="AC77" s="111"/>
      <c r="AD77" s="111"/>
      <c r="AE77" s="111"/>
      <c r="AF77" s="29"/>
      <c r="AG77" s="102">
        <f t="shared" ref="AG77:AG140" si="16">B77-H77-J77-L77-N77-P77-R77-T77-V77-X77-Z77-AB77-AD77</f>
        <v>0</v>
      </c>
    </row>
    <row r="78" spans="1:33" x14ac:dyDescent="0.3">
      <c r="A78" s="115" t="s">
        <v>32</v>
      </c>
      <c r="B78" s="116"/>
      <c r="C78" s="117"/>
      <c r="D78" s="118"/>
      <c r="E78" s="117"/>
      <c r="F78" s="116"/>
      <c r="G78" s="116"/>
      <c r="H78" s="111"/>
      <c r="I78" s="111"/>
      <c r="J78" s="111"/>
      <c r="K78" s="111"/>
      <c r="L78" s="111"/>
      <c r="M78" s="111"/>
      <c r="N78" s="111"/>
      <c r="O78" s="111"/>
      <c r="P78" s="111"/>
      <c r="Q78" s="111"/>
      <c r="R78" s="111"/>
      <c r="S78" s="111"/>
      <c r="T78" s="111"/>
      <c r="U78" s="111"/>
      <c r="V78" s="111"/>
      <c r="W78" s="111"/>
      <c r="X78" s="111"/>
      <c r="Y78" s="111"/>
      <c r="Z78" s="111"/>
      <c r="AA78" s="111"/>
      <c r="AB78" s="111"/>
      <c r="AC78" s="111"/>
      <c r="AD78" s="111"/>
      <c r="AE78" s="111"/>
      <c r="AF78" s="29"/>
      <c r="AG78" s="102">
        <f t="shared" si="16"/>
        <v>0</v>
      </c>
    </row>
    <row r="79" spans="1:33" x14ac:dyDescent="0.3">
      <c r="A79" s="115" t="s">
        <v>33</v>
      </c>
      <c r="B79" s="648">
        <f>J79+L79+N79+P79+R79+T79+V79+X79+Z79+AB79+AD79+H79</f>
        <v>66</v>
      </c>
      <c r="C79" s="117">
        <f>SUM(H79)</f>
        <v>0</v>
      </c>
      <c r="D79" s="118">
        <f>E79</f>
        <v>66</v>
      </c>
      <c r="E79" s="117">
        <f>SUM(I79,K79,M79,O79,Q79,S79,U79,W79,Y79,AA79,AC79,AE79)</f>
        <v>66</v>
      </c>
      <c r="F79" s="116">
        <f>IFERROR(E79/B79*100,0)</f>
        <v>100</v>
      </c>
      <c r="G79" s="116">
        <f>IFERROR(E79/C79*100,0)</f>
        <v>0</v>
      </c>
      <c r="H79" s="111">
        <v>0</v>
      </c>
      <c r="I79" s="111">
        <v>0</v>
      </c>
      <c r="J79" s="111">
        <v>0</v>
      </c>
      <c r="K79" s="111">
        <v>0</v>
      </c>
      <c r="L79" s="111">
        <v>0</v>
      </c>
      <c r="M79" s="111">
        <v>0</v>
      </c>
      <c r="N79" s="111">
        <v>0</v>
      </c>
      <c r="O79" s="111">
        <v>0</v>
      </c>
      <c r="P79" s="111">
        <v>66</v>
      </c>
      <c r="Q79" s="111">
        <v>66</v>
      </c>
      <c r="R79" s="111">
        <v>0</v>
      </c>
      <c r="S79" s="111">
        <v>0</v>
      </c>
      <c r="T79" s="111"/>
      <c r="U79" s="111"/>
      <c r="V79" s="111"/>
      <c r="W79" s="111"/>
      <c r="X79" s="111"/>
      <c r="Y79" s="111"/>
      <c r="Z79" s="111"/>
      <c r="AA79" s="111"/>
      <c r="AB79" s="111"/>
      <c r="AC79" s="111"/>
      <c r="AD79" s="111"/>
      <c r="AE79" s="111"/>
      <c r="AF79" s="29"/>
      <c r="AG79" s="102">
        <f t="shared" si="16"/>
        <v>0</v>
      </c>
    </row>
    <row r="80" spans="1:33" x14ac:dyDescent="0.3">
      <c r="A80" s="115" t="s">
        <v>170</v>
      </c>
      <c r="B80" s="116"/>
      <c r="C80" s="117"/>
      <c r="D80" s="118"/>
      <c r="E80" s="117"/>
      <c r="F80" s="116"/>
      <c r="G80" s="116"/>
      <c r="H80" s="111"/>
      <c r="I80" s="111"/>
      <c r="J80" s="111"/>
      <c r="K80" s="111"/>
      <c r="L80" s="111"/>
      <c r="M80" s="111"/>
      <c r="N80" s="111"/>
      <c r="O80" s="111"/>
      <c r="P80" s="111"/>
      <c r="Q80" s="111"/>
      <c r="R80" s="111"/>
      <c r="S80" s="111"/>
      <c r="T80" s="111"/>
      <c r="U80" s="111"/>
      <c r="V80" s="111"/>
      <c r="W80" s="111"/>
      <c r="X80" s="111"/>
      <c r="Y80" s="111"/>
      <c r="Z80" s="111"/>
      <c r="AA80" s="111"/>
      <c r="AB80" s="111"/>
      <c r="AC80" s="111"/>
      <c r="AD80" s="111"/>
      <c r="AE80" s="111"/>
      <c r="AF80" s="29"/>
      <c r="AG80" s="102">
        <f t="shared" si="16"/>
        <v>0</v>
      </c>
    </row>
    <row r="81" spans="1:33" ht="110.25" x14ac:dyDescent="0.3">
      <c r="A81" s="122" t="s">
        <v>182</v>
      </c>
      <c r="B81" s="113"/>
      <c r="C81" s="121"/>
      <c r="D81" s="121"/>
      <c r="E81" s="121"/>
      <c r="F81" s="121"/>
      <c r="G81" s="121"/>
      <c r="H81" s="111"/>
      <c r="I81" s="111"/>
      <c r="J81" s="111"/>
      <c r="K81" s="111"/>
      <c r="L81" s="111"/>
      <c r="M81" s="111"/>
      <c r="N81" s="111"/>
      <c r="O81" s="111"/>
      <c r="P81" s="111"/>
      <c r="Q81" s="111"/>
      <c r="R81" s="111"/>
      <c r="S81" s="111"/>
      <c r="T81" s="111"/>
      <c r="U81" s="111"/>
      <c r="V81" s="111"/>
      <c r="W81" s="111"/>
      <c r="X81" s="111"/>
      <c r="Y81" s="111"/>
      <c r="Z81" s="111"/>
      <c r="AA81" s="111"/>
      <c r="AB81" s="111"/>
      <c r="AC81" s="111"/>
      <c r="AD81" s="111"/>
      <c r="AE81" s="111"/>
      <c r="AF81" s="731" t="s">
        <v>670</v>
      </c>
      <c r="AG81" s="102">
        <f t="shared" si="16"/>
        <v>0</v>
      </c>
    </row>
    <row r="82" spans="1:33" x14ac:dyDescent="0.3">
      <c r="A82" s="112" t="s">
        <v>31</v>
      </c>
      <c r="B82" s="805">
        <f>B84+B85+B83+B86</f>
        <v>500</v>
      </c>
      <c r="C82" s="805">
        <f>C84+C85+C83+C86</f>
        <v>345.6</v>
      </c>
      <c r="D82" s="113">
        <f>D84+D85+D83+D86</f>
        <v>345.56</v>
      </c>
      <c r="E82" s="113">
        <f>E84+E85+E83+E86</f>
        <v>345.56</v>
      </c>
      <c r="F82" s="113">
        <f>IFERROR(E82/B82*100,0)</f>
        <v>69.111999999999995</v>
      </c>
      <c r="G82" s="113">
        <f>IFERROR(E82/C82*100,0)</f>
        <v>99.988425925925924</v>
      </c>
      <c r="H82" s="113">
        <f t="shared" ref="H82:AE82" si="17">H84+H85+H83+H86</f>
        <v>0</v>
      </c>
      <c r="I82" s="113">
        <f t="shared" si="17"/>
        <v>0</v>
      </c>
      <c r="J82" s="113">
        <f t="shared" si="17"/>
        <v>0</v>
      </c>
      <c r="K82" s="113">
        <f t="shared" si="17"/>
        <v>0</v>
      </c>
      <c r="L82" s="113">
        <f t="shared" si="17"/>
        <v>169</v>
      </c>
      <c r="M82" s="113">
        <f t="shared" si="17"/>
        <v>109</v>
      </c>
      <c r="N82" s="113">
        <f t="shared" si="17"/>
        <v>176.6</v>
      </c>
      <c r="O82" s="113">
        <f t="shared" si="17"/>
        <v>176.56</v>
      </c>
      <c r="P82" s="113">
        <f t="shared" si="17"/>
        <v>0</v>
      </c>
      <c r="Q82" s="113">
        <f t="shared" si="17"/>
        <v>60</v>
      </c>
      <c r="R82" s="113">
        <f t="shared" si="17"/>
        <v>0</v>
      </c>
      <c r="S82" s="113">
        <f t="shared" si="17"/>
        <v>0</v>
      </c>
      <c r="T82" s="113">
        <f t="shared" si="17"/>
        <v>0</v>
      </c>
      <c r="U82" s="113">
        <f t="shared" si="17"/>
        <v>0</v>
      </c>
      <c r="V82" s="113">
        <f t="shared" si="17"/>
        <v>154.4</v>
      </c>
      <c r="W82" s="113">
        <f t="shared" si="17"/>
        <v>0</v>
      </c>
      <c r="X82" s="113">
        <f t="shared" si="17"/>
        <v>0</v>
      </c>
      <c r="Y82" s="113">
        <f t="shared" si="17"/>
        <v>0</v>
      </c>
      <c r="Z82" s="113">
        <f t="shared" si="17"/>
        <v>0</v>
      </c>
      <c r="AA82" s="113">
        <f t="shared" si="17"/>
        <v>0</v>
      </c>
      <c r="AB82" s="113">
        <f t="shared" si="17"/>
        <v>0</v>
      </c>
      <c r="AC82" s="113">
        <f t="shared" si="17"/>
        <v>0</v>
      </c>
      <c r="AD82" s="113">
        <f t="shared" si="17"/>
        <v>0</v>
      </c>
      <c r="AE82" s="113">
        <f t="shared" si="17"/>
        <v>0</v>
      </c>
      <c r="AF82" s="29"/>
      <c r="AG82" s="102">
        <f t="shared" si="16"/>
        <v>0</v>
      </c>
    </row>
    <row r="83" spans="1:33" x14ac:dyDescent="0.3">
      <c r="A83" s="115" t="s">
        <v>169</v>
      </c>
      <c r="B83" s="807"/>
      <c r="C83" s="808"/>
      <c r="D83" s="118"/>
      <c r="E83" s="117"/>
      <c r="F83" s="116"/>
      <c r="G83" s="116"/>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29"/>
      <c r="AG83" s="102">
        <f t="shared" si="16"/>
        <v>0</v>
      </c>
    </row>
    <row r="84" spans="1:33" x14ac:dyDescent="0.3">
      <c r="A84" s="115" t="s">
        <v>32</v>
      </c>
      <c r="B84" s="807"/>
      <c r="C84" s="808"/>
      <c r="D84" s="118"/>
      <c r="E84" s="117"/>
      <c r="F84" s="116"/>
      <c r="G84" s="116"/>
      <c r="H84" s="111"/>
      <c r="I84" s="111"/>
      <c r="J84" s="111"/>
      <c r="K84" s="111"/>
      <c r="L84" s="111"/>
      <c r="M84" s="111"/>
      <c r="N84" s="111"/>
      <c r="O84" s="111"/>
      <c r="P84" s="111"/>
      <c r="Q84" s="111"/>
      <c r="R84" s="111"/>
      <c r="S84" s="111"/>
      <c r="T84" s="111"/>
      <c r="U84" s="111"/>
      <c r="V84" s="111"/>
      <c r="W84" s="111"/>
      <c r="X84" s="111"/>
      <c r="Y84" s="111"/>
      <c r="Z84" s="111"/>
      <c r="AA84" s="111"/>
      <c r="AB84" s="111"/>
      <c r="AC84" s="111"/>
      <c r="AD84" s="111"/>
      <c r="AE84" s="111"/>
      <c r="AF84" s="29"/>
      <c r="AG84" s="102">
        <f t="shared" si="16"/>
        <v>0</v>
      </c>
    </row>
    <row r="85" spans="1:33" x14ac:dyDescent="0.3">
      <c r="A85" s="115" t="s">
        <v>33</v>
      </c>
      <c r="B85" s="807">
        <f>J85+L85+N85+P85+R85+T85+V85+X85+Z85+AB85+AD85+H85</f>
        <v>500</v>
      </c>
      <c r="C85" s="808">
        <f>SUM(H85+J85+L85+N85)</f>
        <v>345.6</v>
      </c>
      <c r="D85" s="118">
        <f>E85</f>
        <v>345.56</v>
      </c>
      <c r="E85" s="117">
        <f>SUM(I85,K85,M85,O85,Q85,S85,U85,W85,Y85,AA85,AC85,AE85)</f>
        <v>345.56</v>
      </c>
      <c r="F85" s="116">
        <f>IFERROR(E85/B85*100,0)</f>
        <v>69.111999999999995</v>
      </c>
      <c r="G85" s="116">
        <f>IFERROR(E85/C85*100,0)</f>
        <v>99.988425925925924</v>
      </c>
      <c r="H85" s="111">
        <v>0</v>
      </c>
      <c r="I85" s="111">
        <v>0</v>
      </c>
      <c r="J85" s="111">
        <v>0</v>
      </c>
      <c r="K85" s="111">
        <v>0</v>
      </c>
      <c r="L85" s="111">
        <v>169</v>
      </c>
      <c r="M85" s="111">
        <v>109</v>
      </c>
      <c r="N85" s="111">
        <v>176.6</v>
      </c>
      <c r="O85" s="111">
        <v>176.56</v>
      </c>
      <c r="P85" s="111">
        <v>0</v>
      </c>
      <c r="Q85" s="111">
        <v>60</v>
      </c>
      <c r="R85" s="111">
        <v>0</v>
      </c>
      <c r="S85" s="111">
        <v>0</v>
      </c>
      <c r="T85" s="111"/>
      <c r="U85" s="111"/>
      <c r="V85" s="111">
        <v>154.4</v>
      </c>
      <c r="W85" s="111"/>
      <c r="X85" s="111"/>
      <c r="Y85" s="111"/>
      <c r="Z85" s="111"/>
      <c r="AA85" s="111"/>
      <c r="AB85" s="111"/>
      <c r="AC85" s="111"/>
      <c r="AD85" s="111"/>
      <c r="AE85" s="111"/>
      <c r="AF85" s="29"/>
      <c r="AG85" s="102">
        <f t="shared" si="16"/>
        <v>0</v>
      </c>
    </row>
    <row r="86" spans="1:33" x14ac:dyDescent="0.3">
      <c r="A86" s="115" t="s">
        <v>170</v>
      </c>
      <c r="B86" s="807"/>
      <c r="C86" s="808"/>
      <c r="D86" s="118"/>
      <c r="E86" s="117"/>
      <c r="F86" s="116"/>
      <c r="G86" s="116"/>
      <c r="H86" s="111"/>
      <c r="I86" s="111"/>
      <c r="J86" s="111"/>
      <c r="K86" s="111"/>
      <c r="L86" s="111"/>
      <c r="M86" s="111"/>
      <c r="N86" s="111"/>
      <c r="O86" s="111"/>
      <c r="P86" s="111"/>
      <c r="Q86" s="111"/>
      <c r="R86" s="111"/>
      <c r="S86" s="111"/>
      <c r="T86" s="111"/>
      <c r="U86" s="111"/>
      <c r="V86" s="111"/>
      <c r="W86" s="111"/>
      <c r="X86" s="111"/>
      <c r="Y86" s="111"/>
      <c r="Z86" s="111"/>
      <c r="AA86" s="111"/>
      <c r="AB86" s="111"/>
      <c r="AC86" s="111"/>
      <c r="AD86" s="111"/>
      <c r="AE86" s="111"/>
      <c r="AF86" s="29"/>
      <c r="AG86" s="102">
        <f t="shared" si="16"/>
        <v>0</v>
      </c>
    </row>
    <row r="87" spans="1:33" ht="220.5" x14ac:dyDescent="0.3">
      <c r="A87" s="122" t="s">
        <v>183</v>
      </c>
      <c r="B87" s="807"/>
      <c r="C87" s="807"/>
      <c r="D87" s="123"/>
      <c r="E87" s="123"/>
      <c r="F87" s="123"/>
      <c r="G87" s="123"/>
      <c r="H87" s="111"/>
      <c r="I87" s="111"/>
      <c r="J87" s="111"/>
      <c r="K87" s="111"/>
      <c r="L87" s="111"/>
      <c r="M87" s="111"/>
      <c r="N87" s="111"/>
      <c r="O87" s="111"/>
      <c r="P87" s="111"/>
      <c r="Q87" s="111"/>
      <c r="R87" s="111"/>
      <c r="S87" s="111"/>
      <c r="T87" s="111"/>
      <c r="U87" s="111"/>
      <c r="V87" s="111"/>
      <c r="W87" s="111"/>
      <c r="X87" s="111"/>
      <c r="Y87" s="111"/>
      <c r="Z87" s="111"/>
      <c r="AA87" s="111"/>
      <c r="AB87" s="111"/>
      <c r="AC87" s="111"/>
      <c r="AD87" s="111"/>
      <c r="AE87" s="111"/>
      <c r="AF87" s="899" t="s">
        <v>671</v>
      </c>
      <c r="AG87" s="102">
        <f t="shared" si="16"/>
        <v>0</v>
      </c>
    </row>
    <row r="88" spans="1:33" x14ac:dyDescent="0.3">
      <c r="A88" s="112" t="s">
        <v>31</v>
      </c>
      <c r="B88" s="805">
        <f>B90+B91+B89+B92</f>
        <v>443.8</v>
      </c>
      <c r="C88" s="805">
        <f>C90+C91+C89+C92</f>
        <v>443.8</v>
      </c>
      <c r="D88" s="113">
        <f>D90+D91+D89+D92</f>
        <v>300</v>
      </c>
      <c r="E88" s="113">
        <f>E90+E91+E89+E92</f>
        <v>300</v>
      </c>
      <c r="F88" s="113">
        <f>IFERROR(E88/B88*100,0)</f>
        <v>67.598017124831003</v>
      </c>
      <c r="G88" s="113">
        <f>IFERROR(E88/C88*100,0)</f>
        <v>67.598017124831003</v>
      </c>
      <c r="H88" s="113">
        <f t="shared" ref="H88:AE88" si="18">H90+H91+H89+H92</f>
        <v>0</v>
      </c>
      <c r="I88" s="113">
        <f t="shared" si="18"/>
        <v>0</v>
      </c>
      <c r="J88" s="113">
        <f t="shared" si="18"/>
        <v>0</v>
      </c>
      <c r="K88" s="113">
        <f t="shared" si="18"/>
        <v>0</v>
      </c>
      <c r="L88" s="113">
        <f t="shared" si="18"/>
        <v>0</v>
      </c>
      <c r="M88" s="113">
        <f t="shared" si="18"/>
        <v>0</v>
      </c>
      <c r="N88" s="113">
        <f t="shared" si="18"/>
        <v>443.8</v>
      </c>
      <c r="O88" s="113">
        <f t="shared" si="18"/>
        <v>300</v>
      </c>
      <c r="P88" s="113">
        <f t="shared" si="18"/>
        <v>0</v>
      </c>
      <c r="Q88" s="113">
        <f t="shared" si="18"/>
        <v>0</v>
      </c>
      <c r="R88" s="113">
        <f t="shared" si="18"/>
        <v>0</v>
      </c>
      <c r="S88" s="113">
        <f t="shared" si="18"/>
        <v>0</v>
      </c>
      <c r="T88" s="113">
        <f t="shared" si="18"/>
        <v>0</v>
      </c>
      <c r="U88" s="113">
        <f t="shared" si="18"/>
        <v>0</v>
      </c>
      <c r="V88" s="113">
        <f t="shared" si="18"/>
        <v>0</v>
      </c>
      <c r="W88" s="113">
        <f t="shared" si="18"/>
        <v>0</v>
      </c>
      <c r="X88" s="113">
        <f t="shared" si="18"/>
        <v>0</v>
      </c>
      <c r="Y88" s="113">
        <f t="shared" si="18"/>
        <v>0</v>
      </c>
      <c r="Z88" s="113">
        <f t="shared" si="18"/>
        <v>0</v>
      </c>
      <c r="AA88" s="113">
        <f t="shared" si="18"/>
        <v>0</v>
      </c>
      <c r="AB88" s="113">
        <f t="shared" si="18"/>
        <v>0</v>
      </c>
      <c r="AC88" s="113">
        <f t="shared" si="18"/>
        <v>0</v>
      </c>
      <c r="AD88" s="113">
        <f t="shared" si="18"/>
        <v>0</v>
      </c>
      <c r="AE88" s="113">
        <f t="shared" si="18"/>
        <v>0</v>
      </c>
      <c r="AF88" s="29"/>
      <c r="AG88" s="102">
        <f t="shared" si="16"/>
        <v>0</v>
      </c>
    </row>
    <row r="89" spans="1:33" x14ac:dyDescent="0.3">
      <c r="A89" s="115" t="s">
        <v>169</v>
      </c>
      <c r="B89" s="116"/>
      <c r="C89" s="117"/>
      <c r="D89" s="118"/>
      <c r="E89" s="117"/>
      <c r="F89" s="116"/>
      <c r="G89" s="116"/>
      <c r="H89" s="111"/>
      <c r="I89" s="111"/>
      <c r="J89" s="111"/>
      <c r="K89" s="111"/>
      <c r="L89" s="111"/>
      <c r="M89" s="111"/>
      <c r="N89" s="111"/>
      <c r="O89" s="111"/>
      <c r="P89" s="111"/>
      <c r="Q89" s="111"/>
      <c r="R89" s="111"/>
      <c r="S89" s="111"/>
      <c r="T89" s="111"/>
      <c r="U89" s="111"/>
      <c r="V89" s="111"/>
      <c r="W89" s="111"/>
      <c r="X89" s="111"/>
      <c r="Y89" s="111"/>
      <c r="Z89" s="111"/>
      <c r="AA89" s="111"/>
      <c r="AB89" s="111"/>
      <c r="AC89" s="111"/>
      <c r="AD89" s="111"/>
      <c r="AE89" s="111"/>
      <c r="AF89" s="29"/>
      <c r="AG89" s="102">
        <f t="shared" si="16"/>
        <v>0</v>
      </c>
    </row>
    <row r="90" spans="1:33" x14ac:dyDescent="0.3">
      <c r="A90" s="115" t="s">
        <v>32</v>
      </c>
      <c r="B90" s="116"/>
      <c r="C90" s="117"/>
      <c r="D90" s="118"/>
      <c r="E90" s="117"/>
      <c r="F90" s="116"/>
      <c r="G90" s="116"/>
      <c r="H90" s="111"/>
      <c r="I90" s="111"/>
      <c r="J90" s="111"/>
      <c r="K90" s="111"/>
      <c r="L90" s="111"/>
      <c r="M90" s="111"/>
      <c r="N90" s="111"/>
      <c r="O90" s="111"/>
      <c r="P90" s="111"/>
      <c r="Q90" s="111"/>
      <c r="R90" s="111"/>
      <c r="S90" s="111"/>
      <c r="T90" s="111"/>
      <c r="U90" s="111"/>
      <c r="V90" s="111"/>
      <c r="W90" s="111"/>
      <c r="X90" s="111"/>
      <c r="Y90" s="111"/>
      <c r="Z90" s="111"/>
      <c r="AA90" s="111"/>
      <c r="AB90" s="111"/>
      <c r="AC90" s="111"/>
      <c r="AD90" s="111"/>
      <c r="AE90" s="111"/>
      <c r="AF90" s="29"/>
      <c r="AG90" s="102">
        <f t="shared" si="16"/>
        <v>0</v>
      </c>
    </row>
    <row r="91" spans="1:33" x14ac:dyDescent="0.3">
      <c r="A91" s="115" t="s">
        <v>33</v>
      </c>
      <c r="B91" s="116">
        <f>J91+L91+N91+P91+R91+T91+V91+X91+Z91+AB91+AD91+H91</f>
        <v>443.8</v>
      </c>
      <c r="C91" s="117">
        <f>SUM(H91+N91)</f>
        <v>443.8</v>
      </c>
      <c r="D91" s="118">
        <f>E91</f>
        <v>300</v>
      </c>
      <c r="E91" s="117">
        <f>SUM(I91,K91,M91,O91,Q91,S91,U91,W91,Y91,AA91,AC91,AE91)</f>
        <v>300</v>
      </c>
      <c r="F91" s="116">
        <f>IFERROR(E91/B91*100,0)</f>
        <v>67.598017124831003</v>
      </c>
      <c r="G91" s="116">
        <f>IFERROR(E91/C91*100,0)</f>
        <v>67.598017124831003</v>
      </c>
      <c r="H91" s="111">
        <v>0</v>
      </c>
      <c r="I91" s="111">
        <v>0</v>
      </c>
      <c r="J91" s="111">
        <v>0</v>
      </c>
      <c r="K91" s="111">
        <v>0</v>
      </c>
      <c r="L91" s="111">
        <v>0</v>
      </c>
      <c r="M91" s="111">
        <v>0</v>
      </c>
      <c r="N91" s="111">
        <v>443.8</v>
      </c>
      <c r="O91" s="111">
        <v>300</v>
      </c>
      <c r="P91" s="111">
        <v>0</v>
      </c>
      <c r="Q91" s="111">
        <v>0</v>
      </c>
      <c r="R91" s="111">
        <v>0</v>
      </c>
      <c r="S91" s="111">
        <v>0</v>
      </c>
      <c r="T91" s="111"/>
      <c r="U91" s="111"/>
      <c r="V91" s="111"/>
      <c r="W91" s="111"/>
      <c r="X91" s="111"/>
      <c r="Y91" s="111"/>
      <c r="Z91" s="111"/>
      <c r="AA91" s="111"/>
      <c r="AB91" s="111"/>
      <c r="AC91" s="111"/>
      <c r="AD91" s="111"/>
      <c r="AE91" s="111"/>
      <c r="AF91" s="29"/>
      <c r="AG91" s="102">
        <f t="shared" si="16"/>
        <v>0</v>
      </c>
    </row>
    <row r="92" spans="1:33" x14ac:dyDescent="0.3">
      <c r="A92" s="115" t="s">
        <v>170</v>
      </c>
      <c r="B92" s="116"/>
      <c r="C92" s="117"/>
      <c r="D92" s="118"/>
      <c r="E92" s="117"/>
      <c r="F92" s="116"/>
      <c r="G92" s="116"/>
      <c r="H92" s="111"/>
      <c r="I92" s="111"/>
      <c r="J92" s="111"/>
      <c r="K92" s="111"/>
      <c r="L92" s="111"/>
      <c r="M92" s="111"/>
      <c r="N92" s="111"/>
      <c r="O92" s="111"/>
      <c r="P92" s="111"/>
      <c r="Q92" s="111"/>
      <c r="R92" s="111"/>
      <c r="S92" s="111"/>
      <c r="T92" s="111"/>
      <c r="U92" s="111"/>
      <c r="V92" s="111"/>
      <c r="W92" s="111"/>
      <c r="X92" s="111"/>
      <c r="Y92" s="111"/>
      <c r="Z92" s="111"/>
      <c r="AA92" s="111"/>
      <c r="AB92" s="111"/>
      <c r="AC92" s="111"/>
      <c r="AD92" s="111"/>
      <c r="AE92" s="111"/>
      <c r="AF92" s="29"/>
      <c r="AG92" s="102">
        <f t="shared" si="16"/>
        <v>0</v>
      </c>
    </row>
    <row r="93" spans="1:33" ht="409.5" x14ac:dyDescent="0.3">
      <c r="A93" s="122" t="s">
        <v>184</v>
      </c>
      <c r="B93" s="113"/>
      <c r="C93" s="121"/>
      <c r="D93" s="121"/>
      <c r="E93" s="121"/>
      <c r="F93" s="121"/>
      <c r="G93" s="121"/>
      <c r="H93" s="111"/>
      <c r="I93" s="111"/>
      <c r="J93" s="111"/>
      <c r="K93" s="111"/>
      <c r="L93" s="111"/>
      <c r="M93" s="111"/>
      <c r="N93" s="111"/>
      <c r="O93" s="111"/>
      <c r="P93" s="111"/>
      <c r="Q93" s="111"/>
      <c r="R93" s="111"/>
      <c r="S93" s="111"/>
      <c r="T93" s="111"/>
      <c r="U93" s="111"/>
      <c r="V93" s="111"/>
      <c r="W93" s="111"/>
      <c r="X93" s="111"/>
      <c r="Y93" s="111"/>
      <c r="Z93" s="111"/>
      <c r="AA93" s="111"/>
      <c r="AB93" s="111"/>
      <c r="AC93" s="111"/>
      <c r="AD93" s="111"/>
      <c r="AE93" s="111"/>
      <c r="AF93" s="731" t="s">
        <v>672</v>
      </c>
      <c r="AG93" s="102">
        <f t="shared" si="16"/>
        <v>0</v>
      </c>
    </row>
    <row r="94" spans="1:33" x14ac:dyDescent="0.3">
      <c r="A94" s="112" t="s">
        <v>31</v>
      </c>
      <c r="B94" s="647">
        <f>B96+B97+B95+B98</f>
        <v>69540.7</v>
      </c>
      <c r="C94" s="647">
        <f>C96+C97+C95+C98</f>
        <v>21341.660000000003</v>
      </c>
      <c r="D94" s="113">
        <f>D96+D97+D95+D98</f>
        <v>28414.600999999999</v>
      </c>
      <c r="E94" s="113">
        <f>E96+E97+E95+E98</f>
        <v>28414.600999999999</v>
      </c>
      <c r="F94" s="113">
        <f>IFERROR(E94/B94*100,0)</f>
        <v>40.860389671084704</v>
      </c>
      <c r="G94" s="113">
        <f>IFERROR(E94/C94*100,0)</f>
        <v>133.14147540538082</v>
      </c>
      <c r="H94" s="113">
        <f t="shared" ref="H94:AE94" si="19">H96+H97+H95+H98</f>
        <v>4455.3</v>
      </c>
      <c r="I94" s="113">
        <f t="shared" si="19"/>
        <v>1704.55</v>
      </c>
      <c r="J94" s="113">
        <f t="shared" si="19"/>
        <v>5432.6</v>
      </c>
      <c r="K94" s="113">
        <f t="shared" si="19"/>
        <v>4745.9340000000002</v>
      </c>
      <c r="L94" s="113">
        <f t="shared" si="19"/>
        <v>5550.1</v>
      </c>
      <c r="M94" s="113">
        <f t="shared" si="19"/>
        <v>4233.8149999999996</v>
      </c>
      <c r="N94" s="113">
        <f t="shared" si="19"/>
        <v>5903.66</v>
      </c>
      <c r="O94" s="113">
        <f t="shared" si="19"/>
        <v>5042.84</v>
      </c>
      <c r="P94" s="113">
        <f t="shared" si="19"/>
        <v>5862.9</v>
      </c>
      <c r="Q94" s="113">
        <f t="shared" si="19"/>
        <v>6486.4440000000004</v>
      </c>
      <c r="R94" s="113">
        <f t="shared" si="19"/>
        <v>6768.2</v>
      </c>
      <c r="S94" s="113">
        <f t="shared" si="19"/>
        <v>6201.018</v>
      </c>
      <c r="T94" s="113">
        <f t="shared" si="19"/>
        <v>7220.2</v>
      </c>
      <c r="U94" s="113">
        <f t="shared" si="19"/>
        <v>0</v>
      </c>
      <c r="V94" s="113">
        <f t="shared" si="19"/>
        <v>6208.74</v>
      </c>
      <c r="W94" s="113">
        <f t="shared" si="19"/>
        <v>0</v>
      </c>
      <c r="X94" s="113">
        <f t="shared" si="19"/>
        <v>6066.4</v>
      </c>
      <c r="Y94" s="113">
        <f t="shared" si="19"/>
        <v>0</v>
      </c>
      <c r="Z94" s="113">
        <f t="shared" si="19"/>
        <v>6496</v>
      </c>
      <c r="AA94" s="113">
        <f t="shared" si="19"/>
        <v>0</v>
      </c>
      <c r="AB94" s="113">
        <f t="shared" si="19"/>
        <v>5947.9</v>
      </c>
      <c r="AC94" s="113">
        <f t="shared" si="19"/>
        <v>0</v>
      </c>
      <c r="AD94" s="113">
        <f t="shared" si="19"/>
        <v>3628.7</v>
      </c>
      <c r="AE94" s="113">
        <f t="shared" si="19"/>
        <v>0</v>
      </c>
      <c r="AF94" s="29"/>
      <c r="AG94" s="102">
        <f t="shared" si="16"/>
        <v>-6.3664629124104977E-12</v>
      </c>
    </row>
    <row r="95" spans="1:33" x14ac:dyDescent="0.3">
      <c r="A95" s="115" t="s">
        <v>169</v>
      </c>
      <c r="B95" s="116"/>
      <c r="C95" s="117"/>
      <c r="D95" s="118"/>
      <c r="E95" s="117"/>
      <c r="F95" s="116"/>
      <c r="G95" s="116"/>
      <c r="H95" s="111"/>
      <c r="I95" s="111"/>
      <c r="J95" s="111"/>
      <c r="K95" s="111"/>
      <c r="L95" s="111"/>
      <c r="M95" s="111"/>
      <c r="N95" s="111"/>
      <c r="O95" s="111"/>
      <c r="P95" s="111"/>
      <c r="Q95" s="111"/>
      <c r="R95" s="111"/>
      <c r="S95" s="111"/>
      <c r="T95" s="111"/>
      <c r="U95" s="111"/>
      <c r="V95" s="111"/>
      <c r="W95" s="111"/>
      <c r="X95" s="111"/>
      <c r="Y95" s="111"/>
      <c r="Z95" s="111"/>
      <c r="AA95" s="111"/>
      <c r="AB95" s="111"/>
      <c r="AC95" s="111"/>
      <c r="AD95" s="111"/>
      <c r="AE95" s="111"/>
      <c r="AF95" s="29"/>
      <c r="AG95" s="102">
        <f t="shared" si="16"/>
        <v>0</v>
      </c>
    </row>
    <row r="96" spans="1:33" x14ac:dyDescent="0.3">
      <c r="A96" s="115" t="s">
        <v>32</v>
      </c>
      <c r="B96" s="116"/>
      <c r="C96" s="117"/>
      <c r="D96" s="118"/>
      <c r="E96" s="117"/>
      <c r="F96" s="116"/>
      <c r="G96" s="116"/>
      <c r="H96" s="111"/>
      <c r="I96" s="111"/>
      <c r="J96" s="111"/>
      <c r="K96" s="111"/>
      <c r="L96" s="111"/>
      <c r="M96" s="111"/>
      <c r="N96" s="111"/>
      <c r="O96" s="111"/>
      <c r="P96" s="111"/>
      <c r="Q96" s="111"/>
      <c r="R96" s="111"/>
      <c r="S96" s="111"/>
      <c r="T96" s="111"/>
      <c r="U96" s="111"/>
      <c r="V96" s="111"/>
      <c r="W96" s="111"/>
      <c r="X96" s="111"/>
      <c r="Y96" s="111"/>
      <c r="Z96" s="111"/>
      <c r="AA96" s="111"/>
      <c r="AB96" s="111"/>
      <c r="AC96" s="111"/>
      <c r="AD96" s="111"/>
      <c r="AE96" s="111"/>
      <c r="AF96" s="29"/>
      <c r="AG96" s="102">
        <f t="shared" si="16"/>
        <v>0</v>
      </c>
    </row>
    <row r="97" spans="1:33" x14ac:dyDescent="0.3">
      <c r="A97" s="115" t="s">
        <v>33</v>
      </c>
      <c r="B97" s="116">
        <f>J97+L97+N97+P97+R97+T97+V97+X97+Z97+AB97+AD97+H97</f>
        <v>69540.7</v>
      </c>
      <c r="C97" s="117">
        <f>SUM(H97+J97+L97+N97)</f>
        <v>21341.660000000003</v>
      </c>
      <c r="D97" s="118">
        <f>E97</f>
        <v>28414.600999999999</v>
      </c>
      <c r="E97" s="117">
        <f>SUM(I97,K97,M97,O97,Q97,S97,U97,W97,Y97,AA97,AC97,AE97)</f>
        <v>28414.600999999999</v>
      </c>
      <c r="F97" s="116">
        <f>IFERROR(E97/B97*100,0)</f>
        <v>40.860389671084704</v>
      </c>
      <c r="G97" s="116">
        <f>IFERROR(E97/C97*100,0)</f>
        <v>133.14147540538082</v>
      </c>
      <c r="H97" s="111">
        <v>4455.3</v>
      </c>
      <c r="I97" s="111">
        <v>1704.55</v>
      </c>
      <c r="J97" s="111">
        <v>5432.6</v>
      </c>
      <c r="K97" s="729">
        <v>4745.9340000000002</v>
      </c>
      <c r="L97" s="111">
        <v>5550.1</v>
      </c>
      <c r="M97" s="111">
        <v>4233.8149999999996</v>
      </c>
      <c r="N97" s="111">
        <v>5903.66</v>
      </c>
      <c r="O97" s="111">
        <v>5042.84</v>
      </c>
      <c r="P97" s="111">
        <v>5862.9</v>
      </c>
      <c r="Q97" s="898">
        <v>6486.4440000000004</v>
      </c>
      <c r="R97" s="111">
        <v>6768.2</v>
      </c>
      <c r="S97" s="111">
        <v>6201.018</v>
      </c>
      <c r="T97" s="111">
        <v>7220.2</v>
      </c>
      <c r="U97" s="111"/>
      <c r="V97" s="111">
        <v>6208.74</v>
      </c>
      <c r="W97" s="111"/>
      <c r="X97" s="111">
        <v>6066.4</v>
      </c>
      <c r="Y97" s="111"/>
      <c r="Z97" s="111">
        <v>6496</v>
      </c>
      <c r="AA97" s="111"/>
      <c r="AB97" s="111">
        <v>5947.9</v>
      </c>
      <c r="AC97" s="111"/>
      <c r="AD97" s="111">
        <v>3628.7</v>
      </c>
      <c r="AE97" s="111"/>
      <c r="AF97" s="29"/>
      <c r="AG97" s="102">
        <f t="shared" si="16"/>
        <v>-6.3664629124104977E-12</v>
      </c>
    </row>
    <row r="98" spans="1:33" x14ac:dyDescent="0.3">
      <c r="A98" s="115" t="s">
        <v>170</v>
      </c>
      <c r="B98" s="116"/>
      <c r="C98" s="117"/>
      <c r="D98" s="118"/>
      <c r="E98" s="117"/>
      <c r="F98" s="116"/>
      <c r="G98" s="116"/>
      <c r="H98" s="111"/>
      <c r="I98" s="111"/>
      <c r="J98" s="111"/>
      <c r="K98" s="111"/>
      <c r="L98" s="111"/>
      <c r="M98" s="111"/>
      <c r="N98" s="111"/>
      <c r="O98" s="111"/>
      <c r="P98" s="111"/>
      <c r="Q98" s="111"/>
      <c r="R98" s="111"/>
      <c r="S98" s="111"/>
      <c r="T98" s="111"/>
      <c r="U98" s="111"/>
      <c r="V98" s="111"/>
      <c r="W98" s="111"/>
      <c r="X98" s="111"/>
      <c r="Y98" s="111"/>
      <c r="Z98" s="111"/>
      <c r="AA98" s="111"/>
      <c r="AB98" s="111"/>
      <c r="AC98" s="111"/>
      <c r="AD98" s="111"/>
      <c r="AE98" s="111"/>
      <c r="AF98" s="29"/>
      <c r="AG98" s="102">
        <f t="shared" si="16"/>
        <v>0</v>
      </c>
    </row>
    <row r="99" spans="1:33" ht="56.25" x14ac:dyDescent="0.3">
      <c r="A99" s="124" t="s">
        <v>185</v>
      </c>
      <c r="B99" s="104"/>
      <c r="C99" s="125"/>
      <c r="D99" s="125"/>
      <c r="E99" s="125"/>
      <c r="F99" s="125"/>
      <c r="G99" s="125"/>
      <c r="H99" s="104"/>
      <c r="I99" s="104"/>
      <c r="J99" s="104"/>
      <c r="K99" s="104"/>
      <c r="L99" s="104"/>
      <c r="M99" s="104"/>
      <c r="N99" s="104"/>
      <c r="O99" s="104"/>
      <c r="P99" s="104"/>
      <c r="Q99" s="104"/>
      <c r="R99" s="104"/>
      <c r="S99" s="104"/>
      <c r="T99" s="104"/>
      <c r="U99" s="104"/>
      <c r="V99" s="104"/>
      <c r="W99" s="104"/>
      <c r="X99" s="104"/>
      <c r="Y99" s="104"/>
      <c r="Z99" s="104"/>
      <c r="AA99" s="104"/>
      <c r="AB99" s="104"/>
      <c r="AC99" s="104"/>
      <c r="AD99" s="104"/>
      <c r="AE99" s="104"/>
      <c r="AF99" s="101"/>
      <c r="AG99" s="102">
        <f t="shared" si="16"/>
        <v>0</v>
      </c>
    </row>
    <row r="100" spans="1:33" x14ac:dyDescent="0.3">
      <c r="A100" s="128" t="s">
        <v>31</v>
      </c>
      <c r="B100" s="104">
        <f>B101+B102+B103+B104</f>
        <v>21330.5</v>
      </c>
      <c r="C100" s="104">
        <f>C101+C102+C103</f>
        <v>4931.76</v>
      </c>
      <c r="D100" s="104">
        <f>D101+D102+D103</f>
        <v>3929.0600000000004</v>
      </c>
      <c r="E100" s="104">
        <f>E101+E102+E103</f>
        <v>3929.0600000000004</v>
      </c>
      <c r="F100" s="105">
        <f>IFERROR(E100/B100*100,0)</f>
        <v>18.419915144980195</v>
      </c>
      <c r="G100" s="105">
        <f>IFERROR(E100/C100*100,0)</f>
        <v>79.668515905072439</v>
      </c>
      <c r="H100" s="104">
        <f>H101+H102+H103+H104</f>
        <v>0</v>
      </c>
      <c r="I100" s="104">
        <f t="shared" ref="I100:AE100" si="20">I101+I102+I103+I104</f>
        <v>0</v>
      </c>
      <c r="J100" s="104">
        <f t="shared" si="20"/>
        <v>2745.02</v>
      </c>
      <c r="K100" s="104">
        <f t="shared" si="20"/>
        <v>72</v>
      </c>
      <c r="L100" s="104">
        <f t="shared" si="20"/>
        <v>1174.94</v>
      </c>
      <c r="M100" s="104">
        <f t="shared" si="20"/>
        <v>1577.99</v>
      </c>
      <c r="N100" s="104">
        <f t="shared" si="20"/>
        <v>1011.8</v>
      </c>
      <c r="O100" s="104">
        <f t="shared" si="20"/>
        <v>1089.1300000000001</v>
      </c>
      <c r="P100" s="104">
        <f t="shared" si="20"/>
        <v>15817</v>
      </c>
      <c r="Q100" s="104">
        <f t="shared" si="20"/>
        <v>99.9</v>
      </c>
      <c r="R100" s="104">
        <f t="shared" si="20"/>
        <v>153.1</v>
      </c>
      <c r="S100" s="104">
        <f t="shared" si="20"/>
        <v>1090.04</v>
      </c>
      <c r="T100" s="104">
        <f t="shared" si="20"/>
        <v>0</v>
      </c>
      <c r="U100" s="104">
        <f t="shared" si="20"/>
        <v>0</v>
      </c>
      <c r="V100" s="104">
        <f t="shared" si="20"/>
        <v>30.87</v>
      </c>
      <c r="W100" s="104">
        <f t="shared" si="20"/>
        <v>0</v>
      </c>
      <c r="X100" s="104">
        <f t="shared" si="20"/>
        <v>27.52</v>
      </c>
      <c r="Y100" s="104">
        <f t="shared" si="20"/>
        <v>0</v>
      </c>
      <c r="Z100" s="104">
        <f t="shared" si="20"/>
        <v>136.01</v>
      </c>
      <c r="AA100" s="104">
        <f t="shared" si="20"/>
        <v>0</v>
      </c>
      <c r="AB100" s="104">
        <f t="shared" si="20"/>
        <v>35</v>
      </c>
      <c r="AC100" s="104">
        <f t="shared" si="20"/>
        <v>0</v>
      </c>
      <c r="AD100" s="104">
        <f t="shared" si="20"/>
        <v>199.24</v>
      </c>
      <c r="AE100" s="104">
        <f t="shared" si="20"/>
        <v>0</v>
      </c>
      <c r="AF100" s="101"/>
      <c r="AG100" s="102">
        <f t="shared" si="16"/>
        <v>1.5916157281026244E-12</v>
      </c>
    </row>
    <row r="101" spans="1:33" x14ac:dyDescent="0.3">
      <c r="A101" s="129" t="s">
        <v>169</v>
      </c>
      <c r="B101" s="107"/>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c r="AA101" s="107"/>
      <c r="AB101" s="107"/>
      <c r="AC101" s="107"/>
      <c r="AD101" s="107"/>
      <c r="AE101" s="107"/>
      <c r="AF101" s="101"/>
      <c r="AG101" s="102">
        <f t="shared" si="16"/>
        <v>0</v>
      </c>
    </row>
    <row r="102" spans="1:33" x14ac:dyDescent="0.3">
      <c r="A102" s="129" t="s">
        <v>32</v>
      </c>
      <c r="B102" s="107"/>
      <c r="C102" s="107"/>
      <c r="D102" s="107"/>
      <c r="E102" s="107"/>
      <c r="F102" s="107"/>
      <c r="G102" s="107"/>
      <c r="H102" s="107"/>
      <c r="I102" s="107"/>
      <c r="J102" s="107"/>
      <c r="K102" s="107"/>
      <c r="L102" s="107"/>
      <c r="M102" s="107"/>
      <c r="N102" s="107"/>
      <c r="O102" s="107"/>
      <c r="P102" s="107"/>
      <c r="Q102" s="107"/>
      <c r="R102" s="107"/>
      <c r="S102" s="107"/>
      <c r="T102" s="107"/>
      <c r="U102" s="107"/>
      <c r="V102" s="107"/>
      <c r="W102" s="107"/>
      <c r="X102" s="107"/>
      <c r="Y102" s="107"/>
      <c r="Z102" s="107"/>
      <c r="AA102" s="107"/>
      <c r="AB102" s="107"/>
      <c r="AC102" s="107"/>
      <c r="AD102" s="107"/>
      <c r="AE102" s="107"/>
      <c r="AF102" s="101"/>
      <c r="AG102" s="102">
        <f t="shared" si="16"/>
        <v>0</v>
      </c>
    </row>
    <row r="103" spans="1:33" x14ac:dyDescent="0.3">
      <c r="A103" s="129" t="s">
        <v>33</v>
      </c>
      <c r="B103" s="107">
        <f>B109+B115+B121</f>
        <v>21330.5</v>
      </c>
      <c r="C103" s="107">
        <f>C109+C115+C121</f>
        <v>4931.76</v>
      </c>
      <c r="D103" s="107">
        <f>D109+D115+D121</f>
        <v>3929.0600000000004</v>
      </c>
      <c r="E103" s="107">
        <f>E109+E115+E121</f>
        <v>3929.0600000000004</v>
      </c>
      <c r="F103" s="107">
        <f>IFERROR(E103/B103*100,0)</f>
        <v>18.419915144980195</v>
      </c>
      <c r="G103" s="107">
        <f>IFERROR(E103/C103*100,0)</f>
        <v>79.668515905072439</v>
      </c>
      <c r="H103" s="107">
        <f>H109+H115+H121</f>
        <v>0</v>
      </c>
      <c r="I103" s="107">
        <f t="shared" ref="I103:AE104" si="21">I109+I115+I121</f>
        <v>0</v>
      </c>
      <c r="J103" s="107">
        <f t="shared" si="21"/>
        <v>2745.02</v>
      </c>
      <c r="K103" s="107">
        <f t="shared" si="21"/>
        <v>72</v>
      </c>
      <c r="L103" s="107">
        <f t="shared" si="21"/>
        <v>1174.94</v>
      </c>
      <c r="M103" s="107">
        <f t="shared" si="21"/>
        <v>1577.99</v>
      </c>
      <c r="N103" s="107">
        <f t="shared" si="21"/>
        <v>1011.8</v>
      </c>
      <c r="O103" s="107">
        <f t="shared" si="21"/>
        <v>1089.1300000000001</v>
      </c>
      <c r="P103" s="107">
        <f t="shared" si="21"/>
        <v>15817</v>
      </c>
      <c r="Q103" s="107">
        <f t="shared" si="21"/>
        <v>99.9</v>
      </c>
      <c r="R103" s="107">
        <f t="shared" si="21"/>
        <v>153.1</v>
      </c>
      <c r="S103" s="107">
        <f t="shared" si="21"/>
        <v>1090.04</v>
      </c>
      <c r="T103" s="107">
        <f t="shared" si="21"/>
        <v>0</v>
      </c>
      <c r="U103" s="107">
        <f t="shared" si="21"/>
        <v>0</v>
      </c>
      <c r="V103" s="107">
        <f t="shared" si="21"/>
        <v>30.87</v>
      </c>
      <c r="W103" s="107">
        <f t="shared" si="21"/>
        <v>0</v>
      </c>
      <c r="X103" s="107">
        <f t="shared" si="21"/>
        <v>27.52</v>
      </c>
      <c r="Y103" s="107">
        <f t="shared" si="21"/>
        <v>0</v>
      </c>
      <c r="Z103" s="107">
        <f t="shared" si="21"/>
        <v>136.01</v>
      </c>
      <c r="AA103" s="107">
        <f t="shared" si="21"/>
        <v>0</v>
      </c>
      <c r="AB103" s="107">
        <f t="shared" si="21"/>
        <v>35</v>
      </c>
      <c r="AC103" s="107">
        <f t="shared" si="21"/>
        <v>0</v>
      </c>
      <c r="AD103" s="107">
        <f t="shared" si="21"/>
        <v>199.24</v>
      </c>
      <c r="AE103" s="107">
        <f t="shared" si="21"/>
        <v>0</v>
      </c>
      <c r="AF103" s="101"/>
      <c r="AG103" s="102">
        <f t="shared" si="16"/>
        <v>1.5916157281026244E-12</v>
      </c>
    </row>
    <row r="104" spans="1:33" x14ac:dyDescent="0.3">
      <c r="A104" s="129" t="s">
        <v>170</v>
      </c>
      <c r="B104" s="107">
        <f>B110+B116+B122</f>
        <v>0</v>
      </c>
      <c r="C104" s="107"/>
      <c r="D104" s="107"/>
      <c r="E104" s="107"/>
      <c r="F104" s="107"/>
      <c r="G104" s="107"/>
      <c r="H104" s="107">
        <f>H110+H116+H122</f>
        <v>0</v>
      </c>
      <c r="I104" s="107">
        <f t="shared" si="21"/>
        <v>0</v>
      </c>
      <c r="J104" s="107">
        <f t="shared" si="21"/>
        <v>0</v>
      </c>
      <c r="K104" s="107">
        <f t="shared" si="21"/>
        <v>0</v>
      </c>
      <c r="L104" s="107">
        <f t="shared" si="21"/>
        <v>0</v>
      </c>
      <c r="M104" s="107">
        <f t="shared" si="21"/>
        <v>0</v>
      </c>
      <c r="N104" s="107">
        <f t="shared" si="21"/>
        <v>0</v>
      </c>
      <c r="O104" s="107">
        <f t="shared" si="21"/>
        <v>0</v>
      </c>
      <c r="P104" s="107">
        <f t="shared" si="21"/>
        <v>0</v>
      </c>
      <c r="Q104" s="107">
        <f t="shared" si="21"/>
        <v>0</v>
      </c>
      <c r="R104" s="107">
        <f t="shared" si="21"/>
        <v>0</v>
      </c>
      <c r="S104" s="107">
        <f t="shared" si="21"/>
        <v>0</v>
      </c>
      <c r="T104" s="107">
        <f t="shared" si="21"/>
        <v>0</v>
      </c>
      <c r="U104" s="107">
        <f t="shared" si="21"/>
        <v>0</v>
      </c>
      <c r="V104" s="107">
        <f t="shared" si="21"/>
        <v>0</v>
      </c>
      <c r="W104" s="107">
        <f t="shared" si="21"/>
        <v>0</v>
      </c>
      <c r="X104" s="107">
        <f t="shared" si="21"/>
        <v>0</v>
      </c>
      <c r="Y104" s="107">
        <f t="shared" si="21"/>
        <v>0</v>
      </c>
      <c r="Z104" s="107">
        <f t="shared" si="21"/>
        <v>0</v>
      </c>
      <c r="AA104" s="107">
        <f t="shared" si="21"/>
        <v>0</v>
      </c>
      <c r="AB104" s="107">
        <f t="shared" si="21"/>
        <v>0</v>
      </c>
      <c r="AC104" s="107">
        <f t="shared" si="21"/>
        <v>0</v>
      </c>
      <c r="AD104" s="107">
        <f t="shared" si="21"/>
        <v>0</v>
      </c>
      <c r="AE104" s="107">
        <f t="shared" si="21"/>
        <v>0</v>
      </c>
      <c r="AF104" s="101"/>
      <c r="AG104" s="102">
        <f t="shared" si="16"/>
        <v>0</v>
      </c>
    </row>
    <row r="105" spans="1:33" ht="56.25" x14ac:dyDescent="0.3">
      <c r="A105" s="108" t="s">
        <v>186</v>
      </c>
      <c r="B105" s="130"/>
      <c r="C105" s="131"/>
      <c r="D105" s="131"/>
      <c r="E105" s="131"/>
      <c r="F105" s="131"/>
      <c r="G105" s="13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29"/>
      <c r="AG105" s="102">
        <f t="shared" si="16"/>
        <v>0</v>
      </c>
    </row>
    <row r="106" spans="1:33" ht="409.5" x14ac:dyDescent="0.3">
      <c r="A106" s="112" t="s">
        <v>31</v>
      </c>
      <c r="B106" s="805">
        <f>B108+B109+B107+B110</f>
        <v>18474.5</v>
      </c>
      <c r="C106" s="113">
        <f>C108+C109+C107+C110</f>
        <v>2406.7600000000002</v>
      </c>
      <c r="D106" s="113">
        <f>D108+D109+D107+D110</f>
        <v>2335.5600000000004</v>
      </c>
      <c r="E106" s="113">
        <f>E108+E109+E107+E110</f>
        <v>2335.5600000000004</v>
      </c>
      <c r="F106" s="113">
        <f>IFERROR(E106/B106*100,0)</f>
        <v>12.642074210398119</v>
      </c>
      <c r="G106" s="113">
        <f>IFERROR(E106/C106*100,0)</f>
        <v>97.041665974172759</v>
      </c>
      <c r="H106" s="113">
        <f t="shared" ref="H106:AE106" si="22">H108+H109+H107+H110</f>
        <v>0</v>
      </c>
      <c r="I106" s="113">
        <f t="shared" si="22"/>
        <v>0</v>
      </c>
      <c r="J106" s="113">
        <f t="shared" si="22"/>
        <v>220.02</v>
      </c>
      <c r="K106" s="113">
        <f t="shared" si="22"/>
        <v>72</v>
      </c>
      <c r="L106" s="113">
        <f t="shared" si="22"/>
        <v>1174.94</v>
      </c>
      <c r="M106" s="113">
        <f t="shared" si="22"/>
        <v>315.49</v>
      </c>
      <c r="N106" s="113">
        <f t="shared" si="22"/>
        <v>1011.8</v>
      </c>
      <c r="O106" s="113">
        <f t="shared" si="22"/>
        <v>1089.1300000000001</v>
      </c>
      <c r="P106" s="113">
        <f t="shared" si="22"/>
        <v>15486</v>
      </c>
      <c r="Q106" s="113">
        <f t="shared" si="22"/>
        <v>99.9</v>
      </c>
      <c r="R106" s="113">
        <f t="shared" si="22"/>
        <v>153.1</v>
      </c>
      <c r="S106" s="113">
        <f t="shared" si="22"/>
        <v>759.04</v>
      </c>
      <c r="T106" s="113">
        <f t="shared" si="22"/>
        <v>0</v>
      </c>
      <c r="U106" s="113">
        <f t="shared" si="22"/>
        <v>0</v>
      </c>
      <c r="V106" s="113">
        <f t="shared" si="22"/>
        <v>30.87</v>
      </c>
      <c r="W106" s="113">
        <f t="shared" si="22"/>
        <v>0</v>
      </c>
      <c r="X106" s="113">
        <f t="shared" si="22"/>
        <v>27.52</v>
      </c>
      <c r="Y106" s="113">
        <f t="shared" si="22"/>
        <v>0</v>
      </c>
      <c r="Z106" s="113">
        <f t="shared" si="22"/>
        <v>136.01</v>
      </c>
      <c r="AA106" s="113">
        <f t="shared" si="22"/>
        <v>0</v>
      </c>
      <c r="AB106" s="113">
        <f t="shared" si="22"/>
        <v>35</v>
      </c>
      <c r="AC106" s="113">
        <f t="shared" si="22"/>
        <v>0</v>
      </c>
      <c r="AD106" s="113">
        <f t="shared" si="22"/>
        <v>199.24</v>
      </c>
      <c r="AE106" s="113">
        <f t="shared" si="22"/>
        <v>0</v>
      </c>
      <c r="AF106" s="848" t="s">
        <v>659</v>
      </c>
      <c r="AG106" s="102">
        <f t="shared" si="16"/>
        <v>1.5916157281026244E-12</v>
      </c>
    </row>
    <row r="107" spans="1:33" x14ac:dyDescent="0.3">
      <c r="A107" s="115" t="s">
        <v>169</v>
      </c>
      <c r="B107" s="116"/>
      <c r="C107" s="117"/>
      <c r="D107" s="118"/>
      <c r="E107" s="117"/>
      <c r="F107" s="116"/>
      <c r="G107" s="116"/>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994"/>
      <c r="AG107" s="102">
        <f t="shared" si="16"/>
        <v>0</v>
      </c>
    </row>
    <row r="108" spans="1:33" x14ac:dyDescent="0.3">
      <c r="A108" s="115" t="s">
        <v>32</v>
      </c>
      <c r="B108" s="116"/>
      <c r="C108" s="117"/>
      <c r="D108" s="118"/>
      <c r="E108" s="117"/>
      <c r="F108" s="116"/>
      <c r="G108" s="116"/>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c r="AD108" s="111"/>
      <c r="AE108" s="111"/>
      <c r="AF108" s="994"/>
      <c r="AG108" s="102">
        <f t="shared" si="16"/>
        <v>0</v>
      </c>
    </row>
    <row r="109" spans="1:33" x14ac:dyDescent="0.3">
      <c r="A109" s="115" t="s">
        <v>33</v>
      </c>
      <c r="B109" s="116">
        <f>J109+L109+N109+P109+R109+T109+V109+X109+Z109+AB109+AD109+H109</f>
        <v>18474.5</v>
      </c>
      <c r="C109" s="117">
        <f>SUM(H109+J109+L109+N109)</f>
        <v>2406.7600000000002</v>
      </c>
      <c r="D109" s="118">
        <f>E109</f>
        <v>2335.5600000000004</v>
      </c>
      <c r="E109" s="117">
        <f>SUM(I109,K109,M109,O109,Q109,S109,U109,W109,Y109,AA109,AC109,AE109)</f>
        <v>2335.5600000000004</v>
      </c>
      <c r="F109" s="116">
        <f>IFERROR(E109/B109*100,0)</f>
        <v>12.642074210398119</v>
      </c>
      <c r="G109" s="116">
        <f>IFERROR(E109/C109*100,0)</f>
        <v>97.041665974172759</v>
      </c>
      <c r="H109" s="111">
        <v>0</v>
      </c>
      <c r="I109" s="111">
        <v>0</v>
      </c>
      <c r="J109" s="111">
        <v>220.02</v>
      </c>
      <c r="K109" s="111">
        <v>72</v>
      </c>
      <c r="L109" s="111">
        <v>1174.94</v>
      </c>
      <c r="M109" s="111">
        <v>315.49</v>
      </c>
      <c r="N109" s="111">
        <v>1011.8</v>
      </c>
      <c r="O109" s="111">
        <v>1089.1300000000001</v>
      </c>
      <c r="P109" s="111">
        <v>15486</v>
      </c>
      <c r="Q109" s="111">
        <v>99.9</v>
      </c>
      <c r="R109" s="111">
        <v>153.1</v>
      </c>
      <c r="S109" s="111">
        <v>759.04</v>
      </c>
      <c r="T109" s="111">
        <v>0</v>
      </c>
      <c r="U109" s="111"/>
      <c r="V109" s="111">
        <v>30.87</v>
      </c>
      <c r="W109" s="111"/>
      <c r="X109" s="111">
        <v>27.52</v>
      </c>
      <c r="Y109" s="111"/>
      <c r="Z109" s="111">
        <v>136.01</v>
      </c>
      <c r="AA109" s="111"/>
      <c r="AB109" s="111">
        <v>35</v>
      </c>
      <c r="AC109" s="111"/>
      <c r="AD109" s="111">
        <v>199.24</v>
      </c>
      <c r="AE109" s="111"/>
      <c r="AF109" s="995"/>
      <c r="AG109" s="102">
        <f t="shared" si="16"/>
        <v>1.5916157281026244E-12</v>
      </c>
    </row>
    <row r="110" spans="1:33" x14ac:dyDescent="0.3">
      <c r="A110" s="122" t="s">
        <v>170</v>
      </c>
      <c r="B110" s="116"/>
      <c r="C110" s="117"/>
      <c r="D110" s="118"/>
      <c r="E110" s="117"/>
      <c r="F110" s="116"/>
      <c r="G110" s="116"/>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c r="AD110" s="111"/>
      <c r="AE110" s="111"/>
      <c r="AF110" s="29"/>
      <c r="AG110" s="102">
        <f t="shared" si="16"/>
        <v>0</v>
      </c>
    </row>
    <row r="111" spans="1:33" ht="220.5" x14ac:dyDescent="0.3">
      <c r="A111" s="127" t="s">
        <v>187</v>
      </c>
      <c r="B111" s="130"/>
      <c r="C111" s="131"/>
      <c r="D111" s="131"/>
      <c r="E111" s="131"/>
      <c r="F111" s="131"/>
      <c r="G111" s="13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c r="AD111" s="111"/>
      <c r="AE111" s="111"/>
      <c r="AF111" s="854" t="s">
        <v>673</v>
      </c>
      <c r="AG111" s="102">
        <f t="shared" si="16"/>
        <v>0</v>
      </c>
    </row>
    <row r="112" spans="1:33" x14ac:dyDescent="0.3">
      <c r="A112" s="112" t="s">
        <v>31</v>
      </c>
      <c r="B112" s="805">
        <f>B114+B115+B113+B116</f>
        <v>2525</v>
      </c>
      <c r="C112" s="805">
        <f>C114+C115+C113+C116</f>
        <v>2525</v>
      </c>
      <c r="D112" s="113">
        <f>D114+D115+D113+D116</f>
        <v>1262.5</v>
      </c>
      <c r="E112" s="113">
        <f>E114+E115+E113+E116</f>
        <v>1262.5</v>
      </c>
      <c r="F112" s="113">
        <f>IFERROR(E112/B112*100,0)</f>
        <v>50</v>
      </c>
      <c r="G112" s="113">
        <f>IFERROR(E112/C112*100,0)</f>
        <v>50</v>
      </c>
      <c r="H112" s="113">
        <f t="shared" ref="H112:AE112" si="23">H114+H115+H113+H116</f>
        <v>0</v>
      </c>
      <c r="I112" s="113">
        <f t="shared" si="23"/>
        <v>0</v>
      </c>
      <c r="J112" s="113">
        <f t="shared" si="23"/>
        <v>2525</v>
      </c>
      <c r="K112" s="113">
        <f t="shared" si="23"/>
        <v>0</v>
      </c>
      <c r="L112" s="113">
        <f t="shared" si="23"/>
        <v>0</v>
      </c>
      <c r="M112" s="113">
        <f t="shared" si="23"/>
        <v>1262.5</v>
      </c>
      <c r="N112" s="113">
        <f t="shared" si="23"/>
        <v>0</v>
      </c>
      <c r="O112" s="113">
        <f t="shared" si="23"/>
        <v>0</v>
      </c>
      <c r="P112" s="113">
        <f t="shared" si="23"/>
        <v>0</v>
      </c>
      <c r="Q112" s="113">
        <f t="shared" si="23"/>
        <v>0</v>
      </c>
      <c r="R112" s="113">
        <f t="shared" si="23"/>
        <v>0</v>
      </c>
      <c r="S112" s="113">
        <f t="shared" si="23"/>
        <v>0</v>
      </c>
      <c r="T112" s="113">
        <f t="shared" si="23"/>
        <v>0</v>
      </c>
      <c r="U112" s="113">
        <f t="shared" si="23"/>
        <v>0</v>
      </c>
      <c r="V112" s="113">
        <f t="shared" si="23"/>
        <v>0</v>
      </c>
      <c r="W112" s="113">
        <f t="shared" si="23"/>
        <v>0</v>
      </c>
      <c r="X112" s="113">
        <f t="shared" si="23"/>
        <v>0</v>
      </c>
      <c r="Y112" s="113">
        <f t="shared" si="23"/>
        <v>0</v>
      </c>
      <c r="Z112" s="113">
        <f t="shared" si="23"/>
        <v>0</v>
      </c>
      <c r="AA112" s="113">
        <f t="shared" si="23"/>
        <v>0</v>
      </c>
      <c r="AB112" s="113">
        <f t="shared" si="23"/>
        <v>0</v>
      </c>
      <c r="AC112" s="113">
        <f t="shared" si="23"/>
        <v>0</v>
      </c>
      <c r="AD112" s="113">
        <f t="shared" si="23"/>
        <v>0</v>
      </c>
      <c r="AE112" s="113">
        <f t="shared" si="23"/>
        <v>0</v>
      </c>
      <c r="AF112" s="29"/>
      <c r="AG112" s="102">
        <f t="shared" si="16"/>
        <v>0</v>
      </c>
    </row>
    <row r="113" spans="1:33" x14ac:dyDescent="0.3">
      <c r="A113" s="115" t="s">
        <v>169</v>
      </c>
      <c r="B113" s="116">
        <f>H113+J113+L113+N113+P113+R113+T113+V113+X113+Z113+AB113+AD113</f>
        <v>0</v>
      </c>
      <c r="C113" s="808">
        <f>SUM(H113)</f>
        <v>0</v>
      </c>
      <c r="D113" s="118">
        <f>E113</f>
        <v>0</v>
      </c>
      <c r="E113" s="117">
        <f>SUM(I113,K113,M113,O113,Q113,S113,U113,W113,Y113,AA113,AC113,AE113)</f>
        <v>0</v>
      </c>
      <c r="F113" s="116">
        <f>IFERROR(E113/B113*100,0)</f>
        <v>0</v>
      </c>
      <c r="G113" s="116">
        <f>IFERROR(E113/C113*100,0)</f>
        <v>0</v>
      </c>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c r="AD113" s="111"/>
      <c r="AE113" s="111"/>
      <c r="AF113" s="29"/>
      <c r="AG113" s="102">
        <f t="shared" si="16"/>
        <v>0</v>
      </c>
    </row>
    <row r="114" spans="1:33" x14ac:dyDescent="0.3">
      <c r="A114" s="115" t="s">
        <v>32</v>
      </c>
      <c r="B114" s="116">
        <f>J114+L114+N114+P114+R114+T114+V114+X114+Z114+AB114+AD114+H114</f>
        <v>0</v>
      </c>
      <c r="C114" s="808">
        <f>SUM(H114)</f>
        <v>0</v>
      </c>
      <c r="D114" s="118">
        <f>E114</f>
        <v>0</v>
      </c>
      <c r="E114" s="117">
        <f>SUM(I114,K114,M114,O114,Q114,S114,U114,W114,Y114,AA114,AC114,AE114)</f>
        <v>0</v>
      </c>
      <c r="F114" s="116">
        <f>IFERROR(E114/B114*100,0)</f>
        <v>0</v>
      </c>
      <c r="G114" s="116">
        <f>IFERROR(E114/C114*100,0)</f>
        <v>0</v>
      </c>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c r="AD114" s="111"/>
      <c r="AE114" s="111"/>
      <c r="AF114" s="29"/>
      <c r="AG114" s="102">
        <f t="shared" si="16"/>
        <v>0</v>
      </c>
    </row>
    <row r="115" spans="1:33" x14ac:dyDescent="0.3">
      <c r="A115" s="115" t="s">
        <v>33</v>
      </c>
      <c r="B115" s="116">
        <f>J115+L115+N115+P115+R115+T115+V115+X115+Z115+AB115+AD115+H115</f>
        <v>2525</v>
      </c>
      <c r="C115" s="808">
        <f>SUM(H115+J115+L115)</f>
        <v>2525</v>
      </c>
      <c r="D115" s="118">
        <f>E115</f>
        <v>1262.5</v>
      </c>
      <c r="E115" s="117">
        <f>SUM(I115,K115,M115,O115,Q115,S115,U115,W115,Y115,AA115,AC115,AE115)</f>
        <v>1262.5</v>
      </c>
      <c r="F115" s="116">
        <f>IFERROR(E115/B115*100,0)</f>
        <v>50</v>
      </c>
      <c r="G115" s="116">
        <f>IFERROR(E115/C115*100,0)</f>
        <v>50</v>
      </c>
      <c r="H115" s="111">
        <v>0</v>
      </c>
      <c r="I115" s="111">
        <v>0</v>
      </c>
      <c r="J115" s="111">
        <v>2525</v>
      </c>
      <c r="K115" s="111">
        <v>0</v>
      </c>
      <c r="L115" s="111">
        <v>0</v>
      </c>
      <c r="M115" s="111">
        <v>1262.5</v>
      </c>
      <c r="N115" s="111">
        <v>0</v>
      </c>
      <c r="O115" s="111">
        <v>0</v>
      </c>
      <c r="P115" s="111">
        <v>0</v>
      </c>
      <c r="Q115" s="111">
        <v>0</v>
      </c>
      <c r="R115" s="111">
        <v>0</v>
      </c>
      <c r="S115" s="111">
        <v>0</v>
      </c>
      <c r="T115" s="111"/>
      <c r="U115" s="111"/>
      <c r="V115" s="111"/>
      <c r="W115" s="111"/>
      <c r="X115" s="111"/>
      <c r="Y115" s="111"/>
      <c r="Z115" s="111"/>
      <c r="AA115" s="111"/>
      <c r="AB115" s="111"/>
      <c r="AC115" s="111"/>
      <c r="AD115" s="111"/>
      <c r="AE115" s="111"/>
      <c r="AF115" s="29"/>
      <c r="AG115" s="102">
        <f t="shared" si="16"/>
        <v>0</v>
      </c>
    </row>
    <row r="116" spans="1:33" x14ac:dyDescent="0.3">
      <c r="A116" s="122" t="s">
        <v>170</v>
      </c>
      <c r="B116" s="116">
        <f>J116+L116+N116+P116+R116+T116+V116+X116+Z116+AB116+AD116+H116</f>
        <v>0</v>
      </c>
      <c r="C116" s="117">
        <f>SUM(H116)</f>
        <v>0</v>
      </c>
      <c r="D116" s="118">
        <f>E116</f>
        <v>0</v>
      </c>
      <c r="E116" s="117">
        <f>SUM(I116,K116,M116,O116,Q116,S116,U116,W116,Y116,AA116,AC116,AE116)</f>
        <v>0</v>
      </c>
      <c r="F116" s="116">
        <f>IFERROR(E116/B116*100,0)</f>
        <v>0</v>
      </c>
      <c r="G116" s="116">
        <f>IFERROR(E116/C116*100,0)</f>
        <v>0</v>
      </c>
      <c r="H116" s="111"/>
      <c r="I116" s="111"/>
      <c r="J116" s="111"/>
      <c r="K116" s="111">
        <v>0</v>
      </c>
      <c r="L116" s="111"/>
      <c r="M116" s="111"/>
      <c r="N116" s="111"/>
      <c r="O116" s="111"/>
      <c r="P116" s="111"/>
      <c r="Q116" s="111"/>
      <c r="R116" s="111"/>
      <c r="S116" s="111"/>
      <c r="T116" s="111"/>
      <c r="U116" s="111"/>
      <c r="V116" s="111"/>
      <c r="W116" s="111"/>
      <c r="X116" s="111"/>
      <c r="Y116" s="111"/>
      <c r="Z116" s="111"/>
      <c r="AA116" s="111"/>
      <c r="AB116" s="111"/>
      <c r="AC116" s="111"/>
      <c r="AD116" s="111"/>
      <c r="AE116" s="111"/>
      <c r="AF116" s="29"/>
      <c r="AG116" s="102">
        <f t="shared" si="16"/>
        <v>0</v>
      </c>
    </row>
    <row r="117" spans="1:33" ht="141.75" x14ac:dyDescent="0.3">
      <c r="A117" s="122" t="s">
        <v>188</v>
      </c>
      <c r="B117" s="116"/>
      <c r="C117" s="123"/>
      <c r="D117" s="123"/>
      <c r="E117" s="123"/>
      <c r="F117" s="123"/>
      <c r="G117" s="123"/>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c r="AD117" s="111"/>
      <c r="AE117" s="111"/>
      <c r="AF117" s="901" t="s">
        <v>669</v>
      </c>
      <c r="AG117" s="102">
        <f t="shared" si="16"/>
        <v>0</v>
      </c>
    </row>
    <row r="118" spans="1:33" x14ac:dyDescent="0.3">
      <c r="A118" s="112" t="s">
        <v>31</v>
      </c>
      <c r="B118" s="805">
        <f>B120+B121+B119+B122</f>
        <v>331</v>
      </c>
      <c r="C118" s="805">
        <f>C120+C121+C119+C122</f>
        <v>0</v>
      </c>
      <c r="D118" s="805">
        <f>D120+D121+D119+D122</f>
        <v>331</v>
      </c>
      <c r="E118" s="113">
        <f>E120+E121+E119+E122</f>
        <v>331</v>
      </c>
      <c r="F118" s="113">
        <f>IFERROR(E118/B118*100,0)</f>
        <v>100</v>
      </c>
      <c r="G118" s="113">
        <f>IFERROR(E118/C118*100,0)</f>
        <v>0</v>
      </c>
      <c r="H118" s="113">
        <f t="shared" ref="H118:AE118" si="24">H120+H121+H119+H122</f>
        <v>0</v>
      </c>
      <c r="I118" s="113">
        <f t="shared" si="24"/>
        <v>0</v>
      </c>
      <c r="J118" s="113">
        <f t="shared" si="24"/>
        <v>0</v>
      </c>
      <c r="K118" s="113">
        <f t="shared" si="24"/>
        <v>0</v>
      </c>
      <c r="L118" s="113">
        <f t="shared" si="24"/>
        <v>0</v>
      </c>
      <c r="M118" s="113">
        <f t="shared" si="24"/>
        <v>0</v>
      </c>
      <c r="N118" s="113">
        <f t="shared" si="24"/>
        <v>0</v>
      </c>
      <c r="O118" s="113">
        <f t="shared" si="24"/>
        <v>0</v>
      </c>
      <c r="P118" s="113">
        <f t="shared" si="24"/>
        <v>331</v>
      </c>
      <c r="Q118" s="113">
        <f t="shared" si="24"/>
        <v>0</v>
      </c>
      <c r="R118" s="113">
        <f t="shared" si="24"/>
        <v>0</v>
      </c>
      <c r="S118" s="113">
        <f t="shared" si="24"/>
        <v>331</v>
      </c>
      <c r="T118" s="113">
        <f t="shared" si="24"/>
        <v>0</v>
      </c>
      <c r="U118" s="113">
        <f t="shared" si="24"/>
        <v>0</v>
      </c>
      <c r="V118" s="113">
        <f t="shared" si="24"/>
        <v>0</v>
      </c>
      <c r="W118" s="113">
        <f t="shared" si="24"/>
        <v>0</v>
      </c>
      <c r="X118" s="113">
        <f t="shared" si="24"/>
        <v>0</v>
      </c>
      <c r="Y118" s="113">
        <f t="shared" si="24"/>
        <v>0</v>
      </c>
      <c r="Z118" s="113">
        <f t="shared" si="24"/>
        <v>0</v>
      </c>
      <c r="AA118" s="113">
        <f t="shared" si="24"/>
        <v>0</v>
      </c>
      <c r="AB118" s="113">
        <f t="shared" si="24"/>
        <v>0</v>
      </c>
      <c r="AC118" s="113">
        <f t="shared" si="24"/>
        <v>0</v>
      </c>
      <c r="AD118" s="113">
        <f t="shared" si="24"/>
        <v>0</v>
      </c>
      <c r="AE118" s="113">
        <f t="shared" si="24"/>
        <v>0</v>
      </c>
      <c r="AF118" s="29"/>
      <c r="AG118" s="102">
        <f t="shared" si="16"/>
        <v>0</v>
      </c>
    </row>
    <row r="119" spans="1:33" x14ac:dyDescent="0.3">
      <c r="A119" s="115" t="s">
        <v>169</v>
      </c>
      <c r="B119" s="116">
        <f>H119+J119+L119+N119+P119+R119+T119+V119+X119+Z119+AB119+AD119</f>
        <v>0</v>
      </c>
      <c r="C119" s="117">
        <f>SUM(H119)</f>
        <v>0</v>
      </c>
      <c r="D119" s="118">
        <f>E119</f>
        <v>0</v>
      </c>
      <c r="E119" s="117">
        <f>SUM(I119,K119,M119,O119,Q119,S119,U119,W119,Y119,AA119,AC119,AE119)</f>
        <v>0</v>
      </c>
      <c r="F119" s="116">
        <f>IFERROR(E119/B119*100,0)</f>
        <v>0</v>
      </c>
      <c r="G119" s="116">
        <f>IFERROR(E119/C119*100,0)</f>
        <v>0</v>
      </c>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29"/>
      <c r="AG119" s="102">
        <f t="shared" si="16"/>
        <v>0</v>
      </c>
    </row>
    <row r="120" spans="1:33" x14ac:dyDescent="0.3">
      <c r="A120" s="115" t="s">
        <v>32</v>
      </c>
      <c r="B120" s="116">
        <f>J120+L120+N120+P120+R120+T120+V120+X120+Z120+AB120+AD120+H120</f>
        <v>0</v>
      </c>
      <c r="C120" s="117">
        <f>SUM(H120)</f>
        <v>0</v>
      </c>
      <c r="D120" s="118">
        <f>E120</f>
        <v>0</v>
      </c>
      <c r="E120" s="117">
        <f>SUM(I120,K120,M120,O120,Q120,S120,U120,W120,Y120,AA120,AC120,AE120)</f>
        <v>0</v>
      </c>
      <c r="F120" s="116">
        <f>IFERROR(E120/B120*100,0)</f>
        <v>0</v>
      </c>
      <c r="G120" s="116">
        <f>IFERROR(E120/C120*100,0)</f>
        <v>0</v>
      </c>
      <c r="H120" s="111">
        <v>0</v>
      </c>
      <c r="I120" s="111"/>
      <c r="J120" s="111"/>
      <c r="K120" s="111"/>
      <c r="L120" s="111"/>
      <c r="M120" s="111"/>
      <c r="N120" s="111"/>
      <c r="O120" s="111"/>
      <c r="P120" s="111"/>
      <c r="Q120" s="111"/>
      <c r="R120" s="111"/>
      <c r="S120" s="111"/>
      <c r="T120" s="111"/>
      <c r="U120" s="111"/>
      <c r="V120" s="111"/>
      <c r="W120" s="111"/>
      <c r="X120" s="111"/>
      <c r="Y120" s="111"/>
      <c r="Z120" s="111"/>
      <c r="AA120" s="111"/>
      <c r="AB120" s="111"/>
      <c r="AC120" s="111"/>
      <c r="AD120" s="111"/>
      <c r="AE120" s="111"/>
      <c r="AF120" s="29"/>
      <c r="AG120" s="102">
        <f t="shared" si="16"/>
        <v>0</v>
      </c>
    </row>
    <row r="121" spans="1:33" x14ac:dyDescent="0.3">
      <c r="A121" s="115" t="s">
        <v>33</v>
      </c>
      <c r="B121" s="116">
        <f>J121+L121+N121+P121+R121+T121+V121+X121+Z121+AB121+AD121+H121</f>
        <v>331</v>
      </c>
      <c r="C121" s="117">
        <f>SUM(H121)</f>
        <v>0</v>
      </c>
      <c r="D121" s="118">
        <f>E121</f>
        <v>331</v>
      </c>
      <c r="E121" s="117">
        <f>SUM(I121,K121,M121,O121,Q121,S121,U121,W121,Y121,AA121,AC121,AE121)</f>
        <v>331</v>
      </c>
      <c r="F121" s="116">
        <f>IFERROR(E121/B121*100,0)</f>
        <v>100</v>
      </c>
      <c r="G121" s="116">
        <f>IFERROR(E121/C121*100,0)</f>
        <v>0</v>
      </c>
      <c r="H121" s="111">
        <v>0</v>
      </c>
      <c r="I121" s="111">
        <v>0</v>
      </c>
      <c r="J121" s="111">
        <v>0</v>
      </c>
      <c r="K121" s="111">
        <v>0</v>
      </c>
      <c r="L121" s="111">
        <v>0</v>
      </c>
      <c r="M121" s="111">
        <v>0</v>
      </c>
      <c r="N121" s="111">
        <v>0</v>
      </c>
      <c r="O121" s="111">
        <v>0</v>
      </c>
      <c r="P121" s="111">
        <v>331</v>
      </c>
      <c r="Q121" s="111">
        <v>0</v>
      </c>
      <c r="R121" s="111">
        <v>0</v>
      </c>
      <c r="S121" s="111">
        <v>331</v>
      </c>
      <c r="T121" s="111"/>
      <c r="U121" s="111"/>
      <c r="V121" s="111"/>
      <c r="W121" s="111"/>
      <c r="X121" s="111"/>
      <c r="Y121" s="111"/>
      <c r="Z121" s="111"/>
      <c r="AA121" s="111"/>
      <c r="AB121" s="111"/>
      <c r="AC121" s="111"/>
      <c r="AD121" s="111"/>
      <c r="AE121" s="111"/>
      <c r="AF121" s="29"/>
      <c r="AG121" s="102">
        <f t="shared" si="16"/>
        <v>0</v>
      </c>
    </row>
    <row r="122" spans="1:33" x14ac:dyDescent="0.3">
      <c r="A122" s="122" t="s">
        <v>170</v>
      </c>
      <c r="B122" s="116">
        <f>J122+L122+N122+P122+R122+T122+V122+X122+Z122+AB122+AD122+H122</f>
        <v>0</v>
      </c>
      <c r="C122" s="117">
        <f>SUM(H122)</f>
        <v>0</v>
      </c>
      <c r="D122" s="118">
        <f>E122</f>
        <v>0</v>
      </c>
      <c r="E122" s="117">
        <f>SUM(I122,K122,M122,O122,Q122,S122,U122,W122,Y122,AA122,AC122,AE122)</f>
        <v>0</v>
      </c>
      <c r="F122" s="116">
        <f>IFERROR(E122/B122*100,0)</f>
        <v>0</v>
      </c>
      <c r="G122" s="116">
        <f>IFERROR(E122/C122*100,0)</f>
        <v>0</v>
      </c>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c r="AD122" s="111"/>
      <c r="AE122" s="111"/>
      <c r="AF122" s="29"/>
      <c r="AG122" s="102">
        <f t="shared" si="16"/>
        <v>0</v>
      </c>
    </row>
    <row r="123" spans="1:33" ht="37.5" x14ac:dyDescent="0.3">
      <c r="A123" s="124" t="s">
        <v>189</v>
      </c>
      <c r="B123" s="104"/>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5"/>
      <c r="AC123" s="125"/>
      <c r="AD123" s="125"/>
      <c r="AE123" s="125"/>
      <c r="AF123" s="101"/>
      <c r="AG123" s="102">
        <f t="shared" si="16"/>
        <v>0</v>
      </c>
    </row>
    <row r="124" spans="1:33" x14ac:dyDescent="0.3">
      <c r="A124" s="128" t="s">
        <v>31</v>
      </c>
      <c r="B124" s="104">
        <f>B125+B126+B127+B128</f>
        <v>99097.994999999981</v>
      </c>
      <c r="C124" s="104">
        <f>C125+C126+C127</f>
        <v>27660.564999999995</v>
      </c>
      <c r="D124" s="104">
        <f>D125+D126+D127</f>
        <v>44877.020000000004</v>
      </c>
      <c r="E124" s="104">
        <f>E125+E126+E127</f>
        <v>44877.020000000004</v>
      </c>
      <c r="F124" s="104">
        <f>E124/B124*100</f>
        <v>45.28549745128548</v>
      </c>
      <c r="G124" s="104">
        <f>E124/C124*100</f>
        <v>162.24187756106937</v>
      </c>
      <c r="H124" s="104">
        <f>H125+H126+H127</f>
        <v>3705.29</v>
      </c>
      <c r="I124" s="104">
        <f t="shared" ref="I124:AE124" si="25">I125+I126+I127</f>
        <v>1612.47</v>
      </c>
      <c r="J124" s="104">
        <f t="shared" si="25"/>
        <v>8006.5599999999995</v>
      </c>
      <c r="K124" s="104">
        <f t="shared" si="25"/>
        <v>5898.18</v>
      </c>
      <c r="L124" s="104">
        <f t="shared" si="25"/>
        <v>6365.35</v>
      </c>
      <c r="M124" s="104">
        <f t="shared" si="25"/>
        <v>6074.42</v>
      </c>
      <c r="N124" s="104">
        <f t="shared" si="25"/>
        <v>9373.1649999999991</v>
      </c>
      <c r="O124" s="104">
        <f t="shared" si="25"/>
        <v>5603.16</v>
      </c>
      <c r="P124" s="104">
        <f t="shared" si="25"/>
        <v>11010.08</v>
      </c>
      <c r="Q124" s="104">
        <f t="shared" si="25"/>
        <v>7368.02</v>
      </c>
      <c r="R124" s="104">
        <f t="shared" si="25"/>
        <v>10552.17</v>
      </c>
      <c r="S124" s="104">
        <f t="shared" si="25"/>
        <v>18320.77</v>
      </c>
      <c r="T124" s="104">
        <f t="shared" si="25"/>
        <v>14497.540999999999</v>
      </c>
      <c r="U124" s="104">
        <f t="shared" si="25"/>
        <v>0</v>
      </c>
      <c r="V124" s="104">
        <f t="shared" si="25"/>
        <v>5732.7340000000004</v>
      </c>
      <c r="W124" s="104">
        <f t="shared" si="25"/>
        <v>0</v>
      </c>
      <c r="X124" s="104">
        <f t="shared" si="25"/>
        <v>5684.9530000000004</v>
      </c>
      <c r="Y124" s="104">
        <f t="shared" si="25"/>
        <v>0</v>
      </c>
      <c r="Z124" s="104">
        <f t="shared" si="25"/>
        <v>7105.4139999999998</v>
      </c>
      <c r="AA124" s="104">
        <f t="shared" si="25"/>
        <v>0</v>
      </c>
      <c r="AB124" s="104">
        <f t="shared" si="25"/>
        <v>7119.7759999999998</v>
      </c>
      <c r="AC124" s="104">
        <f t="shared" si="25"/>
        <v>0</v>
      </c>
      <c r="AD124" s="104">
        <f t="shared" si="25"/>
        <v>9944.9619999999995</v>
      </c>
      <c r="AE124" s="104">
        <f t="shared" si="25"/>
        <v>0</v>
      </c>
      <c r="AF124" s="101"/>
      <c r="AG124" s="102">
        <f t="shared" si="16"/>
        <v>0</v>
      </c>
    </row>
    <row r="125" spans="1:33" x14ac:dyDescent="0.3">
      <c r="A125" s="129" t="s">
        <v>169</v>
      </c>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107"/>
      <c r="AE125" s="107"/>
      <c r="AF125" s="101"/>
      <c r="AG125" s="102">
        <f t="shared" si="16"/>
        <v>0</v>
      </c>
    </row>
    <row r="126" spans="1:33" x14ac:dyDescent="0.3">
      <c r="A126" s="129" t="s">
        <v>32</v>
      </c>
      <c r="B126" s="107"/>
      <c r="C126" s="107"/>
      <c r="D126" s="107"/>
      <c r="E126" s="107"/>
      <c r="F126" s="107"/>
      <c r="G126" s="107"/>
      <c r="H126" s="107"/>
      <c r="I126" s="107"/>
      <c r="J126" s="107"/>
      <c r="K126" s="107"/>
      <c r="L126" s="107"/>
      <c r="M126" s="107"/>
      <c r="N126" s="107"/>
      <c r="O126" s="107"/>
      <c r="P126" s="107"/>
      <c r="Q126" s="107"/>
      <c r="R126" s="107"/>
      <c r="S126" s="107"/>
      <c r="T126" s="107"/>
      <c r="U126" s="107"/>
      <c r="V126" s="107"/>
      <c r="W126" s="107"/>
      <c r="X126" s="107"/>
      <c r="Y126" s="107"/>
      <c r="Z126" s="107"/>
      <c r="AA126" s="107"/>
      <c r="AB126" s="107"/>
      <c r="AC126" s="107"/>
      <c r="AD126" s="107"/>
      <c r="AE126" s="107"/>
      <c r="AF126" s="101"/>
      <c r="AG126" s="102">
        <f t="shared" si="16"/>
        <v>0</v>
      </c>
    </row>
    <row r="127" spans="1:33" x14ac:dyDescent="0.3">
      <c r="A127" s="129" t="s">
        <v>33</v>
      </c>
      <c r="B127" s="107">
        <f>B133+B146+B152</f>
        <v>99097.994999999981</v>
      </c>
      <c r="C127" s="107">
        <f>C133+C146+C152</f>
        <v>27660.564999999995</v>
      </c>
      <c r="D127" s="107">
        <f>D133+D146+D152</f>
        <v>44877.020000000004</v>
      </c>
      <c r="E127" s="107">
        <f>E133+E146+E152</f>
        <v>44877.020000000004</v>
      </c>
      <c r="F127" s="107">
        <f>IFERROR(E127/B127*100,0)</f>
        <v>45.28549745128548</v>
      </c>
      <c r="G127" s="107">
        <f>IFERROR(E127/C127*100,0)</f>
        <v>162.24187756106937</v>
      </c>
      <c r="H127" s="107">
        <f>H133+H146+H152</f>
        <v>3705.29</v>
      </c>
      <c r="I127" s="107">
        <f t="shared" ref="I127:AE127" si="26">I133+I146+I152</f>
        <v>1612.47</v>
      </c>
      <c r="J127" s="107">
        <f t="shared" si="26"/>
        <v>8006.5599999999995</v>
      </c>
      <c r="K127" s="107">
        <f t="shared" si="26"/>
        <v>5898.18</v>
      </c>
      <c r="L127" s="107">
        <f t="shared" si="26"/>
        <v>6365.35</v>
      </c>
      <c r="M127" s="107">
        <f t="shared" si="26"/>
        <v>6074.42</v>
      </c>
      <c r="N127" s="107">
        <f t="shared" si="26"/>
        <v>9373.1649999999991</v>
      </c>
      <c r="O127" s="107">
        <f t="shared" si="26"/>
        <v>5603.16</v>
      </c>
      <c r="P127" s="107">
        <f t="shared" si="26"/>
        <v>11010.08</v>
      </c>
      <c r="Q127" s="107">
        <f t="shared" si="26"/>
        <v>7368.02</v>
      </c>
      <c r="R127" s="107">
        <f t="shared" si="26"/>
        <v>10552.17</v>
      </c>
      <c r="S127" s="107">
        <f t="shared" si="26"/>
        <v>18320.77</v>
      </c>
      <c r="T127" s="107">
        <f t="shared" si="26"/>
        <v>14497.540999999999</v>
      </c>
      <c r="U127" s="107">
        <f t="shared" si="26"/>
        <v>0</v>
      </c>
      <c r="V127" s="107">
        <f t="shared" si="26"/>
        <v>5732.7340000000004</v>
      </c>
      <c r="W127" s="107">
        <f t="shared" si="26"/>
        <v>0</v>
      </c>
      <c r="X127" s="107">
        <f t="shared" si="26"/>
        <v>5684.9530000000004</v>
      </c>
      <c r="Y127" s="107">
        <f t="shared" si="26"/>
        <v>0</v>
      </c>
      <c r="Z127" s="107">
        <f t="shared" si="26"/>
        <v>7105.4139999999998</v>
      </c>
      <c r="AA127" s="107">
        <f t="shared" si="26"/>
        <v>0</v>
      </c>
      <c r="AB127" s="107">
        <f t="shared" si="26"/>
        <v>7119.7759999999998</v>
      </c>
      <c r="AC127" s="107">
        <f t="shared" si="26"/>
        <v>0</v>
      </c>
      <c r="AD127" s="107">
        <f t="shared" si="26"/>
        <v>9944.9619999999995</v>
      </c>
      <c r="AE127" s="107">
        <f t="shared" si="26"/>
        <v>0</v>
      </c>
      <c r="AF127" s="101"/>
      <c r="AG127" s="102">
        <f t="shared" si="16"/>
        <v>0</v>
      </c>
    </row>
    <row r="128" spans="1:33" x14ac:dyDescent="0.3">
      <c r="A128" s="129" t="s">
        <v>170</v>
      </c>
      <c r="B128" s="107">
        <f>B134+B147+B153</f>
        <v>0</v>
      </c>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107"/>
      <c r="AE128" s="107"/>
      <c r="AF128" s="101"/>
      <c r="AG128" s="102">
        <f t="shared" si="16"/>
        <v>0</v>
      </c>
    </row>
    <row r="129" spans="1:33" ht="362.25" x14ac:dyDescent="0.3">
      <c r="A129" s="108" t="s">
        <v>190</v>
      </c>
      <c r="B129" s="130"/>
      <c r="C129" s="131"/>
      <c r="D129" s="131"/>
      <c r="E129" s="131"/>
      <c r="F129" s="131"/>
      <c r="G129" s="13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c r="AD129" s="111"/>
      <c r="AE129" s="111"/>
      <c r="AF129" s="732" t="s">
        <v>547</v>
      </c>
      <c r="AG129" s="102">
        <f t="shared" si="16"/>
        <v>0</v>
      </c>
    </row>
    <row r="130" spans="1:33" x14ac:dyDescent="0.3">
      <c r="A130" s="112" t="s">
        <v>31</v>
      </c>
      <c r="B130" s="805">
        <f>B132+B133+B131+B134</f>
        <v>99097.994999999981</v>
      </c>
      <c r="C130" s="113">
        <f>C132+C133+C131+C134</f>
        <v>27450.364999999998</v>
      </c>
      <c r="D130" s="113">
        <f>D132+D133+D131+D134</f>
        <v>44877.020000000004</v>
      </c>
      <c r="E130" s="113">
        <f>E132+E133+E131+E134</f>
        <v>44877.020000000004</v>
      </c>
      <c r="F130" s="113">
        <f>IFERROR(E130/B130*100,0)</f>
        <v>45.28549745128548</v>
      </c>
      <c r="G130" s="113">
        <f>IFERROR(E130/C130*100,0)</f>
        <v>163.4842378234315</v>
      </c>
      <c r="H130" s="113">
        <f t="shared" ref="H130:AE130" si="27">H132+H133+H131+H134</f>
        <v>3705.29</v>
      </c>
      <c r="I130" s="113">
        <f t="shared" si="27"/>
        <v>1612.47</v>
      </c>
      <c r="J130" s="113">
        <f t="shared" si="27"/>
        <v>8006.5599999999995</v>
      </c>
      <c r="K130" s="113">
        <f t="shared" si="27"/>
        <v>5898.18</v>
      </c>
      <c r="L130" s="113">
        <f t="shared" si="27"/>
        <v>6365.35</v>
      </c>
      <c r="M130" s="113">
        <f t="shared" si="27"/>
        <v>6074.42</v>
      </c>
      <c r="N130" s="113">
        <f t="shared" si="27"/>
        <v>9373.1649999999991</v>
      </c>
      <c r="O130" s="113">
        <f t="shared" si="27"/>
        <v>5603.16</v>
      </c>
      <c r="P130" s="113">
        <f t="shared" si="27"/>
        <v>11010.08</v>
      </c>
      <c r="Q130" s="113">
        <f t="shared" si="27"/>
        <v>7368.02</v>
      </c>
      <c r="R130" s="113">
        <f t="shared" si="27"/>
        <v>10552.17</v>
      </c>
      <c r="S130" s="113">
        <f t="shared" si="27"/>
        <v>18320.77</v>
      </c>
      <c r="T130" s="113">
        <f t="shared" si="27"/>
        <v>14497.540999999999</v>
      </c>
      <c r="U130" s="113">
        <f t="shared" si="27"/>
        <v>0</v>
      </c>
      <c r="V130" s="113">
        <f t="shared" si="27"/>
        <v>5732.7340000000004</v>
      </c>
      <c r="W130" s="113">
        <f t="shared" si="27"/>
        <v>0</v>
      </c>
      <c r="X130" s="113">
        <f t="shared" si="27"/>
        <v>5684.9530000000004</v>
      </c>
      <c r="Y130" s="113">
        <f t="shared" si="27"/>
        <v>0</v>
      </c>
      <c r="Z130" s="113">
        <f t="shared" si="27"/>
        <v>7105.4139999999998</v>
      </c>
      <c r="AA130" s="113">
        <f t="shared" si="27"/>
        <v>0</v>
      </c>
      <c r="AB130" s="113">
        <f t="shared" si="27"/>
        <v>7119.7759999999998</v>
      </c>
      <c r="AC130" s="113">
        <f t="shared" si="27"/>
        <v>0</v>
      </c>
      <c r="AD130" s="113">
        <f t="shared" si="27"/>
        <v>9944.9619999999995</v>
      </c>
      <c r="AE130" s="113">
        <f t="shared" si="27"/>
        <v>0</v>
      </c>
      <c r="AF130" s="29"/>
      <c r="AG130" s="102">
        <f t="shared" si="16"/>
        <v>0</v>
      </c>
    </row>
    <row r="131" spans="1:33" x14ac:dyDescent="0.3">
      <c r="A131" s="115" t="s">
        <v>169</v>
      </c>
      <c r="B131" s="116"/>
      <c r="C131" s="117"/>
      <c r="D131" s="118"/>
      <c r="E131" s="117"/>
      <c r="F131" s="116"/>
      <c r="G131" s="116"/>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29"/>
      <c r="AG131" s="102">
        <f t="shared" si="16"/>
        <v>0</v>
      </c>
    </row>
    <row r="132" spans="1:33" x14ac:dyDescent="0.3">
      <c r="A132" s="115" t="s">
        <v>32</v>
      </c>
      <c r="B132" s="116"/>
      <c r="C132" s="117"/>
      <c r="D132" s="118"/>
      <c r="E132" s="117"/>
      <c r="F132" s="116"/>
      <c r="G132" s="116"/>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c r="AD132" s="111"/>
      <c r="AE132" s="111"/>
      <c r="AF132" s="29"/>
      <c r="AG132" s="102">
        <f t="shared" si="16"/>
        <v>0</v>
      </c>
    </row>
    <row r="133" spans="1:33" x14ac:dyDescent="0.3">
      <c r="A133" s="115" t="s">
        <v>33</v>
      </c>
      <c r="B133" s="116">
        <f>J133+L133+N133+P133+R133+T133+V133+X133+Z133+AB133+AD133+H133</f>
        <v>99097.994999999981</v>
      </c>
      <c r="C133" s="117">
        <f>SUM(H133+J133+L133+N133)</f>
        <v>27450.364999999998</v>
      </c>
      <c r="D133" s="118">
        <f>E133</f>
        <v>44877.020000000004</v>
      </c>
      <c r="E133" s="117">
        <f>SUM(I133,K133,M133,O133,Q133,S133,U133,W133,Y133,AA133,AC133,AE133)</f>
        <v>44877.020000000004</v>
      </c>
      <c r="F133" s="116">
        <f>IFERROR(E133/B133*100,0)</f>
        <v>45.28549745128548</v>
      </c>
      <c r="G133" s="116">
        <f>IFERROR(E133/C133*100,0)</f>
        <v>163.4842378234315</v>
      </c>
      <c r="H133" s="111">
        <f>1570.01+2135.28</f>
        <v>3705.29</v>
      </c>
      <c r="I133" s="520">
        <v>1612.47</v>
      </c>
      <c r="J133" s="111">
        <f>2798.56+5208</f>
        <v>8006.5599999999995</v>
      </c>
      <c r="K133" s="111">
        <v>5898.18</v>
      </c>
      <c r="L133" s="111">
        <f>2068.75+4296.6</f>
        <v>6365.35</v>
      </c>
      <c r="M133" s="111">
        <v>6074.42</v>
      </c>
      <c r="N133" s="520">
        <f>2980.345+6392.82</f>
        <v>9373.1649999999991</v>
      </c>
      <c r="O133" s="109">
        <v>5603.16</v>
      </c>
      <c r="P133" s="111">
        <f>3849.08+7161</f>
        <v>11010.08</v>
      </c>
      <c r="Q133" s="109">
        <v>7368.02</v>
      </c>
      <c r="R133" s="111">
        <f>2740.17+7812</f>
        <v>10552.17</v>
      </c>
      <c r="S133" s="111">
        <v>18320.77</v>
      </c>
      <c r="T133" s="111">
        <v>14497.540999999999</v>
      </c>
      <c r="U133" s="111"/>
      <c r="V133" s="111">
        <v>5732.7340000000004</v>
      </c>
      <c r="W133" s="111"/>
      <c r="X133" s="111">
        <v>5684.9530000000004</v>
      </c>
      <c r="Y133" s="111"/>
      <c r="Z133" s="111">
        <v>7105.4139999999998</v>
      </c>
      <c r="AA133" s="111"/>
      <c r="AB133" s="111">
        <v>7119.7759999999998</v>
      </c>
      <c r="AC133" s="111"/>
      <c r="AD133" s="111">
        <v>9944.9619999999995</v>
      </c>
      <c r="AE133" s="111"/>
      <c r="AF133" s="29"/>
      <c r="AG133" s="102">
        <f t="shared" si="16"/>
        <v>0</v>
      </c>
    </row>
    <row r="134" spans="1:33" x14ac:dyDescent="0.3">
      <c r="A134" s="122" t="s">
        <v>170</v>
      </c>
      <c r="B134" s="116"/>
      <c r="C134" s="117"/>
      <c r="D134" s="118"/>
      <c r="E134" s="117"/>
      <c r="F134" s="116"/>
      <c r="G134" s="116"/>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c r="AD134" s="111"/>
      <c r="AE134" s="111"/>
      <c r="AF134" s="29"/>
      <c r="AG134" s="102">
        <f t="shared" si="16"/>
        <v>0</v>
      </c>
    </row>
    <row r="135" spans="1:33" x14ac:dyDescent="0.3">
      <c r="A135" s="1032" t="s">
        <v>191</v>
      </c>
      <c r="B135" s="1033"/>
      <c r="C135" s="1033"/>
      <c r="D135" s="1033"/>
      <c r="E135" s="1033"/>
      <c r="F135" s="1033"/>
      <c r="G135" s="1033"/>
      <c r="H135" s="1033"/>
      <c r="I135" s="1033"/>
      <c r="J135" s="1033"/>
      <c r="K135" s="1033"/>
      <c r="L135" s="1033"/>
      <c r="M135" s="1033"/>
      <c r="N135" s="1033"/>
      <c r="O135" s="1033"/>
      <c r="P135" s="1033"/>
      <c r="Q135" s="1033"/>
      <c r="R135" s="1033"/>
      <c r="S135" s="1033"/>
      <c r="T135" s="1033"/>
      <c r="U135" s="1033"/>
      <c r="V135" s="1033"/>
      <c r="W135" s="1033"/>
      <c r="X135" s="1033"/>
      <c r="Y135" s="1033"/>
      <c r="Z135" s="1033"/>
      <c r="AA135" s="1033"/>
      <c r="AB135" s="1033"/>
      <c r="AC135" s="1033"/>
      <c r="AD135" s="1033"/>
      <c r="AE135" s="1033"/>
      <c r="AF135" s="1034"/>
      <c r="AG135" s="102">
        <f t="shared" si="16"/>
        <v>0</v>
      </c>
    </row>
    <row r="136" spans="1:33" x14ac:dyDescent="0.3">
      <c r="A136" s="1032" t="s">
        <v>167</v>
      </c>
      <c r="B136" s="1033"/>
      <c r="C136" s="1033"/>
      <c r="D136" s="1033"/>
      <c r="E136" s="1033"/>
      <c r="F136" s="1033"/>
      <c r="G136" s="1033"/>
      <c r="H136" s="1033"/>
      <c r="I136" s="1033"/>
      <c r="J136" s="1033"/>
      <c r="K136" s="1033"/>
      <c r="L136" s="1033"/>
      <c r="M136" s="1033"/>
      <c r="N136" s="1033"/>
      <c r="O136" s="1033"/>
      <c r="P136" s="1033"/>
      <c r="Q136" s="1033"/>
      <c r="R136" s="1033"/>
      <c r="S136" s="1033"/>
      <c r="T136" s="1033"/>
      <c r="U136" s="1033"/>
      <c r="V136" s="1033"/>
      <c r="W136" s="1033"/>
      <c r="X136" s="1033"/>
      <c r="Y136" s="1033"/>
      <c r="Z136" s="1033"/>
      <c r="AA136" s="1033"/>
      <c r="AB136" s="1033"/>
      <c r="AC136" s="1033"/>
      <c r="AD136" s="1033"/>
      <c r="AE136" s="1033"/>
      <c r="AF136" s="1034"/>
      <c r="AG136" s="102">
        <f t="shared" si="16"/>
        <v>0</v>
      </c>
    </row>
    <row r="137" spans="1:33" ht="56.25" x14ac:dyDescent="0.3">
      <c r="A137" s="124" t="s">
        <v>192</v>
      </c>
      <c r="B137" s="132"/>
      <c r="C137" s="133"/>
      <c r="D137" s="133"/>
      <c r="E137" s="133"/>
      <c r="F137" s="133"/>
      <c r="G137" s="133"/>
      <c r="H137" s="132"/>
      <c r="I137" s="132"/>
      <c r="J137" s="132"/>
      <c r="K137" s="132"/>
      <c r="L137" s="132"/>
      <c r="M137" s="132"/>
      <c r="N137" s="132"/>
      <c r="O137" s="132"/>
      <c r="P137" s="132"/>
      <c r="Q137" s="132"/>
      <c r="R137" s="132"/>
      <c r="S137" s="132"/>
      <c r="T137" s="132"/>
      <c r="U137" s="132"/>
      <c r="V137" s="132"/>
      <c r="W137" s="132"/>
      <c r="X137" s="132"/>
      <c r="Y137" s="132"/>
      <c r="Z137" s="132"/>
      <c r="AA137" s="132"/>
      <c r="AB137" s="132"/>
      <c r="AC137" s="132"/>
      <c r="AD137" s="132"/>
      <c r="AE137" s="132"/>
      <c r="AF137" s="101"/>
      <c r="AG137" s="102">
        <f t="shared" si="16"/>
        <v>0</v>
      </c>
    </row>
    <row r="138" spans="1:33" x14ac:dyDescent="0.3">
      <c r="A138" s="103" t="s">
        <v>31</v>
      </c>
      <c r="B138" s="104">
        <f>B139+B140+B141</f>
        <v>0</v>
      </c>
      <c r="C138" s="104">
        <f>C139+C140+C141</f>
        <v>0</v>
      </c>
      <c r="D138" s="104">
        <f>D139+D140+D141</f>
        <v>0</v>
      </c>
      <c r="E138" s="104">
        <f>E139+E140+E141</f>
        <v>0</v>
      </c>
      <c r="F138" s="107">
        <f>IFERROR(E138/B138*100,0)</f>
        <v>0</v>
      </c>
      <c r="G138" s="107">
        <f>IFERROR(E138/C138*100,0)</f>
        <v>0</v>
      </c>
      <c r="H138" s="104">
        <f>H139+H140+H141</f>
        <v>0</v>
      </c>
      <c r="I138" s="104">
        <f t="shared" ref="I138:AE138" si="28">I139+I140+I141</f>
        <v>0</v>
      </c>
      <c r="J138" s="104">
        <f t="shared" si="28"/>
        <v>0</v>
      </c>
      <c r="K138" s="104">
        <f t="shared" si="28"/>
        <v>0</v>
      </c>
      <c r="L138" s="104">
        <f t="shared" si="28"/>
        <v>0</v>
      </c>
      <c r="M138" s="104">
        <f t="shared" si="28"/>
        <v>0</v>
      </c>
      <c r="N138" s="104">
        <f t="shared" si="28"/>
        <v>0</v>
      </c>
      <c r="O138" s="104">
        <f t="shared" si="28"/>
        <v>0</v>
      </c>
      <c r="P138" s="104">
        <f t="shared" si="28"/>
        <v>0</v>
      </c>
      <c r="Q138" s="104">
        <f t="shared" si="28"/>
        <v>0</v>
      </c>
      <c r="R138" s="104">
        <f t="shared" si="28"/>
        <v>0</v>
      </c>
      <c r="S138" s="104">
        <f t="shared" si="28"/>
        <v>0</v>
      </c>
      <c r="T138" s="104">
        <f t="shared" si="28"/>
        <v>0</v>
      </c>
      <c r="U138" s="104">
        <f t="shared" si="28"/>
        <v>0</v>
      </c>
      <c r="V138" s="104">
        <f t="shared" si="28"/>
        <v>0</v>
      </c>
      <c r="W138" s="104">
        <f t="shared" si="28"/>
        <v>0</v>
      </c>
      <c r="X138" s="104">
        <f t="shared" si="28"/>
        <v>0</v>
      </c>
      <c r="Y138" s="104">
        <f t="shared" si="28"/>
        <v>0</v>
      </c>
      <c r="Z138" s="104">
        <f t="shared" si="28"/>
        <v>0</v>
      </c>
      <c r="AA138" s="104">
        <f t="shared" si="28"/>
        <v>0</v>
      </c>
      <c r="AB138" s="104">
        <f t="shared" si="28"/>
        <v>0</v>
      </c>
      <c r="AC138" s="104">
        <f t="shared" si="28"/>
        <v>0</v>
      </c>
      <c r="AD138" s="104">
        <f t="shared" si="28"/>
        <v>0</v>
      </c>
      <c r="AE138" s="104">
        <f t="shared" si="28"/>
        <v>0</v>
      </c>
      <c r="AF138" s="101"/>
      <c r="AG138" s="102">
        <f t="shared" si="16"/>
        <v>0</v>
      </c>
    </row>
    <row r="139" spans="1:33" x14ac:dyDescent="0.3">
      <c r="A139" s="106" t="s">
        <v>169</v>
      </c>
      <c r="B139" s="107">
        <f>J139+L139+N139+P139+R139+T139+V139+X139+Z139+AB139+AD139+H139</f>
        <v>0</v>
      </c>
      <c r="C139" s="107">
        <f>SUM(H139)</f>
        <v>0</v>
      </c>
      <c r="D139" s="107">
        <f>E139</f>
        <v>0</v>
      </c>
      <c r="E139" s="107">
        <f>SUM(I139,K139,M139,O139,Q139,S139,U139,W139,Y139,AA139,AC139,AE139)</f>
        <v>0</v>
      </c>
      <c r="F139" s="107">
        <f>IFERROR(E139/B139*100,0)</f>
        <v>0</v>
      </c>
      <c r="G139" s="107">
        <f>IFERROR(E139/C139*100,0)</f>
        <v>0</v>
      </c>
      <c r="H139" s="107"/>
      <c r="I139" s="107"/>
      <c r="J139" s="107"/>
      <c r="K139" s="107"/>
      <c r="L139" s="107"/>
      <c r="M139" s="107"/>
      <c r="N139" s="107"/>
      <c r="O139" s="107"/>
      <c r="P139" s="107"/>
      <c r="Q139" s="107"/>
      <c r="R139" s="107"/>
      <c r="S139" s="107"/>
      <c r="T139" s="107"/>
      <c r="U139" s="107"/>
      <c r="V139" s="107"/>
      <c r="W139" s="107"/>
      <c r="X139" s="107"/>
      <c r="Y139" s="107"/>
      <c r="Z139" s="107"/>
      <c r="AA139" s="107"/>
      <c r="AB139" s="107"/>
      <c r="AC139" s="107"/>
      <c r="AD139" s="107"/>
      <c r="AE139" s="107"/>
      <c r="AF139" s="101"/>
      <c r="AG139" s="102">
        <f t="shared" si="16"/>
        <v>0</v>
      </c>
    </row>
    <row r="140" spans="1:33" x14ac:dyDescent="0.3">
      <c r="A140" s="106" t="s">
        <v>32</v>
      </c>
      <c r="B140" s="107">
        <f>J140+L140+N140+P140+R140+T140+V140+X140+Z140+AB140+AD140+H140</f>
        <v>0</v>
      </c>
      <c r="C140" s="107">
        <f>SUM(H140)</f>
        <v>0</v>
      </c>
      <c r="D140" s="107">
        <f>E140</f>
        <v>0</v>
      </c>
      <c r="E140" s="107">
        <f>SUM(I140,K140,M140,O140,Q140,S140,U140,W140,Y140,AA140,AC140,AE140)</f>
        <v>0</v>
      </c>
      <c r="F140" s="107"/>
      <c r="G140" s="107"/>
      <c r="H140" s="107"/>
      <c r="I140" s="107"/>
      <c r="J140" s="107"/>
      <c r="K140" s="107"/>
      <c r="L140" s="107"/>
      <c r="M140" s="107"/>
      <c r="N140" s="107"/>
      <c r="O140" s="107"/>
      <c r="P140" s="107"/>
      <c r="Q140" s="107"/>
      <c r="R140" s="107"/>
      <c r="S140" s="107"/>
      <c r="T140" s="107"/>
      <c r="U140" s="107"/>
      <c r="V140" s="107"/>
      <c r="W140" s="107"/>
      <c r="X140" s="107"/>
      <c r="Y140" s="107"/>
      <c r="Z140" s="107"/>
      <c r="AA140" s="107"/>
      <c r="AB140" s="107"/>
      <c r="AC140" s="107"/>
      <c r="AD140" s="107"/>
      <c r="AE140" s="107"/>
      <c r="AF140" s="101"/>
      <c r="AG140" s="102">
        <f t="shared" si="16"/>
        <v>0</v>
      </c>
    </row>
    <row r="141" spans="1:33" x14ac:dyDescent="0.3">
      <c r="A141" s="106" t="s">
        <v>33</v>
      </c>
      <c r="B141" s="107">
        <f>J141+L141+N141+P141+R141+T141+V141+X141+Z141+AB141+AD141+H141</f>
        <v>0</v>
      </c>
      <c r="C141" s="107">
        <f>SUM(H141)</f>
        <v>0</v>
      </c>
      <c r="D141" s="107">
        <f>E141</f>
        <v>0</v>
      </c>
      <c r="E141" s="107">
        <f>SUM(I141,K141,M141,O141,Q141,S141,U141,W141,Y141,AA141,AC141,AE141)</f>
        <v>0</v>
      </c>
      <c r="F141" s="107">
        <f>IFERROR(E141/B141*100,0)</f>
        <v>0</v>
      </c>
      <c r="G141" s="107">
        <f>IFERROR(E141/C141*100,0)</f>
        <v>0</v>
      </c>
      <c r="H141" s="107">
        <v>0</v>
      </c>
      <c r="I141" s="107">
        <v>0</v>
      </c>
      <c r="J141" s="107">
        <v>0</v>
      </c>
      <c r="K141" s="107">
        <v>0</v>
      </c>
      <c r="L141" s="107">
        <v>0</v>
      </c>
      <c r="M141" s="107">
        <v>0</v>
      </c>
      <c r="N141" s="107">
        <v>0</v>
      </c>
      <c r="O141" s="107">
        <v>0</v>
      </c>
      <c r="P141" s="107">
        <v>0</v>
      </c>
      <c r="Q141" s="107">
        <v>0</v>
      </c>
      <c r="R141" s="107">
        <v>0</v>
      </c>
      <c r="S141" s="107">
        <v>0</v>
      </c>
      <c r="T141" s="107"/>
      <c r="U141" s="107"/>
      <c r="V141" s="107"/>
      <c r="W141" s="107"/>
      <c r="X141" s="107"/>
      <c r="Y141" s="107"/>
      <c r="Z141" s="107"/>
      <c r="AA141" s="107"/>
      <c r="AB141" s="107"/>
      <c r="AC141" s="107"/>
      <c r="AD141" s="107"/>
      <c r="AE141" s="107"/>
      <c r="AF141" s="101"/>
      <c r="AG141" s="102">
        <f t="shared" ref="AG141:AG204" si="29">B141-H141-J141-L141-N141-P141-R141-T141-V141-X141-Z141-AB141-AD141</f>
        <v>0</v>
      </c>
    </row>
    <row r="142" spans="1:33" x14ac:dyDescent="0.3">
      <c r="A142" s="106" t="s">
        <v>170</v>
      </c>
      <c r="B142" s="107">
        <f>J142+L142+N142+P142+R142+T142+V142+X142+Z142+AB142+AD142+H142</f>
        <v>0</v>
      </c>
      <c r="C142" s="107">
        <f>SUM(H142)</f>
        <v>0</v>
      </c>
      <c r="D142" s="107">
        <f>E142</f>
        <v>0</v>
      </c>
      <c r="E142" s="107">
        <f>SUM(I142,K142,M142,O142,Q142,S142,U142,W142,Y142,AA142,AC142,AE142)</f>
        <v>0</v>
      </c>
      <c r="F142" s="107">
        <f>IFERROR(E142/B142*100,0)</f>
        <v>0</v>
      </c>
      <c r="G142" s="107">
        <f>IFERROR(E142/C142*100,0)</f>
        <v>0</v>
      </c>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107"/>
      <c r="AE142" s="107"/>
      <c r="AF142" s="101"/>
      <c r="AG142" s="102">
        <f t="shared" si="29"/>
        <v>0</v>
      </c>
    </row>
    <row r="143" spans="1:33" x14ac:dyDescent="0.3">
      <c r="A143" s="1032" t="s">
        <v>54</v>
      </c>
      <c r="B143" s="1033"/>
      <c r="C143" s="1033"/>
      <c r="D143" s="1033"/>
      <c r="E143" s="1033"/>
      <c r="F143" s="1033"/>
      <c r="G143" s="1033"/>
      <c r="H143" s="1033"/>
      <c r="I143" s="1033"/>
      <c r="J143" s="1033"/>
      <c r="K143" s="1033"/>
      <c r="L143" s="1033"/>
      <c r="M143" s="1033"/>
      <c r="N143" s="1033"/>
      <c r="O143" s="1033"/>
      <c r="P143" s="1033"/>
      <c r="Q143" s="1033"/>
      <c r="R143" s="1033"/>
      <c r="S143" s="1033"/>
      <c r="T143" s="1033"/>
      <c r="U143" s="1033"/>
      <c r="V143" s="1033"/>
      <c r="W143" s="1033"/>
      <c r="X143" s="1033"/>
      <c r="Y143" s="1033"/>
      <c r="Z143" s="1033"/>
      <c r="AA143" s="1033"/>
      <c r="AB143" s="1033"/>
      <c r="AC143" s="1033"/>
      <c r="AD143" s="1033"/>
      <c r="AE143" s="1033"/>
      <c r="AF143" s="1034"/>
      <c r="AG143" s="102">
        <f t="shared" si="29"/>
        <v>0</v>
      </c>
    </row>
    <row r="144" spans="1:33" ht="75" x14ac:dyDescent="0.3">
      <c r="A144" s="124" t="s">
        <v>193</v>
      </c>
      <c r="B144" s="132"/>
      <c r="C144" s="133"/>
      <c r="D144" s="133"/>
      <c r="E144" s="133"/>
      <c r="F144" s="133"/>
      <c r="G144" s="133"/>
      <c r="H144" s="132"/>
      <c r="I144" s="132"/>
      <c r="J144" s="132"/>
      <c r="K144" s="132"/>
      <c r="L144" s="132"/>
      <c r="M144" s="132"/>
      <c r="N144" s="132"/>
      <c r="O144" s="132"/>
      <c r="P144" s="132"/>
      <c r="Q144" s="132"/>
      <c r="R144" s="132"/>
      <c r="S144" s="132"/>
      <c r="T144" s="132"/>
      <c r="U144" s="132"/>
      <c r="V144" s="132"/>
      <c r="W144" s="132"/>
      <c r="X144" s="132"/>
      <c r="Y144" s="132"/>
      <c r="Z144" s="132"/>
      <c r="AA144" s="132"/>
      <c r="AB144" s="132"/>
      <c r="AC144" s="132"/>
      <c r="AD144" s="132"/>
      <c r="AE144" s="132"/>
      <c r="AF144" s="101"/>
      <c r="AG144" s="102">
        <f t="shared" si="29"/>
        <v>0</v>
      </c>
    </row>
    <row r="145" spans="1:33" x14ac:dyDescent="0.3">
      <c r="A145" s="103" t="s">
        <v>31</v>
      </c>
      <c r="B145" s="104">
        <f>B146+B147+B148</f>
        <v>373.1</v>
      </c>
      <c r="C145" s="104">
        <f>C146+C147+C148</f>
        <v>173.1</v>
      </c>
      <c r="D145" s="104">
        <f>D146+D147+D148</f>
        <v>93.623999999999995</v>
      </c>
      <c r="E145" s="104">
        <f>E146+E147+E148</f>
        <v>0</v>
      </c>
      <c r="F145" s="107">
        <f>IFERROR(E145/B145*100,0)</f>
        <v>0</v>
      </c>
      <c r="G145" s="107">
        <f>IFERROR(E145/C145*100,0)</f>
        <v>0</v>
      </c>
      <c r="H145" s="104">
        <f t="shared" ref="H145:AE145" si="30">H146+H147+H148</f>
        <v>0</v>
      </c>
      <c r="I145" s="104">
        <f t="shared" si="30"/>
        <v>0</v>
      </c>
      <c r="J145" s="104">
        <f t="shared" si="30"/>
        <v>0</v>
      </c>
      <c r="K145" s="104">
        <f t="shared" si="30"/>
        <v>0</v>
      </c>
      <c r="L145" s="104">
        <f t="shared" si="30"/>
        <v>158</v>
      </c>
      <c r="M145" s="104">
        <f t="shared" si="30"/>
        <v>0</v>
      </c>
      <c r="N145" s="104">
        <f t="shared" si="30"/>
        <v>15.1</v>
      </c>
      <c r="O145" s="104">
        <f t="shared" si="30"/>
        <v>105.1</v>
      </c>
      <c r="P145" s="104">
        <f t="shared" si="30"/>
        <v>0</v>
      </c>
      <c r="Q145" s="104">
        <f t="shared" si="30"/>
        <v>0</v>
      </c>
      <c r="R145" s="104">
        <f t="shared" si="30"/>
        <v>0</v>
      </c>
      <c r="S145" s="104">
        <f t="shared" si="30"/>
        <v>-11.476000000000001</v>
      </c>
      <c r="T145" s="104">
        <f t="shared" si="30"/>
        <v>0</v>
      </c>
      <c r="U145" s="104">
        <f t="shared" si="30"/>
        <v>0</v>
      </c>
      <c r="V145" s="104">
        <f t="shared" si="30"/>
        <v>60</v>
      </c>
      <c r="W145" s="104">
        <f t="shared" si="30"/>
        <v>0</v>
      </c>
      <c r="X145" s="104">
        <f t="shared" si="30"/>
        <v>140</v>
      </c>
      <c r="Y145" s="104">
        <f t="shared" si="30"/>
        <v>0</v>
      </c>
      <c r="Z145" s="104">
        <f t="shared" si="30"/>
        <v>0</v>
      </c>
      <c r="AA145" s="104">
        <f t="shared" si="30"/>
        <v>0</v>
      </c>
      <c r="AB145" s="104">
        <f t="shared" si="30"/>
        <v>0</v>
      </c>
      <c r="AC145" s="104">
        <f t="shared" si="30"/>
        <v>0</v>
      </c>
      <c r="AD145" s="104">
        <f t="shared" si="30"/>
        <v>0</v>
      </c>
      <c r="AE145" s="104">
        <f t="shared" si="30"/>
        <v>0</v>
      </c>
      <c r="AF145" s="101"/>
      <c r="AG145" s="102">
        <f t="shared" si="29"/>
        <v>2.8421709430404007E-14</v>
      </c>
    </row>
    <row r="146" spans="1:33" x14ac:dyDescent="0.3">
      <c r="A146" s="106" t="s">
        <v>169</v>
      </c>
      <c r="B146" s="107">
        <f>B152+B177</f>
        <v>0</v>
      </c>
      <c r="C146" s="107">
        <f>C152+C177</f>
        <v>105.1</v>
      </c>
      <c r="D146" s="107">
        <f>D152+D177</f>
        <v>0</v>
      </c>
      <c r="E146" s="107">
        <f>E152+E177</f>
        <v>0</v>
      </c>
      <c r="F146" s="107">
        <f>IFERROR(E146/B146*100,0)</f>
        <v>0</v>
      </c>
      <c r="G146" s="107">
        <f>IFERROR(E146/C146*100,0)</f>
        <v>0</v>
      </c>
      <c r="H146" s="107">
        <f t="shared" ref="H146:AE146" si="31">H152+H177</f>
        <v>0</v>
      </c>
      <c r="I146" s="107">
        <f t="shared" si="31"/>
        <v>0</v>
      </c>
      <c r="J146" s="107">
        <f t="shared" si="31"/>
        <v>0</v>
      </c>
      <c r="K146" s="107">
        <f t="shared" si="31"/>
        <v>0</v>
      </c>
      <c r="L146" s="107">
        <f t="shared" si="31"/>
        <v>0</v>
      </c>
      <c r="M146" s="107">
        <f t="shared" si="31"/>
        <v>0</v>
      </c>
      <c r="N146" s="107">
        <f t="shared" si="31"/>
        <v>0</v>
      </c>
      <c r="O146" s="107">
        <f t="shared" si="31"/>
        <v>0</v>
      </c>
      <c r="P146" s="107">
        <f t="shared" si="31"/>
        <v>0</v>
      </c>
      <c r="Q146" s="107">
        <f t="shared" si="31"/>
        <v>0</v>
      </c>
      <c r="R146" s="107">
        <f t="shared" si="31"/>
        <v>0</v>
      </c>
      <c r="S146" s="107">
        <f t="shared" si="31"/>
        <v>0</v>
      </c>
      <c r="T146" s="107">
        <f t="shared" si="31"/>
        <v>0</v>
      </c>
      <c r="U146" s="107">
        <f t="shared" si="31"/>
        <v>0</v>
      </c>
      <c r="V146" s="107">
        <f t="shared" si="31"/>
        <v>0</v>
      </c>
      <c r="W146" s="107">
        <f t="shared" si="31"/>
        <v>0</v>
      </c>
      <c r="X146" s="107">
        <f t="shared" si="31"/>
        <v>0</v>
      </c>
      <c r="Y146" s="107">
        <f t="shared" si="31"/>
        <v>0</v>
      </c>
      <c r="Z146" s="107">
        <f t="shared" si="31"/>
        <v>0</v>
      </c>
      <c r="AA146" s="107">
        <f t="shared" si="31"/>
        <v>0</v>
      </c>
      <c r="AB146" s="107">
        <f t="shared" si="31"/>
        <v>0</v>
      </c>
      <c r="AC146" s="107">
        <f t="shared" si="31"/>
        <v>0</v>
      </c>
      <c r="AD146" s="107">
        <f t="shared" si="31"/>
        <v>0</v>
      </c>
      <c r="AE146" s="107">
        <f t="shared" si="31"/>
        <v>0</v>
      </c>
      <c r="AF146" s="101"/>
      <c r="AG146" s="102">
        <f t="shared" si="29"/>
        <v>0</v>
      </c>
    </row>
    <row r="147" spans="1:33" x14ac:dyDescent="0.3">
      <c r="A147" s="106" t="s">
        <v>32</v>
      </c>
      <c r="B147" s="107"/>
      <c r="C147" s="107"/>
      <c r="D147" s="107"/>
      <c r="E147" s="107"/>
      <c r="F147" s="107"/>
      <c r="G147" s="107"/>
      <c r="H147" s="107"/>
      <c r="I147" s="107"/>
      <c r="J147" s="107"/>
      <c r="K147" s="107"/>
      <c r="L147" s="107"/>
      <c r="M147" s="107"/>
      <c r="N147" s="107"/>
      <c r="O147" s="107"/>
      <c r="P147" s="107"/>
      <c r="Q147" s="107"/>
      <c r="R147" s="107"/>
      <c r="S147" s="107"/>
      <c r="T147" s="107"/>
      <c r="U147" s="107"/>
      <c r="V147" s="107"/>
      <c r="W147" s="107"/>
      <c r="X147" s="107"/>
      <c r="Y147" s="107"/>
      <c r="Z147" s="107"/>
      <c r="AA147" s="107"/>
      <c r="AB147" s="107"/>
      <c r="AC147" s="107"/>
      <c r="AD147" s="107"/>
      <c r="AE147" s="107"/>
      <c r="AF147" s="101"/>
      <c r="AG147" s="102">
        <f t="shared" si="29"/>
        <v>0</v>
      </c>
    </row>
    <row r="148" spans="1:33" x14ac:dyDescent="0.3">
      <c r="A148" s="106" t="s">
        <v>33</v>
      </c>
      <c r="B148" s="107">
        <f t="shared" ref="B148:E149" si="32">B154+B179</f>
        <v>373.1</v>
      </c>
      <c r="C148" s="107">
        <f t="shared" si="32"/>
        <v>68</v>
      </c>
      <c r="D148" s="107">
        <f t="shared" si="32"/>
        <v>93.623999999999995</v>
      </c>
      <c r="E148" s="107">
        <f t="shared" si="32"/>
        <v>0</v>
      </c>
      <c r="F148" s="107">
        <f>IFERROR(E148/B148*100,0)</f>
        <v>0</v>
      </c>
      <c r="G148" s="107">
        <f>IFERROR(E148/C148*100,0)</f>
        <v>0</v>
      </c>
      <c r="H148" s="107">
        <f t="shared" ref="H148:AE149" si="33">H154+H179</f>
        <v>0</v>
      </c>
      <c r="I148" s="107">
        <f t="shared" si="33"/>
        <v>0</v>
      </c>
      <c r="J148" s="107">
        <f t="shared" si="33"/>
        <v>0</v>
      </c>
      <c r="K148" s="107">
        <f t="shared" si="33"/>
        <v>0</v>
      </c>
      <c r="L148" s="107">
        <f t="shared" si="33"/>
        <v>158</v>
      </c>
      <c r="M148" s="107">
        <f t="shared" si="33"/>
        <v>0</v>
      </c>
      <c r="N148" s="107">
        <f t="shared" si="33"/>
        <v>15.1</v>
      </c>
      <c r="O148" s="107">
        <f t="shared" si="33"/>
        <v>105.1</v>
      </c>
      <c r="P148" s="107">
        <f t="shared" si="33"/>
        <v>0</v>
      </c>
      <c r="Q148" s="107">
        <f t="shared" si="33"/>
        <v>0</v>
      </c>
      <c r="R148" s="107">
        <f t="shared" si="33"/>
        <v>0</v>
      </c>
      <c r="S148" s="107">
        <f t="shared" si="33"/>
        <v>-11.476000000000001</v>
      </c>
      <c r="T148" s="107">
        <f t="shared" si="33"/>
        <v>0</v>
      </c>
      <c r="U148" s="107">
        <f t="shared" si="33"/>
        <v>0</v>
      </c>
      <c r="V148" s="107">
        <f t="shared" si="33"/>
        <v>60</v>
      </c>
      <c r="W148" s="107">
        <f t="shared" si="33"/>
        <v>0</v>
      </c>
      <c r="X148" s="107">
        <f t="shared" si="33"/>
        <v>140</v>
      </c>
      <c r="Y148" s="107">
        <f t="shared" si="33"/>
        <v>0</v>
      </c>
      <c r="Z148" s="107">
        <f t="shared" si="33"/>
        <v>0</v>
      </c>
      <c r="AA148" s="107">
        <f t="shared" si="33"/>
        <v>0</v>
      </c>
      <c r="AB148" s="107">
        <f t="shared" si="33"/>
        <v>0</v>
      </c>
      <c r="AC148" s="107">
        <f t="shared" si="33"/>
        <v>0</v>
      </c>
      <c r="AD148" s="107">
        <f t="shared" si="33"/>
        <v>0</v>
      </c>
      <c r="AE148" s="107">
        <f t="shared" si="33"/>
        <v>0</v>
      </c>
      <c r="AF148" s="101"/>
      <c r="AG148" s="102">
        <f t="shared" si="29"/>
        <v>2.8421709430404007E-14</v>
      </c>
    </row>
    <row r="149" spans="1:33" x14ac:dyDescent="0.3">
      <c r="A149" s="106" t="s">
        <v>170</v>
      </c>
      <c r="B149" s="107">
        <f t="shared" si="32"/>
        <v>0</v>
      </c>
      <c r="C149" s="107">
        <f t="shared" si="32"/>
        <v>105.1</v>
      </c>
      <c r="D149" s="107">
        <f t="shared" si="32"/>
        <v>0</v>
      </c>
      <c r="E149" s="107">
        <f t="shared" si="32"/>
        <v>93.623999999999995</v>
      </c>
      <c r="F149" s="107">
        <f>IFERROR(E149/B149*100,0)</f>
        <v>0</v>
      </c>
      <c r="G149" s="107">
        <f>IFERROR(E149/C149*100,0)</f>
        <v>89.080875356803048</v>
      </c>
      <c r="H149" s="107">
        <f t="shared" si="33"/>
        <v>0</v>
      </c>
      <c r="I149" s="107">
        <f t="shared" si="33"/>
        <v>0</v>
      </c>
      <c r="J149" s="107">
        <f t="shared" si="33"/>
        <v>0</v>
      </c>
      <c r="K149" s="107">
        <f t="shared" si="33"/>
        <v>0</v>
      </c>
      <c r="L149" s="107">
        <f t="shared" si="33"/>
        <v>0</v>
      </c>
      <c r="M149" s="107">
        <f t="shared" si="33"/>
        <v>0</v>
      </c>
      <c r="N149" s="107">
        <f t="shared" si="33"/>
        <v>0</v>
      </c>
      <c r="O149" s="107">
        <f t="shared" si="33"/>
        <v>0</v>
      </c>
      <c r="P149" s="107">
        <f t="shared" si="33"/>
        <v>0</v>
      </c>
      <c r="Q149" s="107">
        <f t="shared" si="33"/>
        <v>0</v>
      </c>
      <c r="R149" s="107">
        <f t="shared" si="33"/>
        <v>0</v>
      </c>
      <c r="S149" s="107">
        <f t="shared" si="33"/>
        <v>0</v>
      </c>
      <c r="T149" s="107">
        <f t="shared" si="33"/>
        <v>0</v>
      </c>
      <c r="U149" s="107">
        <f t="shared" si="33"/>
        <v>0</v>
      </c>
      <c r="V149" s="107">
        <f t="shared" si="33"/>
        <v>0</v>
      </c>
      <c r="W149" s="107">
        <f t="shared" si="33"/>
        <v>0</v>
      </c>
      <c r="X149" s="107">
        <f t="shared" si="33"/>
        <v>0</v>
      </c>
      <c r="Y149" s="107">
        <f t="shared" si="33"/>
        <v>0</v>
      </c>
      <c r="Z149" s="107">
        <f t="shared" si="33"/>
        <v>0</v>
      </c>
      <c r="AA149" s="107">
        <f t="shared" si="33"/>
        <v>0</v>
      </c>
      <c r="AB149" s="107">
        <f t="shared" si="33"/>
        <v>0</v>
      </c>
      <c r="AC149" s="107">
        <f t="shared" si="33"/>
        <v>0</v>
      </c>
      <c r="AD149" s="107">
        <f t="shared" si="33"/>
        <v>0</v>
      </c>
      <c r="AE149" s="107">
        <f t="shared" si="33"/>
        <v>0</v>
      </c>
      <c r="AF149" s="101"/>
      <c r="AG149" s="102">
        <f t="shared" si="29"/>
        <v>0</v>
      </c>
    </row>
    <row r="150" spans="1:33" ht="56.25" x14ac:dyDescent="0.3">
      <c r="A150" s="122" t="s">
        <v>194</v>
      </c>
      <c r="B150" s="134"/>
      <c r="C150" s="135"/>
      <c r="D150" s="135"/>
      <c r="E150" s="135"/>
      <c r="F150" s="135"/>
      <c r="G150" s="135"/>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c r="AD150" s="111"/>
      <c r="AE150" s="111"/>
      <c r="AF150" s="29"/>
      <c r="AG150" s="102">
        <f t="shared" si="29"/>
        <v>0</v>
      </c>
    </row>
    <row r="151" spans="1:33" x14ac:dyDescent="0.3">
      <c r="A151" s="112" t="s">
        <v>31</v>
      </c>
      <c r="B151" s="647">
        <f>B152+B153+B154+B155</f>
        <v>373.1</v>
      </c>
      <c r="C151" s="113">
        <f>C152+C153+C154+C155</f>
        <v>278.2</v>
      </c>
      <c r="D151" s="113">
        <f>D152+D153+D154+D155</f>
        <v>93.623999999999995</v>
      </c>
      <c r="E151" s="113">
        <f>E152+E153+E154+E155</f>
        <v>93.623999999999995</v>
      </c>
      <c r="F151" s="116">
        <f>IFERROR(E151/B151*100,0)</f>
        <v>25.093540605735726</v>
      </c>
      <c r="G151" s="116">
        <f>IFERROR(E151/C151*100,0)</f>
        <v>33.653486700215673</v>
      </c>
      <c r="H151" s="113">
        <f t="shared" ref="H151:AE151" si="34">H152+H153+H154+H155</f>
        <v>0</v>
      </c>
      <c r="I151" s="113">
        <f t="shared" si="34"/>
        <v>0</v>
      </c>
      <c r="J151" s="113">
        <f t="shared" si="34"/>
        <v>0</v>
      </c>
      <c r="K151" s="113">
        <f t="shared" si="34"/>
        <v>0</v>
      </c>
      <c r="L151" s="113">
        <f t="shared" si="34"/>
        <v>158</v>
      </c>
      <c r="M151" s="113">
        <f t="shared" si="34"/>
        <v>0</v>
      </c>
      <c r="N151" s="113">
        <f t="shared" si="34"/>
        <v>15.1</v>
      </c>
      <c r="O151" s="113">
        <f t="shared" si="34"/>
        <v>105.1</v>
      </c>
      <c r="P151" s="113">
        <f t="shared" si="34"/>
        <v>0</v>
      </c>
      <c r="Q151" s="113">
        <f t="shared" si="34"/>
        <v>0</v>
      </c>
      <c r="R151" s="113">
        <f t="shared" si="34"/>
        <v>0</v>
      </c>
      <c r="S151" s="113">
        <f t="shared" si="34"/>
        <v>-11.476000000000001</v>
      </c>
      <c r="T151" s="113">
        <f t="shared" si="34"/>
        <v>0</v>
      </c>
      <c r="U151" s="113">
        <f t="shared" si="34"/>
        <v>0</v>
      </c>
      <c r="V151" s="113">
        <f t="shared" si="34"/>
        <v>60</v>
      </c>
      <c r="W151" s="113">
        <f t="shared" si="34"/>
        <v>0</v>
      </c>
      <c r="X151" s="113">
        <f t="shared" si="34"/>
        <v>140</v>
      </c>
      <c r="Y151" s="113">
        <f t="shared" si="34"/>
        <v>0</v>
      </c>
      <c r="Z151" s="113">
        <f t="shared" si="34"/>
        <v>0</v>
      </c>
      <c r="AA151" s="113">
        <f t="shared" si="34"/>
        <v>0</v>
      </c>
      <c r="AB151" s="113">
        <f t="shared" si="34"/>
        <v>0</v>
      </c>
      <c r="AC151" s="113">
        <f t="shared" si="34"/>
        <v>0</v>
      </c>
      <c r="AD151" s="113">
        <f t="shared" si="34"/>
        <v>0</v>
      </c>
      <c r="AE151" s="113">
        <f t="shared" si="34"/>
        <v>0</v>
      </c>
      <c r="AF151" s="29"/>
      <c r="AG151" s="102">
        <f t="shared" si="29"/>
        <v>2.8421709430404007E-14</v>
      </c>
    </row>
    <row r="152" spans="1:33" x14ac:dyDescent="0.3">
      <c r="A152" s="115" t="s">
        <v>169</v>
      </c>
      <c r="B152" s="116">
        <f>B159+B165+B171</f>
        <v>0</v>
      </c>
      <c r="C152" s="116">
        <f>C158+C165+C171</f>
        <v>105.1</v>
      </c>
      <c r="D152" s="116">
        <f>D159+D165+D171</f>
        <v>0</v>
      </c>
      <c r="E152" s="116">
        <f>E159+E165+E171</f>
        <v>0</v>
      </c>
      <c r="F152" s="116">
        <f>IFERROR(E152/B152*100,0)</f>
        <v>0</v>
      </c>
      <c r="G152" s="116">
        <f>IFERROR(E152/C152*100,0)</f>
        <v>0</v>
      </c>
      <c r="H152" s="116">
        <f t="shared" ref="H152:AE152" si="35">H159+H165+H171</f>
        <v>0</v>
      </c>
      <c r="I152" s="116">
        <f t="shared" si="35"/>
        <v>0</v>
      </c>
      <c r="J152" s="116">
        <f t="shared" si="35"/>
        <v>0</v>
      </c>
      <c r="K152" s="116">
        <f t="shared" si="35"/>
        <v>0</v>
      </c>
      <c r="L152" s="116">
        <f t="shared" si="35"/>
        <v>0</v>
      </c>
      <c r="M152" s="116">
        <f t="shared" si="35"/>
        <v>0</v>
      </c>
      <c r="N152" s="116">
        <f t="shared" si="35"/>
        <v>0</v>
      </c>
      <c r="O152" s="116">
        <f t="shared" si="35"/>
        <v>0</v>
      </c>
      <c r="P152" s="116">
        <f t="shared" si="35"/>
        <v>0</v>
      </c>
      <c r="Q152" s="116">
        <f t="shared" si="35"/>
        <v>0</v>
      </c>
      <c r="R152" s="116">
        <f t="shared" si="35"/>
        <v>0</v>
      </c>
      <c r="S152" s="116">
        <f t="shared" si="35"/>
        <v>0</v>
      </c>
      <c r="T152" s="116">
        <f t="shared" si="35"/>
        <v>0</v>
      </c>
      <c r="U152" s="116">
        <f t="shared" si="35"/>
        <v>0</v>
      </c>
      <c r="V152" s="116">
        <f t="shared" si="35"/>
        <v>0</v>
      </c>
      <c r="W152" s="116">
        <f t="shared" si="35"/>
        <v>0</v>
      </c>
      <c r="X152" s="116">
        <f t="shared" si="35"/>
        <v>0</v>
      </c>
      <c r="Y152" s="116">
        <f t="shared" si="35"/>
        <v>0</v>
      </c>
      <c r="Z152" s="116">
        <f t="shared" si="35"/>
        <v>0</v>
      </c>
      <c r="AA152" s="116">
        <f t="shared" si="35"/>
        <v>0</v>
      </c>
      <c r="AB152" s="116">
        <f t="shared" si="35"/>
        <v>0</v>
      </c>
      <c r="AC152" s="116">
        <f t="shared" si="35"/>
        <v>0</v>
      </c>
      <c r="AD152" s="116">
        <f t="shared" si="35"/>
        <v>0</v>
      </c>
      <c r="AE152" s="116">
        <f t="shared" si="35"/>
        <v>0</v>
      </c>
      <c r="AF152" s="29"/>
      <c r="AG152" s="102">
        <f t="shared" si="29"/>
        <v>0</v>
      </c>
    </row>
    <row r="153" spans="1:33" x14ac:dyDescent="0.3">
      <c r="A153" s="115" t="s">
        <v>32</v>
      </c>
      <c r="B153" s="116"/>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29"/>
      <c r="AG153" s="102">
        <f t="shared" si="29"/>
        <v>0</v>
      </c>
    </row>
    <row r="154" spans="1:33" x14ac:dyDescent="0.3">
      <c r="A154" s="115" t="s">
        <v>33</v>
      </c>
      <c r="B154" s="116">
        <f>B161+B167+B173</f>
        <v>373.1</v>
      </c>
      <c r="C154" s="116">
        <f t="shared" ref="C154:E155" si="36">C160+C167+C173</f>
        <v>68</v>
      </c>
      <c r="D154" s="116">
        <f>D161+D167+D173</f>
        <v>93.623999999999995</v>
      </c>
      <c r="E154" s="116">
        <f t="shared" si="36"/>
        <v>0</v>
      </c>
      <c r="F154" s="116">
        <f>IFERROR(E154/B154*100,0)</f>
        <v>0</v>
      </c>
      <c r="G154" s="116">
        <f>IFERROR(E154/C154*100,0)</f>
        <v>0</v>
      </c>
      <c r="H154" s="116">
        <f t="shared" ref="H154:AE155" si="37">H161+H167+H173</f>
        <v>0</v>
      </c>
      <c r="I154" s="116">
        <f t="shared" si="37"/>
        <v>0</v>
      </c>
      <c r="J154" s="116">
        <f t="shared" si="37"/>
        <v>0</v>
      </c>
      <c r="K154" s="116">
        <f t="shared" si="37"/>
        <v>0</v>
      </c>
      <c r="L154" s="116">
        <f t="shared" si="37"/>
        <v>158</v>
      </c>
      <c r="M154" s="116">
        <f t="shared" si="37"/>
        <v>0</v>
      </c>
      <c r="N154" s="116">
        <f t="shared" si="37"/>
        <v>15.1</v>
      </c>
      <c r="O154" s="116">
        <f t="shared" si="37"/>
        <v>105.1</v>
      </c>
      <c r="P154" s="116">
        <f t="shared" si="37"/>
        <v>0</v>
      </c>
      <c r="Q154" s="116">
        <f t="shared" si="37"/>
        <v>0</v>
      </c>
      <c r="R154" s="116">
        <f t="shared" si="37"/>
        <v>0</v>
      </c>
      <c r="S154" s="116">
        <f t="shared" si="37"/>
        <v>-11.476000000000001</v>
      </c>
      <c r="T154" s="116">
        <f t="shared" si="37"/>
        <v>0</v>
      </c>
      <c r="U154" s="116">
        <f t="shared" si="37"/>
        <v>0</v>
      </c>
      <c r="V154" s="116">
        <f t="shared" si="37"/>
        <v>60</v>
      </c>
      <c r="W154" s="116">
        <f t="shared" si="37"/>
        <v>0</v>
      </c>
      <c r="X154" s="116">
        <f t="shared" si="37"/>
        <v>140</v>
      </c>
      <c r="Y154" s="116">
        <f t="shared" si="37"/>
        <v>0</v>
      </c>
      <c r="Z154" s="116">
        <f t="shared" si="37"/>
        <v>0</v>
      </c>
      <c r="AA154" s="116">
        <f t="shared" si="37"/>
        <v>0</v>
      </c>
      <c r="AB154" s="116">
        <f t="shared" si="37"/>
        <v>0</v>
      </c>
      <c r="AC154" s="116">
        <f t="shared" si="37"/>
        <v>0</v>
      </c>
      <c r="AD154" s="116">
        <f t="shared" si="37"/>
        <v>0</v>
      </c>
      <c r="AE154" s="116">
        <f t="shared" si="37"/>
        <v>0</v>
      </c>
      <c r="AF154" s="29"/>
      <c r="AG154" s="102">
        <f t="shared" si="29"/>
        <v>2.8421709430404007E-14</v>
      </c>
    </row>
    <row r="155" spans="1:33" x14ac:dyDescent="0.3">
      <c r="A155" s="115" t="s">
        <v>170</v>
      </c>
      <c r="B155" s="116">
        <f>B162+B168+B174</f>
        <v>0</v>
      </c>
      <c r="C155" s="116">
        <f t="shared" si="36"/>
        <v>105.1</v>
      </c>
      <c r="D155" s="116">
        <f>D162+D168+D174</f>
        <v>0</v>
      </c>
      <c r="E155" s="116">
        <f>E161+E168+E174</f>
        <v>93.623999999999995</v>
      </c>
      <c r="F155" s="116">
        <f>IFERROR(E155/B155*100,0)</f>
        <v>0</v>
      </c>
      <c r="G155" s="116">
        <f>IFERROR(E155/C155*100,0)</f>
        <v>89.080875356803048</v>
      </c>
      <c r="H155" s="116">
        <f t="shared" si="37"/>
        <v>0</v>
      </c>
      <c r="I155" s="116">
        <f t="shared" si="37"/>
        <v>0</v>
      </c>
      <c r="J155" s="116">
        <f t="shared" si="37"/>
        <v>0</v>
      </c>
      <c r="K155" s="116">
        <f t="shared" si="37"/>
        <v>0</v>
      </c>
      <c r="L155" s="116">
        <f t="shared" si="37"/>
        <v>0</v>
      </c>
      <c r="M155" s="116">
        <f t="shared" si="37"/>
        <v>0</v>
      </c>
      <c r="N155" s="116">
        <f t="shared" si="37"/>
        <v>0</v>
      </c>
      <c r="O155" s="116">
        <f t="shared" si="37"/>
        <v>0</v>
      </c>
      <c r="P155" s="116">
        <f t="shared" si="37"/>
        <v>0</v>
      </c>
      <c r="Q155" s="116">
        <f t="shared" si="37"/>
        <v>0</v>
      </c>
      <c r="R155" s="116">
        <f t="shared" si="37"/>
        <v>0</v>
      </c>
      <c r="S155" s="116">
        <f t="shared" si="37"/>
        <v>0</v>
      </c>
      <c r="T155" s="116">
        <f t="shared" si="37"/>
        <v>0</v>
      </c>
      <c r="U155" s="116">
        <f t="shared" si="37"/>
        <v>0</v>
      </c>
      <c r="V155" s="116">
        <f t="shared" si="37"/>
        <v>0</v>
      </c>
      <c r="W155" s="116">
        <f t="shared" si="37"/>
        <v>0</v>
      </c>
      <c r="X155" s="116">
        <f t="shared" si="37"/>
        <v>0</v>
      </c>
      <c r="Y155" s="116">
        <f t="shared" si="37"/>
        <v>0</v>
      </c>
      <c r="Z155" s="116">
        <f t="shared" si="37"/>
        <v>0</v>
      </c>
      <c r="AA155" s="116">
        <f t="shared" si="37"/>
        <v>0</v>
      </c>
      <c r="AB155" s="116">
        <f t="shared" si="37"/>
        <v>0</v>
      </c>
      <c r="AC155" s="116">
        <f t="shared" si="37"/>
        <v>0</v>
      </c>
      <c r="AD155" s="116">
        <f t="shared" si="37"/>
        <v>0</v>
      </c>
      <c r="AE155" s="116">
        <f t="shared" si="37"/>
        <v>0</v>
      </c>
      <c r="AF155" s="29"/>
      <c r="AG155" s="102">
        <f t="shared" si="29"/>
        <v>0</v>
      </c>
    </row>
    <row r="156" spans="1:33" x14ac:dyDescent="0.3">
      <c r="A156" s="122" t="s">
        <v>195</v>
      </c>
      <c r="B156" s="116"/>
      <c r="C156" s="116"/>
      <c r="D156" s="123"/>
      <c r="E156" s="123"/>
      <c r="F156" s="123"/>
      <c r="G156" s="123"/>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29"/>
      <c r="AG156" s="102">
        <f t="shared" si="29"/>
        <v>0</v>
      </c>
    </row>
    <row r="157" spans="1:33" x14ac:dyDescent="0.3">
      <c r="A157" s="122" t="s">
        <v>196</v>
      </c>
      <c r="B157" s="134"/>
      <c r="C157" s="135"/>
      <c r="D157" s="135"/>
      <c r="E157" s="135"/>
      <c r="F157" s="135"/>
      <c r="G157" s="135"/>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11"/>
      <c r="AF157" s="29"/>
      <c r="AG157" s="102">
        <f t="shared" si="29"/>
        <v>0</v>
      </c>
    </row>
    <row r="158" spans="1:33" ht="173.25" x14ac:dyDescent="0.3">
      <c r="A158" s="112" t="s">
        <v>31</v>
      </c>
      <c r="B158" s="647">
        <f>B160+B161+B159+B162</f>
        <v>105.1</v>
      </c>
      <c r="C158" s="113">
        <f>C160+C161+C159+C162</f>
        <v>105.1</v>
      </c>
      <c r="D158" s="113">
        <f>D160+D161+D159+D162</f>
        <v>93.623999999999995</v>
      </c>
      <c r="E158" s="113">
        <f>E160+E161+E159+E162</f>
        <v>93.623999999999995</v>
      </c>
      <c r="F158" s="113">
        <f>IFERROR(E158/B158*100,0)</f>
        <v>89.080875356803048</v>
      </c>
      <c r="G158" s="113">
        <f>IFERROR(E158/C158*100,0)</f>
        <v>89.080875356803048</v>
      </c>
      <c r="H158" s="113">
        <f t="shared" ref="H158:AE158" si="38">H160+H161+H159+H162</f>
        <v>0</v>
      </c>
      <c r="I158" s="113">
        <f t="shared" si="38"/>
        <v>0</v>
      </c>
      <c r="J158" s="113">
        <f t="shared" si="38"/>
        <v>0</v>
      </c>
      <c r="K158" s="113">
        <f t="shared" si="38"/>
        <v>0</v>
      </c>
      <c r="L158" s="113">
        <f t="shared" si="38"/>
        <v>90</v>
      </c>
      <c r="M158" s="113">
        <f t="shared" si="38"/>
        <v>0</v>
      </c>
      <c r="N158" s="113">
        <f t="shared" si="38"/>
        <v>15.1</v>
      </c>
      <c r="O158" s="113">
        <f t="shared" si="38"/>
        <v>105.1</v>
      </c>
      <c r="P158" s="113">
        <f t="shared" si="38"/>
        <v>0</v>
      </c>
      <c r="Q158" s="113">
        <f t="shared" si="38"/>
        <v>0</v>
      </c>
      <c r="R158" s="113">
        <f t="shared" si="38"/>
        <v>0</v>
      </c>
      <c r="S158" s="113">
        <f t="shared" si="38"/>
        <v>-11.476000000000001</v>
      </c>
      <c r="T158" s="113">
        <f t="shared" si="38"/>
        <v>0</v>
      </c>
      <c r="U158" s="113">
        <f t="shared" si="38"/>
        <v>0</v>
      </c>
      <c r="V158" s="113">
        <f t="shared" si="38"/>
        <v>0</v>
      </c>
      <c r="W158" s="113">
        <f t="shared" si="38"/>
        <v>0</v>
      </c>
      <c r="X158" s="113">
        <f t="shared" si="38"/>
        <v>0</v>
      </c>
      <c r="Y158" s="113">
        <f t="shared" si="38"/>
        <v>0</v>
      </c>
      <c r="Z158" s="113">
        <f t="shared" si="38"/>
        <v>0</v>
      </c>
      <c r="AA158" s="113">
        <f t="shared" si="38"/>
        <v>0</v>
      </c>
      <c r="AB158" s="113">
        <f t="shared" si="38"/>
        <v>0</v>
      </c>
      <c r="AC158" s="113">
        <f t="shared" si="38"/>
        <v>0</v>
      </c>
      <c r="AD158" s="113">
        <f t="shared" si="38"/>
        <v>0</v>
      </c>
      <c r="AE158" s="113">
        <f t="shared" si="38"/>
        <v>0</v>
      </c>
      <c r="AF158" s="731" t="s">
        <v>660</v>
      </c>
      <c r="AG158" s="102">
        <f t="shared" si="29"/>
        <v>-5.3290705182007514E-15</v>
      </c>
    </row>
    <row r="159" spans="1:33" x14ac:dyDescent="0.3">
      <c r="A159" s="115" t="s">
        <v>169</v>
      </c>
      <c r="B159" s="116"/>
      <c r="C159" s="117"/>
      <c r="D159" s="118"/>
      <c r="E159" s="117"/>
      <c r="F159" s="116"/>
      <c r="G159" s="116"/>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11"/>
      <c r="AF159" s="29"/>
      <c r="AG159" s="102">
        <f t="shared" si="29"/>
        <v>0</v>
      </c>
    </row>
    <row r="160" spans="1:33" x14ac:dyDescent="0.3">
      <c r="A160" s="115" t="s">
        <v>32</v>
      </c>
      <c r="B160" s="116"/>
      <c r="C160" s="117"/>
      <c r="D160" s="118"/>
      <c r="E160" s="117"/>
      <c r="F160" s="116"/>
      <c r="G160" s="116"/>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c r="AD160" s="111"/>
      <c r="AE160" s="111"/>
      <c r="AF160" s="29"/>
      <c r="AG160" s="102">
        <f t="shared" si="29"/>
        <v>0</v>
      </c>
    </row>
    <row r="161" spans="1:33" x14ac:dyDescent="0.3">
      <c r="A161" s="115" t="s">
        <v>33</v>
      </c>
      <c r="B161" s="116">
        <f>J161+L161+N161+P161+R161+T161+V161+X161+Z161+AB161+AD161+H161</f>
        <v>105.1</v>
      </c>
      <c r="C161" s="117">
        <f>SUM(H161+J161+L161+N161)</f>
        <v>105.1</v>
      </c>
      <c r="D161" s="118">
        <f>E161</f>
        <v>93.623999999999995</v>
      </c>
      <c r="E161" s="117">
        <f>SUM(I161,K161,M161,O161,Q161,S161,U161,W161,Y161,AA161,AC161,AE161)</f>
        <v>93.623999999999995</v>
      </c>
      <c r="F161" s="116">
        <f>IFERROR(E161/B161*100,0)</f>
        <v>89.080875356803048</v>
      </c>
      <c r="G161" s="116">
        <f>IFERROR(E161/C161*100,0)</f>
        <v>89.080875356803048</v>
      </c>
      <c r="H161" s="111">
        <v>0</v>
      </c>
      <c r="I161" s="111">
        <v>0</v>
      </c>
      <c r="J161" s="111"/>
      <c r="K161" s="111"/>
      <c r="L161" s="111">
        <v>90</v>
      </c>
      <c r="M161" s="111">
        <v>0</v>
      </c>
      <c r="N161" s="111">
        <v>15.1</v>
      </c>
      <c r="O161" s="111">
        <v>105.1</v>
      </c>
      <c r="P161" s="111">
        <v>0</v>
      </c>
      <c r="Q161" s="111">
        <v>0</v>
      </c>
      <c r="R161" s="111">
        <v>0</v>
      </c>
      <c r="S161" s="111">
        <v>-11.476000000000001</v>
      </c>
      <c r="T161" s="111"/>
      <c r="U161" s="111"/>
      <c r="V161" s="111"/>
      <c r="W161" s="111"/>
      <c r="X161" s="111"/>
      <c r="Y161" s="111"/>
      <c r="Z161" s="111"/>
      <c r="AA161" s="111"/>
      <c r="AB161" s="111"/>
      <c r="AC161" s="111"/>
      <c r="AD161" s="111"/>
      <c r="AE161" s="111"/>
      <c r="AF161" s="29"/>
      <c r="AG161" s="102">
        <f t="shared" si="29"/>
        <v>-5.3290705182007514E-15</v>
      </c>
    </row>
    <row r="162" spans="1:33" x14ac:dyDescent="0.3">
      <c r="A162" s="115" t="s">
        <v>170</v>
      </c>
      <c r="B162" s="116"/>
      <c r="C162" s="117"/>
      <c r="D162" s="118"/>
      <c r="E162" s="117"/>
      <c r="F162" s="116"/>
      <c r="G162" s="116"/>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c r="AD162" s="111"/>
      <c r="AE162" s="111"/>
      <c r="AF162" s="29"/>
      <c r="AG162" s="102">
        <f t="shared" si="29"/>
        <v>0</v>
      </c>
    </row>
    <row r="163" spans="1:33" x14ac:dyDescent="0.3">
      <c r="A163" s="122" t="s">
        <v>197</v>
      </c>
      <c r="B163" s="134"/>
      <c r="C163" s="135"/>
      <c r="D163" s="135"/>
      <c r="E163" s="135"/>
      <c r="F163" s="135"/>
      <c r="G163" s="135"/>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c r="AD163" s="111"/>
      <c r="AE163" s="111"/>
      <c r="AF163" s="29"/>
      <c r="AG163" s="102">
        <f t="shared" si="29"/>
        <v>0</v>
      </c>
    </row>
    <row r="164" spans="1:33" x14ac:dyDescent="0.3">
      <c r="A164" s="112" t="s">
        <v>31</v>
      </c>
      <c r="B164" s="647">
        <f>B166+B167+B165+B168</f>
        <v>200</v>
      </c>
      <c r="C164" s="113">
        <f>C166+C167+C165+C168</f>
        <v>0</v>
      </c>
      <c r="D164" s="113">
        <f>D166+D167+D165+D168</f>
        <v>0</v>
      </c>
      <c r="E164" s="113">
        <f>E166+E167+E165+E168</f>
        <v>0</v>
      </c>
      <c r="F164" s="113">
        <f>IFERROR(E164/B164*100,0)</f>
        <v>0</v>
      </c>
      <c r="G164" s="113">
        <f>IFERROR(E164/C164*100,0)</f>
        <v>0</v>
      </c>
      <c r="H164" s="113">
        <f t="shared" ref="H164:AE164" si="39">H166+H167+H165+H168</f>
        <v>0</v>
      </c>
      <c r="I164" s="113">
        <f t="shared" si="39"/>
        <v>0</v>
      </c>
      <c r="J164" s="113">
        <f t="shared" si="39"/>
        <v>0</v>
      </c>
      <c r="K164" s="113">
        <f t="shared" si="39"/>
        <v>0</v>
      </c>
      <c r="L164" s="113">
        <f t="shared" si="39"/>
        <v>0</v>
      </c>
      <c r="M164" s="113">
        <f t="shared" si="39"/>
        <v>0</v>
      </c>
      <c r="N164" s="113">
        <f t="shared" si="39"/>
        <v>0</v>
      </c>
      <c r="O164" s="113">
        <f t="shared" si="39"/>
        <v>0</v>
      </c>
      <c r="P164" s="113">
        <f t="shared" si="39"/>
        <v>0</v>
      </c>
      <c r="Q164" s="113">
        <f t="shared" si="39"/>
        <v>0</v>
      </c>
      <c r="R164" s="113">
        <f t="shared" si="39"/>
        <v>0</v>
      </c>
      <c r="S164" s="113">
        <f t="shared" si="39"/>
        <v>0</v>
      </c>
      <c r="T164" s="113">
        <f t="shared" si="39"/>
        <v>0</v>
      </c>
      <c r="U164" s="113">
        <f t="shared" si="39"/>
        <v>0</v>
      </c>
      <c r="V164" s="113">
        <f t="shared" si="39"/>
        <v>60</v>
      </c>
      <c r="W164" s="113">
        <f t="shared" si="39"/>
        <v>0</v>
      </c>
      <c r="X164" s="113">
        <f t="shared" si="39"/>
        <v>140</v>
      </c>
      <c r="Y164" s="113">
        <f t="shared" si="39"/>
        <v>0</v>
      </c>
      <c r="Z164" s="113">
        <f t="shared" si="39"/>
        <v>0</v>
      </c>
      <c r="AA164" s="113">
        <f t="shared" si="39"/>
        <v>0</v>
      </c>
      <c r="AB164" s="113">
        <f t="shared" si="39"/>
        <v>0</v>
      </c>
      <c r="AC164" s="113">
        <f t="shared" si="39"/>
        <v>0</v>
      </c>
      <c r="AD164" s="113">
        <f t="shared" si="39"/>
        <v>0</v>
      </c>
      <c r="AE164" s="113">
        <f t="shared" si="39"/>
        <v>0</v>
      </c>
      <c r="AF164" s="29"/>
      <c r="AG164" s="102">
        <f t="shared" si="29"/>
        <v>0</v>
      </c>
    </row>
    <row r="165" spans="1:33" x14ac:dyDescent="0.3">
      <c r="A165" s="115" t="s">
        <v>169</v>
      </c>
      <c r="B165" s="116"/>
      <c r="C165" s="117"/>
      <c r="D165" s="118"/>
      <c r="E165" s="117"/>
      <c r="F165" s="116"/>
      <c r="G165" s="116"/>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c r="AD165" s="111"/>
      <c r="AE165" s="111"/>
      <c r="AF165" s="29"/>
      <c r="AG165" s="102">
        <f t="shared" si="29"/>
        <v>0</v>
      </c>
    </row>
    <row r="166" spans="1:33" x14ac:dyDescent="0.3">
      <c r="A166" s="115" t="s">
        <v>32</v>
      </c>
      <c r="B166" s="116"/>
      <c r="C166" s="117"/>
      <c r="D166" s="118"/>
      <c r="E166" s="117"/>
      <c r="F166" s="116"/>
      <c r="G166" s="116"/>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c r="AD166" s="111"/>
      <c r="AE166" s="111"/>
      <c r="AF166" s="29"/>
      <c r="AG166" s="102">
        <f t="shared" si="29"/>
        <v>0</v>
      </c>
    </row>
    <row r="167" spans="1:33" x14ac:dyDescent="0.3">
      <c r="A167" s="115" t="s">
        <v>33</v>
      </c>
      <c r="B167" s="116">
        <f>J167+L167+N167+P167+R167+T167+V167+X167+Z167+AB167+AD167+H167</f>
        <v>200</v>
      </c>
      <c r="C167" s="117">
        <f>SUM(H167+J167+L167+N167)</f>
        <v>0</v>
      </c>
      <c r="D167" s="118">
        <f>E167</f>
        <v>0</v>
      </c>
      <c r="E167" s="117">
        <f>SUM(I167,K167,M167,O167,Q167,S167,U167,W167,Y167,AA167,AC167,AE167)</f>
        <v>0</v>
      </c>
      <c r="F167" s="116">
        <f>IFERROR(E167/B167*100,0)</f>
        <v>0</v>
      </c>
      <c r="G167" s="116">
        <f>IFERROR(E167/C167*100,0)</f>
        <v>0</v>
      </c>
      <c r="H167" s="111">
        <v>0</v>
      </c>
      <c r="I167" s="111">
        <v>0</v>
      </c>
      <c r="J167" s="111">
        <v>0</v>
      </c>
      <c r="K167" s="111">
        <v>0</v>
      </c>
      <c r="L167" s="111">
        <v>0</v>
      </c>
      <c r="M167" s="111">
        <v>0</v>
      </c>
      <c r="N167" s="111">
        <v>0</v>
      </c>
      <c r="O167" s="111">
        <v>0</v>
      </c>
      <c r="P167" s="111">
        <v>0</v>
      </c>
      <c r="Q167" s="111">
        <v>0</v>
      </c>
      <c r="R167" s="111">
        <v>0</v>
      </c>
      <c r="S167" s="111">
        <v>0</v>
      </c>
      <c r="T167" s="111"/>
      <c r="U167" s="111"/>
      <c r="V167" s="111">
        <v>60</v>
      </c>
      <c r="W167" s="111"/>
      <c r="X167" s="111">
        <v>140</v>
      </c>
      <c r="Y167" s="111"/>
      <c r="Z167" s="111"/>
      <c r="AA167" s="111"/>
      <c r="AB167" s="111"/>
      <c r="AC167" s="111"/>
      <c r="AD167" s="111"/>
      <c r="AE167" s="111"/>
      <c r="AF167" s="29"/>
      <c r="AG167" s="102">
        <f t="shared" si="29"/>
        <v>0</v>
      </c>
    </row>
    <row r="168" spans="1:33" x14ac:dyDescent="0.3">
      <c r="A168" s="115" t="s">
        <v>170</v>
      </c>
      <c r="B168" s="116"/>
      <c r="C168" s="117"/>
      <c r="D168" s="118"/>
      <c r="E168" s="117"/>
      <c r="F168" s="116"/>
      <c r="G168" s="116"/>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c r="AD168" s="111"/>
      <c r="AE168" s="111"/>
      <c r="AF168" s="29"/>
      <c r="AG168" s="102">
        <f t="shared" si="29"/>
        <v>0</v>
      </c>
    </row>
    <row r="169" spans="1:33" x14ac:dyDescent="0.3">
      <c r="A169" s="122" t="s">
        <v>198</v>
      </c>
      <c r="B169" s="134"/>
      <c r="C169" s="135"/>
      <c r="D169" s="135"/>
      <c r="E169" s="135"/>
      <c r="F169" s="135"/>
      <c r="G169" s="135"/>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c r="AD169" s="111"/>
      <c r="AE169" s="111"/>
      <c r="AF169" s="29"/>
      <c r="AG169" s="102">
        <f t="shared" si="29"/>
        <v>0</v>
      </c>
    </row>
    <row r="170" spans="1:33" ht="409.5" x14ac:dyDescent="0.3">
      <c r="A170" s="112" t="s">
        <v>31</v>
      </c>
      <c r="B170" s="647">
        <f>B172+B173+B171+B174</f>
        <v>68</v>
      </c>
      <c r="C170" s="113">
        <f>C172+C173+C171+C174</f>
        <v>68</v>
      </c>
      <c r="D170" s="113">
        <f>D172+D173+D171+D174</f>
        <v>0</v>
      </c>
      <c r="E170" s="113">
        <f>E172+E173+E171+E174</f>
        <v>0</v>
      </c>
      <c r="F170" s="113">
        <f>IFERROR(E170/B170*100,0)</f>
        <v>0</v>
      </c>
      <c r="G170" s="113">
        <f>IFERROR(E170/C170*100,0)</f>
        <v>0</v>
      </c>
      <c r="H170" s="113">
        <f t="shared" ref="H170:AE170" si="40">H172+H173+H171+H174</f>
        <v>0</v>
      </c>
      <c r="I170" s="113">
        <f t="shared" si="40"/>
        <v>0</v>
      </c>
      <c r="J170" s="113">
        <f t="shared" si="40"/>
        <v>0</v>
      </c>
      <c r="K170" s="113">
        <f t="shared" si="40"/>
        <v>0</v>
      </c>
      <c r="L170" s="113">
        <f t="shared" si="40"/>
        <v>68</v>
      </c>
      <c r="M170" s="113">
        <f t="shared" si="40"/>
        <v>0</v>
      </c>
      <c r="N170" s="113">
        <f t="shared" si="40"/>
        <v>0</v>
      </c>
      <c r="O170" s="113">
        <f t="shared" si="40"/>
        <v>0</v>
      </c>
      <c r="P170" s="113">
        <f t="shared" si="40"/>
        <v>0</v>
      </c>
      <c r="Q170" s="113">
        <f t="shared" si="40"/>
        <v>0</v>
      </c>
      <c r="R170" s="113">
        <f t="shared" si="40"/>
        <v>0</v>
      </c>
      <c r="S170" s="113">
        <f t="shared" si="40"/>
        <v>0</v>
      </c>
      <c r="T170" s="113">
        <f t="shared" si="40"/>
        <v>0</v>
      </c>
      <c r="U170" s="113">
        <f t="shared" si="40"/>
        <v>0</v>
      </c>
      <c r="V170" s="113">
        <f t="shared" si="40"/>
        <v>0</v>
      </c>
      <c r="W170" s="113">
        <f t="shared" si="40"/>
        <v>0</v>
      </c>
      <c r="X170" s="113">
        <f t="shared" si="40"/>
        <v>0</v>
      </c>
      <c r="Y170" s="113">
        <f t="shared" si="40"/>
        <v>0</v>
      </c>
      <c r="Z170" s="113">
        <f t="shared" si="40"/>
        <v>0</v>
      </c>
      <c r="AA170" s="113">
        <f t="shared" si="40"/>
        <v>0</v>
      </c>
      <c r="AB170" s="113">
        <f t="shared" si="40"/>
        <v>0</v>
      </c>
      <c r="AC170" s="113">
        <f t="shared" si="40"/>
        <v>0</v>
      </c>
      <c r="AD170" s="113">
        <f t="shared" si="40"/>
        <v>0</v>
      </c>
      <c r="AE170" s="113">
        <f t="shared" si="40"/>
        <v>0</v>
      </c>
      <c r="AF170" s="900" t="s">
        <v>573</v>
      </c>
      <c r="AG170" s="102">
        <f t="shared" si="29"/>
        <v>0</v>
      </c>
    </row>
    <row r="171" spans="1:33" x14ac:dyDescent="0.3">
      <c r="A171" s="115" t="s">
        <v>169</v>
      </c>
      <c r="B171" s="116"/>
      <c r="C171" s="117"/>
      <c r="D171" s="118"/>
      <c r="E171" s="117"/>
      <c r="F171" s="116"/>
      <c r="G171" s="116"/>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c r="AD171" s="111"/>
      <c r="AE171" s="111"/>
      <c r="AF171" s="29"/>
      <c r="AG171" s="102">
        <f t="shared" si="29"/>
        <v>0</v>
      </c>
    </row>
    <row r="172" spans="1:33" x14ac:dyDescent="0.3">
      <c r="A172" s="115" t="s">
        <v>32</v>
      </c>
      <c r="B172" s="116"/>
      <c r="C172" s="117"/>
      <c r="D172" s="118"/>
      <c r="E172" s="117"/>
      <c r="F172" s="116"/>
      <c r="G172" s="116"/>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c r="AD172" s="111"/>
      <c r="AE172" s="111"/>
      <c r="AF172" s="29"/>
      <c r="AG172" s="102">
        <f t="shared" si="29"/>
        <v>0</v>
      </c>
    </row>
    <row r="173" spans="1:33" x14ac:dyDescent="0.3">
      <c r="A173" s="115" t="s">
        <v>33</v>
      </c>
      <c r="B173" s="116">
        <f>J173+L173+N173+P173+R173+T173+V173+X173+Z173+AB173+AD173+H173</f>
        <v>68</v>
      </c>
      <c r="C173" s="117">
        <f>SUM(H173+J173+L173)</f>
        <v>68</v>
      </c>
      <c r="D173" s="118">
        <f>E173</f>
        <v>0</v>
      </c>
      <c r="E173" s="117">
        <f>SUM(I173,K173,M173,O173,Q173,S173,U173,W173,Y173,AA173,AC173,AE173)</f>
        <v>0</v>
      </c>
      <c r="F173" s="116">
        <f>IFERROR(E173/B173*100,0)</f>
        <v>0</v>
      </c>
      <c r="G173" s="116">
        <f>IFERROR(E173/C173*100,0)</f>
        <v>0</v>
      </c>
      <c r="H173" s="111">
        <v>0</v>
      </c>
      <c r="I173" s="111">
        <v>0</v>
      </c>
      <c r="J173" s="111">
        <v>0</v>
      </c>
      <c r="K173" s="111">
        <v>0</v>
      </c>
      <c r="L173" s="111">
        <v>68</v>
      </c>
      <c r="M173" s="111">
        <v>0</v>
      </c>
      <c r="N173" s="111">
        <v>0</v>
      </c>
      <c r="O173" s="111">
        <v>0</v>
      </c>
      <c r="P173" s="111">
        <v>0</v>
      </c>
      <c r="Q173" s="111">
        <v>0</v>
      </c>
      <c r="R173" s="111">
        <v>0</v>
      </c>
      <c r="S173" s="111">
        <v>0</v>
      </c>
      <c r="T173" s="111"/>
      <c r="U173" s="111"/>
      <c r="V173" s="111"/>
      <c r="W173" s="111"/>
      <c r="X173" s="111"/>
      <c r="Y173" s="111"/>
      <c r="Z173" s="111"/>
      <c r="AA173" s="111"/>
      <c r="AB173" s="111"/>
      <c r="AC173" s="111"/>
      <c r="AD173" s="111"/>
      <c r="AE173" s="111"/>
      <c r="AF173" s="29"/>
      <c r="AG173" s="102">
        <f t="shared" si="29"/>
        <v>0</v>
      </c>
    </row>
    <row r="174" spans="1:33" x14ac:dyDescent="0.3">
      <c r="A174" s="115" t="s">
        <v>170</v>
      </c>
      <c r="B174" s="116"/>
      <c r="C174" s="117"/>
      <c r="D174" s="118"/>
      <c r="E174" s="117"/>
      <c r="F174" s="116"/>
      <c r="G174" s="116"/>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c r="AD174" s="111"/>
      <c r="AE174" s="111"/>
      <c r="AF174" s="29"/>
      <c r="AG174" s="102">
        <f t="shared" si="29"/>
        <v>0</v>
      </c>
    </row>
    <row r="175" spans="1:33" ht="75" x14ac:dyDescent="0.3">
      <c r="A175" s="122" t="s">
        <v>199</v>
      </c>
      <c r="B175" s="116"/>
      <c r="C175" s="123"/>
      <c r="D175" s="123"/>
      <c r="E175" s="123"/>
      <c r="F175" s="123"/>
      <c r="G175" s="123"/>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c r="AD175" s="111"/>
      <c r="AE175" s="111"/>
      <c r="AF175" s="29"/>
      <c r="AG175" s="102">
        <f t="shared" si="29"/>
        <v>0</v>
      </c>
    </row>
    <row r="176" spans="1:33" x14ac:dyDescent="0.3">
      <c r="A176" s="112" t="s">
        <v>31</v>
      </c>
      <c r="B176" s="113">
        <f>B178+B179+B177+B180</f>
        <v>0</v>
      </c>
      <c r="C176" s="113">
        <f>C178+C179+C177+C180</f>
        <v>0</v>
      </c>
      <c r="D176" s="113">
        <f>D178+D179+D177+D180</f>
        <v>0</v>
      </c>
      <c r="E176" s="113">
        <f>E178+E179+E177+E180</f>
        <v>0</v>
      </c>
      <c r="F176" s="113">
        <f>IFERROR(E176/B176*100,0)</f>
        <v>0</v>
      </c>
      <c r="G176" s="113">
        <f>IFERROR(E176/C176*100,0)</f>
        <v>0</v>
      </c>
      <c r="H176" s="113">
        <f t="shared" ref="H176:AE176" si="41">H178+H179+H177+H180</f>
        <v>0</v>
      </c>
      <c r="I176" s="113">
        <f t="shared" si="41"/>
        <v>0</v>
      </c>
      <c r="J176" s="113">
        <f t="shared" si="41"/>
        <v>0</v>
      </c>
      <c r="K176" s="113">
        <f t="shared" si="41"/>
        <v>0</v>
      </c>
      <c r="L176" s="113">
        <f t="shared" si="41"/>
        <v>0</v>
      </c>
      <c r="M176" s="113">
        <f t="shared" si="41"/>
        <v>0</v>
      </c>
      <c r="N176" s="113">
        <f t="shared" si="41"/>
        <v>0</v>
      </c>
      <c r="O176" s="113">
        <f t="shared" si="41"/>
        <v>0</v>
      </c>
      <c r="P176" s="113">
        <f t="shared" si="41"/>
        <v>0</v>
      </c>
      <c r="Q176" s="113">
        <f t="shared" si="41"/>
        <v>0</v>
      </c>
      <c r="R176" s="113">
        <f t="shared" si="41"/>
        <v>0</v>
      </c>
      <c r="S176" s="113">
        <f t="shared" si="41"/>
        <v>0</v>
      </c>
      <c r="T176" s="113">
        <f t="shared" si="41"/>
        <v>0</v>
      </c>
      <c r="U176" s="113">
        <f t="shared" si="41"/>
        <v>0</v>
      </c>
      <c r="V176" s="113">
        <f t="shared" si="41"/>
        <v>0</v>
      </c>
      <c r="W176" s="113">
        <f t="shared" si="41"/>
        <v>0</v>
      </c>
      <c r="X176" s="113">
        <f t="shared" si="41"/>
        <v>0</v>
      </c>
      <c r="Y176" s="113">
        <f t="shared" si="41"/>
        <v>0</v>
      </c>
      <c r="Z176" s="113">
        <f t="shared" si="41"/>
        <v>0</v>
      </c>
      <c r="AA176" s="113">
        <f t="shared" si="41"/>
        <v>0</v>
      </c>
      <c r="AB176" s="113">
        <f t="shared" si="41"/>
        <v>0</v>
      </c>
      <c r="AC176" s="113">
        <f t="shared" si="41"/>
        <v>0</v>
      </c>
      <c r="AD176" s="113">
        <f t="shared" si="41"/>
        <v>0</v>
      </c>
      <c r="AE176" s="113">
        <f t="shared" si="41"/>
        <v>0</v>
      </c>
      <c r="AF176" s="29"/>
      <c r="AG176" s="102">
        <f t="shared" si="29"/>
        <v>0</v>
      </c>
    </row>
    <row r="177" spans="1:33" x14ac:dyDescent="0.3">
      <c r="A177" s="115" t="s">
        <v>169</v>
      </c>
      <c r="B177" s="116">
        <f>H177+J177+L177+N177+P177+R177+T177+V177+X177+Z177+AB177+AD177</f>
        <v>0</v>
      </c>
      <c r="C177" s="117">
        <f>SUM(H177)</f>
        <v>0</v>
      </c>
      <c r="D177" s="118">
        <f>E177</f>
        <v>0</v>
      </c>
      <c r="E177" s="117">
        <f>SUM(I177,K177,M177,O177,Q177,S177,U177,W177,Y177,AA177,AC177,AE177)</f>
        <v>0</v>
      </c>
      <c r="F177" s="116">
        <f>IFERROR(E177/B177*100,0)</f>
        <v>0</v>
      </c>
      <c r="G177" s="116">
        <f>IFERROR(E177/C177*100,0)</f>
        <v>0</v>
      </c>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c r="AD177" s="111"/>
      <c r="AE177" s="111"/>
      <c r="AF177" s="29"/>
      <c r="AG177" s="102">
        <f t="shared" si="29"/>
        <v>0</v>
      </c>
    </row>
    <row r="178" spans="1:33" x14ac:dyDescent="0.3">
      <c r="A178" s="115" t="s">
        <v>32</v>
      </c>
      <c r="B178" s="116">
        <f>J178+L178+N178+P178+R178+T178+V178+X178+Z178+AB178+AD178+H178</f>
        <v>0</v>
      </c>
      <c r="C178" s="117">
        <f>SUM(H178)</f>
        <v>0</v>
      </c>
      <c r="D178" s="118">
        <f>E178</f>
        <v>0</v>
      </c>
      <c r="E178" s="117">
        <f>SUM(I178,K178,M178,O178,Q178,S178,U178,W178,Y178,AA178,AC178,AE178)</f>
        <v>0</v>
      </c>
      <c r="F178" s="116">
        <f>IFERROR(E178/B178*100,0)</f>
        <v>0</v>
      </c>
      <c r="G178" s="116">
        <f>IFERROR(E178/C178*100,0)</f>
        <v>0</v>
      </c>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c r="AD178" s="111"/>
      <c r="AE178" s="111"/>
      <c r="AF178" s="29"/>
      <c r="AG178" s="102">
        <f t="shared" si="29"/>
        <v>0</v>
      </c>
    </row>
    <row r="179" spans="1:33" x14ac:dyDescent="0.3">
      <c r="A179" s="115" t="s">
        <v>33</v>
      </c>
      <c r="B179" s="116">
        <f>J179+L179+N179+P179+R179+T179+V179+X179+Z179+AB179+AD179+H179</f>
        <v>0</v>
      </c>
      <c r="C179" s="117">
        <f>SUM(H179)</f>
        <v>0</v>
      </c>
      <c r="D179" s="118">
        <f>E179</f>
        <v>0</v>
      </c>
      <c r="E179" s="117">
        <f>SUM(I179,K179,M179,O179,Q179,S179,U179,W179,Y179,AA179,AC179,AE179)</f>
        <v>0</v>
      </c>
      <c r="F179" s="116">
        <f>IFERROR(E179/B179*100,0)</f>
        <v>0</v>
      </c>
      <c r="G179" s="116">
        <f>IFERROR(E179/C179*100,0)</f>
        <v>0</v>
      </c>
      <c r="H179" s="111">
        <v>0</v>
      </c>
      <c r="I179" s="111">
        <v>0</v>
      </c>
      <c r="J179" s="111">
        <v>0</v>
      </c>
      <c r="K179" s="111">
        <v>0</v>
      </c>
      <c r="L179" s="111">
        <v>0</v>
      </c>
      <c r="M179" s="111">
        <v>0</v>
      </c>
      <c r="N179" s="111">
        <v>0</v>
      </c>
      <c r="O179" s="111">
        <v>0</v>
      </c>
      <c r="P179" s="111"/>
      <c r="Q179" s="111"/>
      <c r="R179" s="111"/>
      <c r="S179" s="111"/>
      <c r="T179" s="111"/>
      <c r="U179" s="111"/>
      <c r="V179" s="111"/>
      <c r="W179" s="111"/>
      <c r="X179" s="111"/>
      <c r="Y179" s="111"/>
      <c r="Z179" s="111"/>
      <c r="AA179" s="111"/>
      <c r="AB179" s="111"/>
      <c r="AC179" s="111"/>
      <c r="AD179" s="111"/>
      <c r="AE179" s="111"/>
      <c r="AF179" s="29"/>
      <c r="AG179" s="102">
        <f t="shared" si="29"/>
        <v>0</v>
      </c>
    </row>
    <row r="180" spans="1:33" x14ac:dyDescent="0.3">
      <c r="A180" s="115" t="s">
        <v>170</v>
      </c>
      <c r="B180" s="116">
        <f>J180+L180+N180+P180+R180+T180+V180+X180+Z180+AB180+AD180+H180</f>
        <v>0</v>
      </c>
      <c r="C180" s="117">
        <f>SUM(H180)</f>
        <v>0</v>
      </c>
      <c r="D180" s="118">
        <f>E180</f>
        <v>0</v>
      </c>
      <c r="E180" s="117">
        <f>SUM(I180,K180,M180,O180,Q180,S180,U180,W180,Y180,AA180,AC180,AE180)</f>
        <v>0</v>
      </c>
      <c r="F180" s="116">
        <f>IFERROR(E180/B180*100,0)</f>
        <v>0</v>
      </c>
      <c r="G180" s="116">
        <f>IFERROR(E180/C180*100,0)</f>
        <v>0</v>
      </c>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c r="AD180" s="111"/>
      <c r="AE180" s="111"/>
      <c r="AF180" s="29"/>
      <c r="AG180" s="102">
        <f t="shared" si="29"/>
        <v>0</v>
      </c>
    </row>
    <row r="181" spans="1:33" ht="37.5" x14ac:dyDescent="0.3">
      <c r="A181" s="124" t="s">
        <v>200</v>
      </c>
      <c r="B181" s="107"/>
      <c r="C181" s="136"/>
      <c r="D181" s="136"/>
      <c r="E181" s="136"/>
      <c r="F181" s="136"/>
      <c r="G181" s="136"/>
      <c r="H181" s="107"/>
      <c r="I181" s="107"/>
      <c r="J181" s="107"/>
      <c r="K181" s="107"/>
      <c r="L181" s="107"/>
      <c r="M181" s="107"/>
      <c r="N181" s="107"/>
      <c r="O181" s="107"/>
      <c r="P181" s="107"/>
      <c r="Q181" s="107"/>
      <c r="R181" s="107"/>
      <c r="S181" s="107"/>
      <c r="T181" s="107"/>
      <c r="U181" s="107"/>
      <c r="V181" s="107"/>
      <c r="W181" s="107"/>
      <c r="X181" s="107"/>
      <c r="Y181" s="107"/>
      <c r="Z181" s="107"/>
      <c r="AA181" s="107"/>
      <c r="AB181" s="107"/>
      <c r="AC181" s="107"/>
      <c r="AD181" s="107"/>
      <c r="AE181" s="107"/>
      <c r="AF181" s="101"/>
      <c r="AG181" s="102">
        <f t="shared" si="29"/>
        <v>0</v>
      </c>
    </row>
    <row r="182" spans="1:33" x14ac:dyDescent="0.3">
      <c r="A182" s="103" t="s">
        <v>31</v>
      </c>
      <c r="B182" s="104">
        <f>B183+B184+B185+B186</f>
        <v>169091.10200000004</v>
      </c>
      <c r="C182" s="104">
        <f>C183+C184+C185+C186</f>
        <v>55555.400000000009</v>
      </c>
      <c r="D182" s="104">
        <f>D183+D184+D185+D186</f>
        <v>74690.943000000014</v>
      </c>
      <c r="E182" s="104">
        <f>E183+E184+E185+E186</f>
        <v>74690.942999999999</v>
      </c>
      <c r="F182" s="107">
        <v>0</v>
      </c>
      <c r="G182" s="107">
        <v>0</v>
      </c>
      <c r="H182" s="104">
        <f>H183+H184+H185+H186</f>
        <v>16944.11</v>
      </c>
      <c r="I182" s="104">
        <f t="shared" ref="I182:AE182" si="42">I183+I184+I185+I186</f>
        <v>13353.019</v>
      </c>
      <c r="J182" s="104">
        <f t="shared" si="42"/>
        <v>13239.59</v>
      </c>
      <c r="K182" s="104">
        <f t="shared" si="42"/>
        <v>10800.120999999999</v>
      </c>
      <c r="L182" s="104">
        <f t="shared" si="42"/>
        <v>9777.57</v>
      </c>
      <c r="M182" s="104">
        <f t="shared" si="42"/>
        <v>9469.74</v>
      </c>
      <c r="N182" s="104">
        <f t="shared" si="42"/>
        <v>15594.13</v>
      </c>
      <c r="O182" s="104">
        <f t="shared" si="42"/>
        <v>12064.380000000001</v>
      </c>
      <c r="P182" s="104">
        <f t="shared" si="42"/>
        <v>14082.019999999999</v>
      </c>
      <c r="Q182" s="104">
        <f t="shared" si="42"/>
        <v>9187.514000000001</v>
      </c>
      <c r="R182" s="104">
        <f t="shared" si="42"/>
        <v>15228.46</v>
      </c>
      <c r="S182" s="104">
        <f t="shared" si="42"/>
        <v>19816.169000000002</v>
      </c>
      <c r="T182" s="104">
        <f t="shared" si="42"/>
        <v>16342.57</v>
      </c>
      <c r="U182" s="104">
        <f t="shared" si="42"/>
        <v>0</v>
      </c>
      <c r="V182" s="104">
        <f t="shared" si="42"/>
        <v>11373.369999999999</v>
      </c>
      <c r="W182" s="104">
        <f t="shared" si="42"/>
        <v>0</v>
      </c>
      <c r="X182" s="104">
        <f t="shared" si="42"/>
        <v>12042.312</v>
      </c>
      <c r="Y182" s="104">
        <f t="shared" si="42"/>
        <v>0</v>
      </c>
      <c r="Z182" s="104">
        <f t="shared" si="42"/>
        <v>15258.235000000001</v>
      </c>
      <c r="AA182" s="104">
        <f t="shared" si="42"/>
        <v>0</v>
      </c>
      <c r="AB182" s="104">
        <f t="shared" si="42"/>
        <v>9675.9930000000004</v>
      </c>
      <c r="AC182" s="104">
        <f t="shared" si="42"/>
        <v>0</v>
      </c>
      <c r="AD182" s="104">
        <f t="shared" si="42"/>
        <v>19532.741999999998</v>
      </c>
      <c r="AE182" s="104">
        <f t="shared" si="42"/>
        <v>0</v>
      </c>
      <c r="AF182" s="101"/>
      <c r="AG182" s="102">
        <f t="shared" si="29"/>
        <v>0</v>
      </c>
    </row>
    <row r="183" spans="1:33" x14ac:dyDescent="0.3">
      <c r="A183" s="106" t="s">
        <v>169</v>
      </c>
      <c r="B183" s="107"/>
      <c r="C183" s="107"/>
      <c r="D183" s="107"/>
      <c r="E183" s="107"/>
      <c r="F183" s="107"/>
      <c r="G183" s="107"/>
      <c r="H183" s="107"/>
      <c r="I183" s="107"/>
      <c r="J183" s="107"/>
      <c r="K183" s="107"/>
      <c r="L183" s="107"/>
      <c r="M183" s="107"/>
      <c r="N183" s="107"/>
      <c r="O183" s="107"/>
      <c r="P183" s="107"/>
      <c r="Q183" s="107"/>
      <c r="R183" s="107"/>
      <c r="S183" s="107"/>
      <c r="T183" s="107"/>
      <c r="U183" s="107"/>
      <c r="V183" s="107"/>
      <c r="W183" s="107"/>
      <c r="X183" s="107"/>
      <c r="Y183" s="107"/>
      <c r="Z183" s="107"/>
      <c r="AA183" s="107"/>
      <c r="AB183" s="107"/>
      <c r="AC183" s="107"/>
      <c r="AD183" s="107"/>
      <c r="AE183" s="107"/>
      <c r="AF183" s="101"/>
      <c r="AG183" s="102">
        <f t="shared" si="29"/>
        <v>0</v>
      </c>
    </row>
    <row r="184" spans="1:33" x14ac:dyDescent="0.3">
      <c r="A184" s="106" t="s">
        <v>32</v>
      </c>
      <c r="B184" s="107"/>
      <c r="C184" s="107"/>
      <c r="D184" s="107"/>
      <c r="E184" s="107"/>
      <c r="F184" s="107"/>
      <c r="G184" s="107"/>
      <c r="H184" s="107"/>
      <c r="I184" s="107"/>
      <c r="J184" s="107"/>
      <c r="K184" s="107"/>
      <c r="L184" s="107"/>
      <c r="M184" s="107"/>
      <c r="N184" s="107"/>
      <c r="O184" s="107"/>
      <c r="P184" s="107"/>
      <c r="Q184" s="107"/>
      <c r="R184" s="107"/>
      <c r="S184" s="107"/>
      <c r="T184" s="107"/>
      <c r="U184" s="107"/>
      <c r="V184" s="107"/>
      <c r="W184" s="107"/>
      <c r="X184" s="107"/>
      <c r="Y184" s="107"/>
      <c r="Z184" s="107"/>
      <c r="AA184" s="107"/>
      <c r="AB184" s="107"/>
      <c r="AC184" s="107"/>
      <c r="AD184" s="107"/>
      <c r="AE184" s="107"/>
      <c r="AF184" s="101"/>
      <c r="AG184" s="102">
        <f t="shared" si="29"/>
        <v>0</v>
      </c>
    </row>
    <row r="185" spans="1:33" x14ac:dyDescent="0.3">
      <c r="A185" s="106" t="s">
        <v>33</v>
      </c>
      <c r="B185" s="107">
        <f>B191+B197+B203+B209+B215</f>
        <v>169091.10200000004</v>
      </c>
      <c r="C185" s="107">
        <f>C191+C197+C203+C209+C215</f>
        <v>55555.400000000009</v>
      </c>
      <c r="D185" s="107">
        <f>D191+D197+D203+D209+D215</f>
        <v>74690.943000000014</v>
      </c>
      <c r="E185" s="107">
        <f>SUM(I185,K185,M185,O185,Q185,S185,U185,W185,Y185,AA185,AC185,AE185)</f>
        <v>74690.942999999999</v>
      </c>
      <c r="F185" s="107">
        <f>IFERROR(E185/B185*100,0)</f>
        <v>44.172012670424245</v>
      </c>
      <c r="G185" s="107">
        <f>IFERROR(E185/C185*100,0)</f>
        <v>134.44407384340673</v>
      </c>
      <c r="H185" s="107">
        <f>H191+H197+H203+H209+H215</f>
        <v>16944.11</v>
      </c>
      <c r="I185" s="107">
        <f t="shared" ref="I185:AE185" si="43">I191+I197+I203+I209+I215</f>
        <v>13353.019</v>
      </c>
      <c r="J185" s="107">
        <f t="shared" si="43"/>
        <v>13239.59</v>
      </c>
      <c r="K185" s="107">
        <f t="shared" si="43"/>
        <v>10800.120999999999</v>
      </c>
      <c r="L185" s="107">
        <f t="shared" si="43"/>
        <v>9777.57</v>
      </c>
      <c r="M185" s="107">
        <f t="shared" si="43"/>
        <v>9469.74</v>
      </c>
      <c r="N185" s="107">
        <f t="shared" si="43"/>
        <v>15594.13</v>
      </c>
      <c r="O185" s="107">
        <f t="shared" si="43"/>
        <v>12064.380000000001</v>
      </c>
      <c r="P185" s="107">
        <f t="shared" si="43"/>
        <v>14082.019999999999</v>
      </c>
      <c r="Q185" s="107">
        <f t="shared" si="43"/>
        <v>9187.514000000001</v>
      </c>
      <c r="R185" s="107">
        <f t="shared" si="43"/>
        <v>15228.46</v>
      </c>
      <c r="S185" s="107">
        <f t="shared" si="43"/>
        <v>19816.169000000002</v>
      </c>
      <c r="T185" s="107">
        <f t="shared" si="43"/>
        <v>16342.57</v>
      </c>
      <c r="U185" s="107">
        <f t="shared" si="43"/>
        <v>0</v>
      </c>
      <c r="V185" s="107">
        <f t="shared" si="43"/>
        <v>11373.369999999999</v>
      </c>
      <c r="W185" s="107">
        <f t="shared" si="43"/>
        <v>0</v>
      </c>
      <c r="X185" s="107">
        <f t="shared" si="43"/>
        <v>12042.312</v>
      </c>
      <c r="Y185" s="107">
        <f t="shared" si="43"/>
        <v>0</v>
      </c>
      <c r="Z185" s="107">
        <f t="shared" si="43"/>
        <v>15258.235000000001</v>
      </c>
      <c r="AA185" s="107">
        <f t="shared" si="43"/>
        <v>0</v>
      </c>
      <c r="AB185" s="107">
        <f t="shared" si="43"/>
        <v>9675.9930000000004</v>
      </c>
      <c r="AC185" s="107">
        <f t="shared" si="43"/>
        <v>0</v>
      </c>
      <c r="AD185" s="107">
        <f t="shared" si="43"/>
        <v>19532.741999999998</v>
      </c>
      <c r="AE185" s="107">
        <f t="shared" si="43"/>
        <v>0</v>
      </c>
      <c r="AF185" s="101"/>
      <c r="AG185" s="102">
        <f t="shared" si="29"/>
        <v>0</v>
      </c>
    </row>
    <row r="186" spans="1:33" x14ac:dyDescent="0.3">
      <c r="A186" s="106" t="s">
        <v>170</v>
      </c>
      <c r="B186" s="107">
        <f>B192</f>
        <v>0</v>
      </c>
      <c r="C186" s="107"/>
      <c r="D186" s="107"/>
      <c r="E186" s="107"/>
      <c r="F186" s="107"/>
      <c r="G186" s="107"/>
      <c r="H186" s="107">
        <f>H192</f>
        <v>0</v>
      </c>
      <c r="I186" s="107">
        <f t="shared" ref="I186:AE186" si="44">I192</f>
        <v>0</v>
      </c>
      <c r="J186" s="107">
        <f t="shared" si="44"/>
        <v>0</v>
      </c>
      <c r="K186" s="107">
        <f t="shared" si="44"/>
        <v>0</v>
      </c>
      <c r="L186" s="107">
        <f t="shared" si="44"/>
        <v>0</v>
      </c>
      <c r="M186" s="107">
        <f t="shared" si="44"/>
        <v>0</v>
      </c>
      <c r="N186" s="107">
        <f t="shared" si="44"/>
        <v>0</v>
      </c>
      <c r="O186" s="107">
        <f t="shared" si="44"/>
        <v>0</v>
      </c>
      <c r="P186" s="107">
        <f t="shared" si="44"/>
        <v>0</v>
      </c>
      <c r="Q186" s="107">
        <f t="shared" si="44"/>
        <v>0</v>
      </c>
      <c r="R186" s="107">
        <f t="shared" si="44"/>
        <v>0</v>
      </c>
      <c r="S186" s="107">
        <f t="shared" si="44"/>
        <v>0</v>
      </c>
      <c r="T186" s="107">
        <f t="shared" si="44"/>
        <v>0</v>
      </c>
      <c r="U186" s="107">
        <f t="shared" si="44"/>
        <v>0</v>
      </c>
      <c r="V186" s="107">
        <f t="shared" si="44"/>
        <v>0</v>
      </c>
      <c r="W186" s="107">
        <f t="shared" si="44"/>
        <v>0</v>
      </c>
      <c r="X186" s="107">
        <f t="shared" si="44"/>
        <v>0</v>
      </c>
      <c r="Y186" s="107">
        <f t="shared" si="44"/>
        <v>0</v>
      </c>
      <c r="Z186" s="107">
        <f t="shared" si="44"/>
        <v>0</v>
      </c>
      <c r="AA186" s="107">
        <f t="shared" si="44"/>
        <v>0</v>
      </c>
      <c r="AB186" s="107">
        <f t="shared" si="44"/>
        <v>0</v>
      </c>
      <c r="AC186" s="107">
        <f t="shared" si="44"/>
        <v>0</v>
      </c>
      <c r="AD186" s="107">
        <f t="shared" si="44"/>
        <v>0</v>
      </c>
      <c r="AE186" s="107">
        <f t="shared" si="44"/>
        <v>0</v>
      </c>
      <c r="AF186" s="101"/>
      <c r="AG186" s="102">
        <f t="shared" si="29"/>
        <v>0</v>
      </c>
    </row>
    <row r="187" spans="1:33" ht="409.5" x14ac:dyDescent="0.3">
      <c r="A187" s="108" t="s">
        <v>201</v>
      </c>
      <c r="B187" s="109"/>
      <c r="C187" s="110"/>
      <c r="D187" s="110"/>
      <c r="E187" s="110"/>
      <c r="F187" s="110"/>
      <c r="G187" s="110"/>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c r="AD187" s="111"/>
      <c r="AE187" s="111"/>
      <c r="AF187" s="848" t="s">
        <v>661</v>
      </c>
      <c r="AG187" s="102">
        <f t="shared" si="29"/>
        <v>0</v>
      </c>
    </row>
    <row r="188" spans="1:33" x14ac:dyDescent="0.3">
      <c r="A188" s="112" t="s">
        <v>31</v>
      </c>
      <c r="B188" s="647">
        <f>B190+B191+B189+B192</f>
        <v>10692.602000000001</v>
      </c>
      <c r="C188" s="113">
        <f>C190+C191+C189+C192</f>
        <v>3221.2300000000005</v>
      </c>
      <c r="D188" s="113">
        <f>D190+D191+D189+D192</f>
        <v>3645.6019999999999</v>
      </c>
      <c r="E188" s="113">
        <f>E190+E191+E189+E192</f>
        <v>3645.6019999999999</v>
      </c>
      <c r="F188" s="113">
        <f>F189+F190+F191+F193</f>
        <v>34.094619812838815</v>
      </c>
      <c r="G188" s="113">
        <f>G189+G190+G191+G193</f>
        <v>113.17422226913321</v>
      </c>
      <c r="H188" s="113">
        <f t="shared" ref="H188:AE188" si="45">H190+H191+H189+H192</f>
        <v>576.6</v>
      </c>
      <c r="I188" s="113">
        <f t="shared" si="45"/>
        <v>132.07</v>
      </c>
      <c r="J188" s="113">
        <f t="shared" si="45"/>
        <v>1143.6099999999999</v>
      </c>
      <c r="K188" s="113">
        <f t="shared" si="45"/>
        <v>848.18299999999999</v>
      </c>
      <c r="L188" s="113">
        <f t="shared" si="45"/>
        <v>636.47</v>
      </c>
      <c r="M188" s="113">
        <f t="shared" si="45"/>
        <v>692.9</v>
      </c>
      <c r="N188" s="113">
        <f t="shared" si="45"/>
        <v>864.55</v>
      </c>
      <c r="O188" s="113">
        <f t="shared" si="45"/>
        <v>774.59</v>
      </c>
      <c r="P188" s="113">
        <f t="shared" si="45"/>
        <v>822.05</v>
      </c>
      <c r="Q188" s="113">
        <f t="shared" si="45"/>
        <v>232.87700000000001</v>
      </c>
      <c r="R188" s="113">
        <f t="shared" si="45"/>
        <v>252.3</v>
      </c>
      <c r="S188" s="113">
        <f t="shared" si="45"/>
        <v>964.98199999999997</v>
      </c>
      <c r="T188" s="113">
        <f t="shared" si="45"/>
        <v>0</v>
      </c>
      <c r="U188" s="113">
        <f t="shared" si="45"/>
        <v>0</v>
      </c>
      <c r="V188" s="113">
        <f t="shared" si="45"/>
        <v>566.71</v>
      </c>
      <c r="W188" s="113">
        <f t="shared" si="45"/>
        <v>0</v>
      </c>
      <c r="X188" s="113">
        <f t="shared" si="45"/>
        <v>2445.4569999999999</v>
      </c>
      <c r="Y188" s="113">
        <f t="shared" si="45"/>
        <v>0</v>
      </c>
      <c r="Z188" s="113">
        <f t="shared" si="45"/>
        <v>2488.8000000000002</v>
      </c>
      <c r="AA188" s="113">
        <f t="shared" si="45"/>
        <v>0</v>
      </c>
      <c r="AB188" s="113">
        <f t="shared" si="45"/>
        <v>19.878</v>
      </c>
      <c r="AC188" s="113">
        <f t="shared" si="45"/>
        <v>0</v>
      </c>
      <c r="AD188" s="113">
        <f t="shared" si="45"/>
        <v>876.17700000000002</v>
      </c>
      <c r="AE188" s="113">
        <f t="shared" si="45"/>
        <v>0</v>
      </c>
      <c r="AF188" s="849"/>
      <c r="AG188" s="102">
        <f t="shared" si="29"/>
        <v>0</v>
      </c>
    </row>
    <row r="189" spans="1:33" x14ac:dyDescent="0.3">
      <c r="A189" s="115" t="s">
        <v>169</v>
      </c>
      <c r="B189" s="116"/>
      <c r="C189" s="117"/>
      <c r="D189" s="118"/>
      <c r="E189" s="117"/>
      <c r="F189" s="117"/>
      <c r="G189" s="117"/>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c r="AD189" s="111"/>
      <c r="AE189" s="111"/>
      <c r="AF189" s="849"/>
      <c r="AG189" s="102">
        <f t="shared" si="29"/>
        <v>0</v>
      </c>
    </row>
    <row r="190" spans="1:33" x14ac:dyDescent="0.3">
      <c r="A190" s="115" t="s">
        <v>32</v>
      </c>
      <c r="B190" s="116"/>
      <c r="C190" s="117"/>
      <c r="D190" s="118"/>
      <c r="E190" s="117"/>
      <c r="F190" s="117"/>
      <c r="G190" s="117"/>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c r="AD190" s="111"/>
      <c r="AE190" s="111"/>
      <c r="AF190" s="850"/>
      <c r="AG190" s="102">
        <f t="shared" si="29"/>
        <v>0</v>
      </c>
    </row>
    <row r="191" spans="1:33" x14ac:dyDescent="0.3">
      <c r="A191" s="115" t="s">
        <v>33</v>
      </c>
      <c r="B191" s="116">
        <f>J191+L191+N191+P191+R191+T191+V191+X191+Z191+AB191+AD191+H191</f>
        <v>10692.602000000001</v>
      </c>
      <c r="C191" s="117">
        <f>SUM(H191+J191+L191+N191)</f>
        <v>3221.2300000000005</v>
      </c>
      <c r="D191" s="118">
        <f>E191</f>
        <v>3645.6019999999999</v>
      </c>
      <c r="E191" s="117">
        <f>SUM(I191,K191,M191,O191,Q191,S191,U191,W191,Y191,AA191,AC191,AE191)</f>
        <v>3645.6019999999999</v>
      </c>
      <c r="F191" s="117">
        <f>IFERROR(E191/B191*100,0)</f>
        <v>34.094619812838815</v>
      </c>
      <c r="G191" s="117">
        <f>IFERROR(E191/C191*100,0)</f>
        <v>113.17422226913321</v>
      </c>
      <c r="H191" s="111">
        <v>576.6</v>
      </c>
      <c r="I191" s="111">
        <v>132.07</v>
      </c>
      <c r="J191" s="111">
        <v>1143.6099999999999</v>
      </c>
      <c r="K191" s="111">
        <v>848.18299999999999</v>
      </c>
      <c r="L191" s="111">
        <v>636.47</v>
      </c>
      <c r="M191" s="111">
        <v>692.9</v>
      </c>
      <c r="N191" s="111">
        <v>864.55</v>
      </c>
      <c r="O191" s="111">
        <v>774.59</v>
      </c>
      <c r="P191" s="111">
        <v>822.05</v>
      </c>
      <c r="Q191" s="111">
        <v>232.87700000000001</v>
      </c>
      <c r="R191" s="111">
        <v>252.3</v>
      </c>
      <c r="S191" s="111">
        <v>964.98199999999997</v>
      </c>
      <c r="T191" s="111">
        <v>0</v>
      </c>
      <c r="U191" s="111"/>
      <c r="V191" s="111">
        <v>566.71</v>
      </c>
      <c r="W191" s="111"/>
      <c r="X191" s="111">
        <v>2445.4569999999999</v>
      </c>
      <c r="Y191" s="111"/>
      <c r="Z191" s="111">
        <v>2488.8000000000002</v>
      </c>
      <c r="AA191" s="111"/>
      <c r="AB191" s="111">
        <v>19.878</v>
      </c>
      <c r="AC191" s="111"/>
      <c r="AD191" s="111">
        <v>876.17700000000002</v>
      </c>
      <c r="AE191" s="111"/>
      <c r="AF191" s="521"/>
      <c r="AG191" s="102">
        <f t="shared" si="29"/>
        <v>0</v>
      </c>
    </row>
    <row r="192" spans="1:33" x14ac:dyDescent="0.3">
      <c r="A192" s="115" t="s">
        <v>170</v>
      </c>
      <c r="B192" s="116">
        <f>J192+L192+N192+P192+R192+T192+V192+X192+Z192+AB192+AD192+H192</f>
        <v>0</v>
      </c>
      <c r="C192" s="117"/>
      <c r="D192" s="118"/>
      <c r="E192" s="117"/>
      <c r="F192" s="117"/>
      <c r="G192" s="117"/>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c r="AD192" s="111"/>
      <c r="AE192" s="111"/>
      <c r="AF192" s="29"/>
      <c r="AG192" s="102">
        <f t="shared" si="29"/>
        <v>0</v>
      </c>
    </row>
    <row r="193" spans="1:33" ht="37.5" x14ac:dyDescent="0.3">
      <c r="A193" s="122" t="s">
        <v>202</v>
      </c>
      <c r="B193" s="113"/>
      <c r="C193" s="121"/>
      <c r="D193" s="121"/>
      <c r="E193" s="121"/>
      <c r="F193" s="121"/>
      <c r="G193" s="12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c r="AD193" s="111"/>
      <c r="AE193" s="111"/>
      <c r="AF193" s="29"/>
      <c r="AG193" s="102">
        <f t="shared" si="29"/>
        <v>0</v>
      </c>
    </row>
    <row r="194" spans="1:33" x14ac:dyDescent="0.3">
      <c r="A194" s="112" t="s">
        <v>31</v>
      </c>
      <c r="B194" s="647">
        <f>B196+B197+B195+B198</f>
        <v>50</v>
      </c>
      <c r="C194" s="647">
        <f>C196+C197+C195+C198</f>
        <v>0</v>
      </c>
      <c r="D194" s="113">
        <f>D196+D197+D195+D198</f>
        <v>0</v>
      </c>
      <c r="E194" s="113">
        <f>E196+E197+E195+E198</f>
        <v>0</v>
      </c>
      <c r="F194" s="113">
        <f>IFERROR(E194/B194*100,0)</f>
        <v>0</v>
      </c>
      <c r="G194" s="113">
        <f>IFERROR(E194/C194*100,0)</f>
        <v>0</v>
      </c>
      <c r="H194" s="113">
        <f t="shared" ref="H194:AE194" si="46">H196+H197+H195+H198</f>
        <v>0</v>
      </c>
      <c r="I194" s="113">
        <f t="shared" si="46"/>
        <v>0</v>
      </c>
      <c r="J194" s="113">
        <f t="shared" si="46"/>
        <v>0</v>
      </c>
      <c r="K194" s="113">
        <f t="shared" si="46"/>
        <v>0</v>
      </c>
      <c r="L194" s="113">
        <f t="shared" si="46"/>
        <v>0</v>
      </c>
      <c r="M194" s="113">
        <f t="shared" si="46"/>
        <v>0</v>
      </c>
      <c r="N194" s="113">
        <f t="shared" si="46"/>
        <v>0</v>
      </c>
      <c r="O194" s="113">
        <f t="shared" si="46"/>
        <v>0</v>
      </c>
      <c r="P194" s="113">
        <f t="shared" si="46"/>
        <v>0</v>
      </c>
      <c r="Q194" s="113">
        <f t="shared" si="46"/>
        <v>0</v>
      </c>
      <c r="R194" s="113">
        <f t="shared" si="46"/>
        <v>0</v>
      </c>
      <c r="S194" s="113">
        <f t="shared" si="46"/>
        <v>0</v>
      </c>
      <c r="T194" s="113">
        <f t="shared" si="46"/>
        <v>0</v>
      </c>
      <c r="U194" s="113">
        <f t="shared" si="46"/>
        <v>0</v>
      </c>
      <c r="V194" s="113">
        <f t="shared" si="46"/>
        <v>0</v>
      </c>
      <c r="W194" s="113">
        <f t="shared" si="46"/>
        <v>0</v>
      </c>
      <c r="X194" s="113">
        <f t="shared" si="46"/>
        <v>0</v>
      </c>
      <c r="Y194" s="113">
        <f t="shared" si="46"/>
        <v>0</v>
      </c>
      <c r="Z194" s="113">
        <f t="shared" si="46"/>
        <v>0</v>
      </c>
      <c r="AA194" s="113">
        <f t="shared" si="46"/>
        <v>0</v>
      </c>
      <c r="AB194" s="113">
        <f t="shared" si="46"/>
        <v>50</v>
      </c>
      <c r="AC194" s="113">
        <f t="shared" si="46"/>
        <v>0</v>
      </c>
      <c r="AD194" s="113">
        <f t="shared" si="46"/>
        <v>0</v>
      </c>
      <c r="AE194" s="113">
        <f t="shared" si="46"/>
        <v>0</v>
      </c>
      <c r="AF194" s="29"/>
      <c r="AG194" s="102">
        <f t="shared" si="29"/>
        <v>0</v>
      </c>
    </row>
    <row r="195" spans="1:33" x14ac:dyDescent="0.3">
      <c r="A195" s="115" t="s">
        <v>169</v>
      </c>
      <c r="B195" s="116"/>
      <c r="C195" s="117"/>
      <c r="D195" s="118"/>
      <c r="E195" s="117"/>
      <c r="F195" s="116"/>
      <c r="G195" s="116"/>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c r="AD195" s="111"/>
      <c r="AE195" s="111"/>
      <c r="AF195" s="29"/>
      <c r="AG195" s="102">
        <f t="shared" si="29"/>
        <v>0</v>
      </c>
    </row>
    <row r="196" spans="1:33" x14ac:dyDescent="0.3">
      <c r="A196" s="115" t="s">
        <v>32</v>
      </c>
      <c r="B196" s="116"/>
      <c r="C196" s="117"/>
      <c r="D196" s="118"/>
      <c r="E196" s="117"/>
      <c r="F196" s="116"/>
      <c r="G196" s="116"/>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c r="AD196" s="111"/>
      <c r="AE196" s="111"/>
      <c r="AF196" s="29"/>
      <c r="AG196" s="102">
        <f t="shared" si="29"/>
        <v>0</v>
      </c>
    </row>
    <row r="197" spans="1:33" x14ac:dyDescent="0.3">
      <c r="A197" s="115" t="s">
        <v>33</v>
      </c>
      <c r="B197" s="116">
        <f>J197+L197+N197+P197+R197+T197+V197+X197+Z197+AB197+AD197+H197</f>
        <v>50</v>
      </c>
      <c r="C197" s="117">
        <f>SUM(H197)</f>
        <v>0</v>
      </c>
      <c r="D197" s="118">
        <f>E197</f>
        <v>0</v>
      </c>
      <c r="E197" s="117">
        <f>SUM(I197,K197,M197,O197,Q197,S197,U197,W197,Y197,AA197,AC197,AE197)</f>
        <v>0</v>
      </c>
      <c r="F197" s="116">
        <f>IFERROR(E197/B197*100,0)</f>
        <v>0</v>
      </c>
      <c r="G197" s="116">
        <f>IFERROR(E197/C197*100,0)</f>
        <v>0</v>
      </c>
      <c r="H197" s="111">
        <v>0</v>
      </c>
      <c r="I197" s="111">
        <v>0</v>
      </c>
      <c r="J197" s="111">
        <v>0</v>
      </c>
      <c r="K197" s="111">
        <v>0</v>
      </c>
      <c r="L197" s="111">
        <v>0</v>
      </c>
      <c r="M197" s="111">
        <v>0</v>
      </c>
      <c r="N197" s="111">
        <v>0</v>
      </c>
      <c r="O197" s="111">
        <v>0</v>
      </c>
      <c r="P197" s="111">
        <v>0</v>
      </c>
      <c r="Q197" s="111">
        <v>0</v>
      </c>
      <c r="R197" s="111">
        <v>0</v>
      </c>
      <c r="S197" s="111">
        <v>0</v>
      </c>
      <c r="T197" s="111"/>
      <c r="U197" s="111"/>
      <c r="V197" s="111"/>
      <c r="W197" s="111"/>
      <c r="X197" s="111"/>
      <c r="Y197" s="111"/>
      <c r="Z197" s="111"/>
      <c r="AA197" s="111"/>
      <c r="AB197" s="111">
        <v>50</v>
      </c>
      <c r="AC197" s="111"/>
      <c r="AD197" s="111"/>
      <c r="AE197" s="111"/>
      <c r="AF197" s="29"/>
      <c r="AG197" s="102">
        <f t="shared" si="29"/>
        <v>0</v>
      </c>
    </row>
    <row r="198" spans="1:33" x14ac:dyDescent="0.3">
      <c r="A198" s="115" t="s">
        <v>170</v>
      </c>
      <c r="B198" s="116"/>
      <c r="C198" s="117"/>
      <c r="D198" s="118"/>
      <c r="E198" s="117"/>
      <c r="F198" s="116"/>
      <c r="G198" s="116"/>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c r="AD198" s="111"/>
      <c r="AE198" s="111"/>
      <c r="AF198" s="29"/>
      <c r="AG198" s="102">
        <f t="shared" si="29"/>
        <v>0</v>
      </c>
    </row>
    <row r="199" spans="1:33" ht="409.5" x14ac:dyDescent="0.3">
      <c r="A199" s="122" t="s">
        <v>203</v>
      </c>
      <c r="B199" s="113"/>
      <c r="C199" s="121"/>
      <c r="D199" s="121"/>
      <c r="E199" s="121"/>
      <c r="F199" s="121"/>
      <c r="G199" s="12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c r="AD199" s="111"/>
      <c r="AE199" s="111"/>
      <c r="AF199" s="848" t="s">
        <v>662</v>
      </c>
      <c r="AG199" s="102">
        <f>B199-H199-J199-L199-N199-P199-R199-T199-V199-X199-Z199-AB199-AD199</f>
        <v>0</v>
      </c>
    </row>
    <row r="200" spans="1:33" x14ac:dyDescent="0.3">
      <c r="A200" s="112" t="s">
        <v>31</v>
      </c>
      <c r="B200" s="647">
        <f>B202+B203+B201+B204</f>
        <v>150433.60000000003</v>
      </c>
      <c r="C200" s="113">
        <f>C202+C203+C201+C204</f>
        <v>44419.270000000004</v>
      </c>
      <c r="D200" s="113">
        <f>D202+D203+D201+D204</f>
        <v>63130.44200000001</v>
      </c>
      <c r="E200" s="113">
        <f>E202+E203+E201+E204</f>
        <v>63130.44200000001</v>
      </c>
      <c r="F200" s="113">
        <f>IFERROR(E200/B200*100,0)</f>
        <v>41.965652620159318</v>
      </c>
      <c r="G200" s="113">
        <f>IFERROR(E200/C200*100,0)</f>
        <v>142.1239970850489</v>
      </c>
      <c r="H200" s="113">
        <f t="shared" ref="H200:AE200" si="47">H202+H203+H201+H204</f>
        <v>8452.61</v>
      </c>
      <c r="I200" s="113">
        <f t="shared" si="47"/>
        <v>5306.05</v>
      </c>
      <c r="J200" s="113">
        <f t="shared" si="47"/>
        <v>12095.98</v>
      </c>
      <c r="K200" s="113">
        <f t="shared" si="47"/>
        <v>9951.9380000000001</v>
      </c>
      <c r="L200" s="113">
        <f t="shared" si="47"/>
        <v>9141.1</v>
      </c>
      <c r="M200" s="113">
        <f t="shared" si="47"/>
        <v>8776.84</v>
      </c>
      <c r="N200" s="113">
        <f t="shared" si="47"/>
        <v>14729.58</v>
      </c>
      <c r="O200" s="113">
        <f t="shared" si="47"/>
        <v>11289.79</v>
      </c>
      <c r="P200" s="113">
        <f t="shared" si="47"/>
        <v>13259.97</v>
      </c>
      <c r="Q200" s="113">
        <f t="shared" si="47"/>
        <v>8954.6370000000006</v>
      </c>
      <c r="R200" s="113">
        <f t="shared" si="47"/>
        <v>14976.16</v>
      </c>
      <c r="S200" s="113">
        <f t="shared" si="47"/>
        <v>18851.187000000002</v>
      </c>
      <c r="T200" s="113">
        <f t="shared" si="47"/>
        <v>16342.57</v>
      </c>
      <c r="U200" s="113">
        <f t="shared" si="47"/>
        <v>0</v>
      </c>
      <c r="V200" s="113">
        <f t="shared" si="47"/>
        <v>10806.66</v>
      </c>
      <c r="W200" s="113">
        <f t="shared" si="47"/>
        <v>0</v>
      </c>
      <c r="X200" s="113">
        <f t="shared" si="47"/>
        <v>9596.8549999999996</v>
      </c>
      <c r="Y200" s="113">
        <f t="shared" si="47"/>
        <v>0</v>
      </c>
      <c r="Z200" s="113">
        <f t="shared" si="47"/>
        <v>12769.434999999999</v>
      </c>
      <c r="AA200" s="113">
        <f t="shared" si="47"/>
        <v>0</v>
      </c>
      <c r="AB200" s="113">
        <f t="shared" si="47"/>
        <v>9606.1149999999998</v>
      </c>
      <c r="AC200" s="113">
        <f t="shared" si="47"/>
        <v>0</v>
      </c>
      <c r="AD200" s="113">
        <f t="shared" si="47"/>
        <v>18656.564999999999</v>
      </c>
      <c r="AE200" s="113">
        <f t="shared" si="47"/>
        <v>0</v>
      </c>
      <c r="AF200" s="849"/>
      <c r="AG200" s="102">
        <f t="shared" si="29"/>
        <v>5.4569682106375694E-11</v>
      </c>
    </row>
    <row r="201" spans="1:33" x14ac:dyDescent="0.3">
      <c r="A201" s="115" t="s">
        <v>169</v>
      </c>
      <c r="B201" s="116"/>
      <c r="C201" s="117"/>
      <c r="D201" s="118"/>
      <c r="E201" s="117"/>
      <c r="F201" s="116"/>
      <c r="G201" s="116"/>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c r="AD201" s="111"/>
      <c r="AE201" s="111"/>
      <c r="AF201" s="849"/>
      <c r="AG201" s="102">
        <f t="shared" si="29"/>
        <v>0</v>
      </c>
    </row>
    <row r="202" spans="1:33" x14ac:dyDescent="0.3">
      <c r="A202" s="115" t="s">
        <v>32</v>
      </c>
      <c r="B202" s="116"/>
      <c r="C202" s="117"/>
      <c r="D202" s="118"/>
      <c r="E202" s="117"/>
      <c r="F202" s="116"/>
      <c r="G202" s="116"/>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c r="AD202" s="111"/>
      <c r="AE202" s="111"/>
      <c r="AF202" s="849"/>
      <c r="AG202" s="102">
        <f t="shared" si="29"/>
        <v>0</v>
      </c>
    </row>
    <row r="203" spans="1:33" x14ac:dyDescent="0.3">
      <c r="A203" s="115" t="s">
        <v>33</v>
      </c>
      <c r="B203" s="116">
        <f>J203+L203+N203+P203+R203+T203+V203+X203+Z203+AB203+AD203+H203</f>
        <v>150433.60000000003</v>
      </c>
      <c r="C203" s="117">
        <f>SUM(H203+J203+L203+N203)</f>
        <v>44419.270000000004</v>
      </c>
      <c r="D203" s="118">
        <f>E203</f>
        <v>63130.44200000001</v>
      </c>
      <c r="E203" s="117">
        <f>SUM(I203,K203,M203,O203,Q203,S203,U203,W203,Y203,AA203,AC203,AE203)</f>
        <v>63130.44200000001</v>
      </c>
      <c r="F203" s="116">
        <f>IFERROR(E203/B203*100,0)</f>
        <v>41.965652620159318</v>
      </c>
      <c r="G203" s="116">
        <f>IFERROR(E203/C203*100,0)</f>
        <v>142.1239970850489</v>
      </c>
      <c r="H203" s="111">
        <v>8452.61</v>
      </c>
      <c r="I203" s="111">
        <v>5306.05</v>
      </c>
      <c r="J203" s="111">
        <v>12095.98</v>
      </c>
      <c r="K203" s="111">
        <v>9951.9380000000001</v>
      </c>
      <c r="L203" s="111">
        <v>9141.1</v>
      </c>
      <c r="M203" s="111">
        <v>8776.84</v>
      </c>
      <c r="N203" s="111">
        <v>14729.58</v>
      </c>
      <c r="O203" s="111">
        <v>11289.79</v>
      </c>
      <c r="P203" s="111">
        <v>13259.97</v>
      </c>
      <c r="Q203" s="897">
        <f>-1.55+8956.187</f>
        <v>8954.6370000000006</v>
      </c>
      <c r="R203" s="111">
        <v>14976.16</v>
      </c>
      <c r="S203" s="111">
        <v>18851.187000000002</v>
      </c>
      <c r="T203" s="111">
        <v>16342.57</v>
      </c>
      <c r="U203" s="111"/>
      <c r="V203" s="111">
        <v>10806.66</v>
      </c>
      <c r="W203" s="111"/>
      <c r="X203" s="111">
        <v>9596.8549999999996</v>
      </c>
      <c r="Y203" s="111"/>
      <c r="Z203" s="111">
        <v>12769.434999999999</v>
      </c>
      <c r="AA203" s="111"/>
      <c r="AB203" s="111">
        <v>9606.1149999999998</v>
      </c>
      <c r="AC203" s="111"/>
      <c r="AD203" s="111">
        <v>18656.564999999999</v>
      </c>
      <c r="AE203" s="111"/>
      <c r="AF203" s="849"/>
      <c r="AG203" s="102">
        <f t="shared" si="29"/>
        <v>5.4569682106375694E-11</v>
      </c>
    </row>
    <row r="204" spans="1:33" x14ac:dyDescent="0.3">
      <c r="A204" s="115" t="s">
        <v>170</v>
      </c>
      <c r="B204" s="116"/>
      <c r="C204" s="117"/>
      <c r="D204" s="118"/>
      <c r="E204" s="117"/>
      <c r="F204" s="116"/>
      <c r="G204" s="116"/>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c r="AD204" s="111"/>
      <c r="AE204" s="111"/>
      <c r="AF204" s="850"/>
      <c r="AG204" s="102">
        <f t="shared" si="29"/>
        <v>0</v>
      </c>
    </row>
    <row r="205" spans="1:33" ht="75" x14ac:dyDescent="0.3">
      <c r="A205" s="108" t="s">
        <v>204</v>
      </c>
      <c r="B205" s="109"/>
      <c r="C205" s="110"/>
      <c r="D205" s="110"/>
      <c r="E205" s="110"/>
      <c r="F205" s="110"/>
      <c r="G205" s="110"/>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c r="AD205" s="111"/>
      <c r="AE205" s="111"/>
      <c r="AF205" s="29"/>
      <c r="AG205" s="102">
        <f t="shared" ref="AG205:AG268" si="48">B205-H205-J205-L205-N205-P205-R205-T205-V205-X205-Z205-AB205-AD205</f>
        <v>0</v>
      </c>
    </row>
    <row r="206" spans="1:33" x14ac:dyDescent="0.3">
      <c r="A206" s="112" t="s">
        <v>31</v>
      </c>
      <c r="B206" s="647">
        <f>B208+B209+B207+B210</f>
        <v>7792.4</v>
      </c>
      <c r="C206" s="647">
        <f>C208+C209+C207+C210</f>
        <v>7792.4</v>
      </c>
      <c r="D206" s="113">
        <f>D208+D209+D207+D210</f>
        <v>7792.3990000000003</v>
      </c>
      <c r="E206" s="113">
        <f>E208+E209+E207+E210</f>
        <v>7792.3990000000003</v>
      </c>
      <c r="F206" s="113">
        <f>IFERROR(E206/B206*100,0)</f>
        <v>99.999987166983232</v>
      </c>
      <c r="G206" s="113">
        <f>IFERROR(E206/C206*100,0)</f>
        <v>99.999987166983232</v>
      </c>
      <c r="H206" s="113">
        <f t="shared" ref="H206:AE206" si="49">H208+H209+H207+H210</f>
        <v>7792.4</v>
      </c>
      <c r="I206" s="113">
        <f t="shared" si="49"/>
        <v>7792.3990000000003</v>
      </c>
      <c r="J206" s="113">
        <f t="shared" si="49"/>
        <v>0</v>
      </c>
      <c r="K206" s="113">
        <f t="shared" si="49"/>
        <v>0</v>
      </c>
      <c r="L206" s="113">
        <f t="shared" si="49"/>
        <v>0</v>
      </c>
      <c r="M206" s="113">
        <f t="shared" si="49"/>
        <v>0</v>
      </c>
      <c r="N206" s="113">
        <f t="shared" si="49"/>
        <v>0</v>
      </c>
      <c r="O206" s="113">
        <f t="shared" si="49"/>
        <v>0</v>
      </c>
      <c r="P206" s="113">
        <f t="shared" si="49"/>
        <v>0</v>
      </c>
      <c r="Q206" s="113">
        <f t="shared" si="49"/>
        <v>0</v>
      </c>
      <c r="R206" s="113">
        <f t="shared" si="49"/>
        <v>0</v>
      </c>
      <c r="S206" s="113">
        <f t="shared" si="49"/>
        <v>0</v>
      </c>
      <c r="T206" s="113">
        <f t="shared" si="49"/>
        <v>0</v>
      </c>
      <c r="U206" s="113">
        <f t="shared" si="49"/>
        <v>0</v>
      </c>
      <c r="V206" s="113">
        <f t="shared" si="49"/>
        <v>0</v>
      </c>
      <c r="W206" s="113">
        <f t="shared" si="49"/>
        <v>0</v>
      </c>
      <c r="X206" s="113">
        <f t="shared" si="49"/>
        <v>0</v>
      </c>
      <c r="Y206" s="113">
        <f t="shared" si="49"/>
        <v>0</v>
      </c>
      <c r="Z206" s="113">
        <f t="shared" si="49"/>
        <v>0</v>
      </c>
      <c r="AA206" s="113">
        <f t="shared" si="49"/>
        <v>0</v>
      </c>
      <c r="AB206" s="113">
        <f t="shared" si="49"/>
        <v>0</v>
      </c>
      <c r="AC206" s="113">
        <f t="shared" si="49"/>
        <v>0</v>
      </c>
      <c r="AD206" s="113">
        <f t="shared" si="49"/>
        <v>0</v>
      </c>
      <c r="AE206" s="113">
        <f t="shared" si="49"/>
        <v>0</v>
      </c>
      <c r="AF206" s="29"/>
      <c r="AG206" s="102">
        <f t="shared" si="48"/>
        <v>0</v>
      </c>
    </row>
    <row r="207" spans="1:33" x14ac:dyDescent="0.3">
      <c r="A207" s="115" t="s">
        <v>169</v>
      </c>
      <c r="B207" s="116"/>
      <c r="C207" s="117"/>
      <c r="D207" s="118"/>
      <c r="E207" s="117"/>
      <c r="F207" s="116"/>
      <c r="G207" s="116"/>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c r="AD207" s="111"/>
      <c r="AE207" s="111"/>
      <c r="AF207" s="29"/>
      <c r="AG207" s="102">
        <f t="shared" si="48"/>
        <v>0</v>
      </c>
    </row>
    <row r="208" spans="1:33" x14ac:dyDescent="0.3">
      <c r="A208" s="115" t="s">
        <v>32</v>
      </c>
      <c r="B208" s="116"/>
      <c r="C208" s="117"/>
      <c r="D208" s="118"/>
      <c r="E208" s="117"/>
      <c r="F208" s="116"/>
      <c r="G208" s="116"/>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c r="AD208" s="111"/>
      <c r="AE208" s="111"/>
      <c r="AF208" s="29"/>
      <c r="AG208" s="102">
        <f t="shared" si="48"/>
        <v>0</v>
      </c>
    </row>
    <row r="209" spans="1:33" x14ac:dyDescent="0.3">
      <c r="A209" s="115" t="s">
        <v>33</v>
      </c>
      <c r="B209" s="116">
        <f>J209+L209+N209+P209+R209+T209+V209+X209+Z209+AB209+AD209+H209</f>
        <v>7792.4</v>
      </c>
      <c r="C209" s="117">
        <f>SUM(H209)</f>
        <v>7792.4</v>
      </c>
      <c r="D209" s="118">
        <f>E209</f>
        <v>7792.3990000000003</v>
      </c>
      <c r="E209" s="117">
        <f>SUM(I209,K209,M209,O209,Q209,S209,U209,W209,Y209,AA209,AC209,AE209)</f>
        <v>7792.3990000000003</v>
      </c>
      <c r="F209" s="116">
        <f>IFERROR(E209/B209*100,0)</f>
        <v>99.999987166983232</v>
      </c>
      <c r="G209" s="116">
        <f>IFERROR(E209/C209*100,0)</f>
        <v>99.999987166983232</v>
      </c>
      <c r="H209" s="137">
        <f>723.5+760.1+6308.8</f>
        <v>7792.4</v>
      </c>
      <c r="I209" s="111">
        <v>7792.3990000000003</v>
      </c>
      <c r="J209" s="111">
        <v>0</v>
      </c>
      <c r="K209" s="111">
        <v>0</v>
      </c>
      <c r="L209" s="111">
        <v>0</v>
      </c>
      <c r="M209" s="111">
        <v>0</v>
      </c>
      <c r="N209" s="111">
        <v>0</v>
      </c>
      <c r="O209" s="111">
        <v>0</v>
      </c>
      <c r="P209" s="111">
        <v>0</v>
      </c>
      <c r="Q209" s="111">
        <v>0</v>
      </c>
      <c r="R209" s="111">
        <v>0</v>
      </c>
      <c r="S209" s="111">
        <v>0</v>
      </c>
      <c r="T209" s="111"/>
      <c r="U209" s="111"/>
      <c r="V209" s="111"/>
      <c r="W209" s="111"/>
      <c r="X209" s="111"/>
      <c r="Y209" s="111"/>
      <c r="Z209" s="111"/>
      <c r="AA209" s="111"/>
      <c r="AB209" s="111"/>
      <c r="AC209" s="111"/>
      <c r="AD209" s="111"/>
      <c r="AE209" s="111"/>
      <c r="AF209" s="29"/>
      <c r="AG209" s="102">
        <f t="shared" si="48"/>
        <v>0</v>
      </c>
    </row>
    <row r="210" spans="1:33" x14ac:dyDescent="0.3">
      <c r="A210" s="115" t="s">
        <v>170</v>
      </c>
      <c r="B210" s="116"/>
      <c r="C210" s="117"/>
      <c r="D210" s="118"/>
      <c r="E210" s="117"/>
      <c r="F210" s="116"/>
      <c r="G210" s="116"/>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c r="AD210" s="111"/>
      <c r="AE210" s="111"/>
      <c r="AF210" s="29"/>
      <c r="AG210" s="102">
        <f t="shared" si="48"/>
        <v>0</v>
      </c>
    </row>
    <row r="211" spans="1:33" ht="75" x14ac:dyDescent="0.3">
      <c r="A211" s="108" t="s">
        <v>205</v>
      </c>
      <c r="B211" s="109"/>
      <c r="C211" s="110"/>
      <c r="D211" s="110"/>
      <c r="E211" s="110"/>
      <c r="F211" s="110"/>
      <c r="G211" s="110"/>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c r="AD211" s="111"/>
      <c r="AE211" s="111"/>
      <c r="AF211" s="29"/>
      <c r="AG211" s="102">
        <f t="shared" si="48"/>
        <v>0</v>
      </c>
    </row>
    <row r="212" spans="1:33" x14ac:dyDescent="0.3">
      <c r="A212" s="112" t="s">
        <v>31</v>
      </c>
      <c r="B212" s="647">
        <f>B214+B215+B213+B216</f>
        <v>122.5</v>
      </c>
      <c r="C212" s="647">
        <f>C214+C215+C213+C216</f>
        <v>122.5</v>
      </c>
      <c r="D212" s="113">
        <f>D214+D215+D213+D216</f>
        <v>122.5</v>
      </c>
      <c r="E212" s="113">
        <f>E214+E215+E213+E216</f>
        <v>122.5</v>
      </c>
      <c r="F212" s="113">
        <f>IFERROR(E212/B212*100,0)</f>
        <v>100</v>
      </c>
      <c r="G212" s="113">
        <f>IFERROR(E212/C212*100,0)</f>
        <v>100</v>
      </c>
      <c r="H212" s="113">
        <f t="shared" ref="H212:AE212" si="50">H214+H215+H213+H216</f>
        <v>122.5</v>
      </c>
      <c r="I212" s="113">
        <f t="shared" si="50"/>
        <v>122.5</v>
      </c>
      <c r="J212" s="113">
        <f t="shared" si="50"/>
        <v>0</v>
      </c>
      <c r="K212" s="113">
        <f t="shared" si="50"/>
        <v>0</v>
      </c>
      <c r="L212" s="113">
        <f t="shared" si="50"/>
        <v>0</v>
      </c>
      <c r="M212" s="113">
        <f t="shared" si="50"/>
        <v>0</v>
      </c>
      <c r="N212" s="113">
        <f t="shared" si="50"/>
        <v>0</v>
      </c>
      <c r="O212" s="113">
        <f t="shared" si="50"/>
        <v>0</v>
      </c>
      <c r="P212" s="113">
        <f t="shared" si="50"/>
        <v>0</v>
      </c>
      <c r="Q212" s="113">
        <f t="shared" si="50"/>
        <v>0</v>
      </c>
      <c r="R212" s="113">
        <f t="shared" si="50"/>
        <v>0</v>
      </c>
      <c r="S212" s="113">
        <f t="shared" si="50"/>
        <v>0</v>
      </c>
      <c r="T212" s="113">
        <f t="shared" si="50"/>
        <v>0</v>
      </c>
      <c r="U212" s="113">
        <f t="shared" si="50"/>
        <v>0</v>
      </c>
      <c r="V212" s="113">
        <f t="shared" si="50"/>
        <v>0</v>
      </c>
      <c r="W212" s="113">
        <f t="shared" si="50"/>
        <v>0</v>
      </c>
      <c r="X212" s="113">
        <f t="shared" si="50"/>
        <v>0</v>
      </c>
      <c r="Y212" s="113">
        <f t="shared" si="50"/>
        <v>0</v>
      </c>
      <c r="Z212" s="113">
        <f t="shared" si="50"/>
        <v>0</v>
      </c>
      <c r="AA212" s="113">
        <f t="shared" si="50"/>
        <v>0</v>
      </c>
      <c r="AB212" s="113">
        <f t="shared" si="50"/>
        <v>0</v>
      </c>
      <c r="AC212" s="113">
        <f t="shared" si="50"/>
        <v>0</v>
      </c>
      <c r="AD212" s="113">
        <f t="shared" si="50"/>
        <v>0</v>
      </c>
      <c r="AE212" s="113">
        <f t="shared" si="50"/>
        <v>0</v>
      </c>
      <c r="AF212" s="29"/>
      <c r="AG212" s="102">
        <f t="shared" si="48"/>
        <v>0</v>
      </c>
    </row>
    <row r="213" spans="1:33" x14ac:dyDescent="0.3">
      <c r="A213" s="115" t="s">
        <v>169</v>
      </c>
      <c r="B213" s="116"/>
      <c r="C213" s="117"/>
      <c r="D213" s="118"/>
      <c r="E213" s="117"/>
      <c r="F213" s="116"/>
      <c r="G213" s="116"/>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c r="AD213" s="111"/>
      <c r="AE213" s="111"/>
      <c r="AF213" s="29"/>
      <c r="AG213" s="102">
        <f t="shared" si="48"/>
        <v>0</v>
      </c>
    </row>
    <row r="214" spans="1:33" x14ac:dyDescent="0.3">
      <c r="A214" s="115" t="s">
        <v>32</v>
      </c>
      <c r="B214" s="116"/>
      <c r="C214" s="117"/>
      <c r="D214" s="118"/>
      <c r="E214" s="117"/>
      <c r="F214" s="116"/>
      <c r="G214" s="116"/>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c r="AD214" s="111"/>
      <c r="AE214" s="111"/>
      <c r="AF214" s="29"/>
      <c r="AG214" s="102">
        <f t="shared" si="48"/>
        <v>0</v>
      </c>
    </row>
    <row r="215" spans="1:33" x14ac:dyDescent="0.3">
      <c r="A215" s="115" t="s">
        <v>33</v>
      </c>
      <c r="B215" s="116">
        <f>J215+L215+N215+P215+R215+T215+V215+X215+Z215+AB215+AD215+H215</f>
        <v>122.5</v>
      </c>
      <c r="C215" s="117">
        <f>SUM(H215)</f>
        <v>122.5</v>
      </c>
      <c r="D215" s="118">
        <f>E215</f>
        <v>122.5</v>
      </c>
      <c r="E215" s="117">
        <f>SUM(I215,K215,M215,O215,Q215,S215,U215,W215,Y215,AA215,AC215,AE215)</f>
        <v>122.5</v>
      </c>
      <c r="F215" s="116">
        <f>IFERROR(E215/B215*100,0)</f>
        <v>100</v>
      </c>
      <c r="G215" s="116">
        <f>IFERROR(E215/C215*100,0)</f>
        <v>100</v>
      </c>
      <c r="H215" s="111">
        <v>122.5</v>
      </c>
      <c r="I215" s="111">
        <v>122.5</v>
      </c>
      <c r="J215" s="111">
        <v>0</v>
      </c>
      <c r="K215" s="111">
        <v>0</v>
      </c>
      <c r="L215" s="111">
        <v>0</v>
      </c>
      <c r="M215" s="111">
        <v>0</v>
      </c>
      <c r="N215" s="111">
        <v>0</v>
      </c>
      <c r="O215" s="111">
        <v>0</v>
      </c>
      <c r="P215" s="111">
        <v>0</v>
      </c>
      <c r="Q215" s="111">
        <v>0</v>
      </c>
      <c r="R215" s="111">
        <v>0</v>
      </c>
      <c r="S215" s="111">
        <v>0</v>
      </c>
      <c r="T215" s="111"/>
      <c r="U215" s="111"/>
      <c r="V215" s="111"/>
      <c r="W215" s="111"/>
      <c r="X215" s="111"/>
      <c r="Y215" s="111"/>
      <c r="Z215" s="111"/>
      <c r="AA215" s="111"/>
      <c r="AB215" s="111"/>
      <c r="AC215" s="111"/>
      <c r="AD215" s="111"/>
      <c r="AE215" s="111"/>
      <c r="AF215" s="29"/>
      <c r="AG215" s="102">
        <f t="shared" si="48"/>
        <v>0</v>
      </c>
    </row>
    <row r="216" spans="1:33" x14ac:dyDescent="0.3">
      <c r="A216" s="115" t="s">
        <v>170</v>
      </c>
      <c r="B216" s="116"/>
      <c r="C216" s="117"/>
      <c r="D216" s="118"/>
      <c r="E216" s="117"/>
      <c r="F216" s="116"/>
      <c r="G216" s="116"/>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c r="AD216" s="111"/>
      <c r="AE216" s="111"/>
      <c r="AF216" s="29"/>
      <c r="AG216" s="102">
        <f t="shared" si="48"/>
        <v>0</v>
      </c>
    </row>
    <row r="217" spans="1:33" x14ac:dyDescent="0.3">
      <c r="A217" s="1032" t="s">
        <v>206</v>
      </c>
      <c r="B217" s="1033"/>
      <c r="C217" s="1033"/>
      <c r="D217" s="1033"/>
      <c r="E217" s="1033"/>
      <c r="F217" s="1033"/>
      <c r="G217" s="1033"/>
      <c r="H217" s="1033"/>
      <c r="I217" s="1033"/>
      <c r="J217" s="1033"/>
      <c r="K217" s="1033"/>
      <c r="L217" s="1033"/>
      <c r="M217" s="1033"/>
      <c r="N217" s="1033"/>
      <c r="O217" s="1033"/>
      <c r="P217" s="1033"/>
      <c r="Q217" s="1033"/>
      <c r="R217" s="1033"/>
      <c r="S217" s="1033"/>
      <c r="T217" s="1033"/>
      <c r="U217" s="1033"/>
      <c r="V217" s="1033"/>
      <c r="W217" s="1033"/>
      <c r="X217" s="1033"/>
      <c r="Y217" s="1033"/>
      <c r="Z217" s="1033"/>
      <c r="AA217" s="1033"/>
      <c r="AB217" s="1033"/>
      <c r="AC217" s="1033"/>
      <c r="AD217" s="1033"/>
      <c r="AE217" s="1033"/>
      <c r="AF217" s="1034"/>
      <c r="AG217" s="102">
        <f t="shared" si="48"/>
        <v>0</v>
      </c>
    </row>
    <row r="218" spans="1:33" x14ac:dyDescent="0.3">
      <c r="A218" s="1032" t="s">
        <v>54</v>
      </c>
      <c r="B218" s="1033"/>
      <c r="C218" s="1033"/>
      <c r="D218" s="1033"/>
      <c r="E218" s="1033"/>
      <c r="F218" s="1033"/>
      <c r="G218" s="1033"/>
      <c r="H218" s="1033"/>
      <c r="I218" s="1033"/>
      <c r="J218" s="1033"/>
      <c r="K218" s="1033"/>
      <c r="L218" s="1033"/>
      <c r="M218" s="1033"/>
      <c r="N218" s="1033"/>
      <c r="O218" s="1033"/>
      <c r="P218" s="1033"/>
      <c r="Q218" s="1033"/>
      <c r="R218" s="1033"/>
      <c r="S218" s="1033"/>
      <c r="T218" s="1033"/>
      <c r="U218" s="1033"/>
      <c r="V218" s="1033"/>
      <c r="W218" s="1033"/>
      <c r="X218" s="1033"/>
      <c r="Y218" s="1033"/>
      <c r="Z218" s="1033"/>
      <c r="AA218" s="1033"/>
      <c r="AB218" s="1033"/>
      <c r="AC218" s="1033"/>
      <c r="AD218" s="1033"/>
      <c r="AE218" s="1033"/>
      <c r="AF218" s="1034"/>
      <c r="AG218" s="102">
        <f t="shared" si="48"/>
        <v>0</v>
      </c>
    </row>
    <row r="219" spans="1:33" ht="56.25" x14ac:dyDescent="0.3">
      <c r="A219" s="138" t="s">
        <v>207</v>
      </c>
      <c r="B219" s="139"/>
      <c r="C219" s="140"/>
      <c r="D219" s="140"/>
      <c r="E219" s="140"/>
      <c r="F219" s="140"/>
      <c r="G219" s="140"/>
      <c r="H219" s="139"/>
      <c r="I219" s="139"/>
      <c r="J219" s="139"/>
      <c r="K219" s="139"/>
      <c r="L219" s="139"/>
      <c r="M219" s="139"/>
      <c r="N219" s="139"/>
      <c r="O219" s="139"/>
      <c r="P219" s="139"/>
      <c r="Q219" s="139"/>
      <c r="R219" s="139"/>
      <c r="S219" s="139"/>
      <c r="T219" s="139"/>
      <c r="U219" s="139"/>
      <c r="V219" s="139"/>
      <c r="W219" s="139"/>
      <c r="X219" s="139"/>
      <c r="Y219" s="139"/>
      <c r="Z219" s="139"/>
      <c r="AA219" s="139"/>
      <c r="AB219" s="139"/>
      <c r="AC219" s="139"/>
      <c r="AD219" s="139"/>
      <c r="AE219" s="139"/>
      <c r="AF219" s="101"/>
      <c r="AG219" s="102">
        <f t="shared" si="48"/>
        <v>0</v>
      </c>
    </row>
    <row r="220" spans="1:33" x14ac:dyDescent="0.3">
      <c r="A220" s="103" t="s">
        <v>31</v>
      </c>
      <c r="B220" s="104">
        <f>B221+B222+B223+B224</f>
        <v>22205.080999999998</v>
      </c>
      <c r="C220" s="104">
        <f>C221+C222+C223+C224</f>
        <v>8344.1</v>
      </c>
      <c r="D220" s="104">
        <f>D221+D222+D223+D224</f>
        <v>9807.226999999999</v>
      </c>
      <c r="E220" s="104">
        <f>E221+E222+E223+E224</f>
        <v>9807.226999999999</v>
      </c>
      <c r="F220" s="107">
        <f>IFERROR(E220/B220*100,0)</f>
        <v>44.166589619736129</v>
      </c>
      <c r="G220" s="107">
        <f>IFERROR(E220/C220*100,0)</f>
        <v>117.53486894931746</v>
      </c>
      <c r="H220" s="104">
        <f>H221+H222+H223+H224</f>
        <v>2852.02</v>
      </c>
      <c r="I220" s="104">
        <f t="shared" ref="I220:AE220" si="51">I221+I222+I223+I224</f>
        <v>1319.77</v>
      </c>
      <c r="J220" s="104">
        <f t="shared" si="51"/>
        <v>1872.26</v>
      </c>
      <c r="K220" s="104">
        <f t="shared" si="51"/>
        <v>2121.1849999999999</v>
      </c>
      <c r="L220" s="104">
        <f t="shared" si="51"/>
        <v>1462.1100000000001</v>
      </c>
      <c r="M220" s="104">
        <f t="shared" si="51"/>
        <v>1640.8960000000002</v>
      </c>
      <c r="N220" s="104">
        <f t="shared" si="51"/>
        <v>2157.71</v>
      </c>
      <c r="O220" s="104">
        <f t="shared" si="51"/>
        <v>1314.7869999999998</v>
      </c>
      <c r="P220" s="104">
        <f t="shared" si="51"/>
        <v>1900.1779999999999</v>
      </c>
      <c r="Q220" s="104">
        <f t="shared" si="51"/>
        <v>1623.702</v>
      </c>
      <c r="R220" s="104">
        <f t="shared" si="51"/>
        <v>1462.12</v>
      </c>
      <c r="S220" s="104">
        <f t="shared" si="51"/>
        <v>1786.8870000000002</v>
      </c>
      <c r="T220" s="104">
        <f t="shared" si="51"/>
        <v>2157.712</v>
      </c>
      <c r="U220" s="104">
        <f t="shared" si="51"/>
        <v>0</v>
      </c>
      <c r="V220" s="104">
        <f t="shared" si="51"/>
        <v>1672.193</v>
      </c>
      <c r="W220" s="104">
        <f t="shared" si="51"/>
        <v>0</v>
      </c>
      <c r="X220" s="104">
        <f t="shared" si="51"/>
        <v>1648.6129999999998</v>
      </c>
      <c r="Y220" s="104">
        <f t="shared" si="51"/>
        <v>0</v>
      </c>
      <c r="Z220" s="104">
        <f t="shared" si="51"/>
        <v>2157.712</v>
      </c>
      <c r="AA220" s="104">
        <f t="shared" si="51"/>
        <v>0</v>
      </c>
      <c r="AB220" s="104">
        <f t="shared" si="51"/>
        <v>1672.1799999999998</v>
      </c>
      <c r="AC220" s="104">
        <f t="shared" si="51"/>
        <v>0</v>
      </c>
      <c r="AD220" s="104">
        <f t="shared" si="51"/>
        <v>1190.2729999999999</v>
      </c>
      <c r="AE220" s="104">
        <f t="shared" si="51"/>
        <v>0</v>
      </c>
      <c r="AF220" s="101"/>
      <c r="AG220" s="102">
        <f t="shared" si="48"/>
        <v>0</v>
      </c>
    </row>
    <row r="221" spans="1:33" x14ac:dyDescent="0.3">
      <c r="A221" s="106" t="s">
        <v>169</v>
      </c>
      <c r="B221" s="107"/>
      <c r="C221" s="107"/>
      <c r="D221" s="107"/>
      <c r="E221" s="107"/>
      <c r="F221" s="107"/>
      <c r="G221" s="107"/>
      <c r="H221" s="107"/>
      <c r="I221" s="107"/>
      <c r="J221" s="107"/>
      <c r="K221" s="107"/>
      <c r="L221" s="107"/>
      <c r="M221" s="107"/>
      <c r="N221" s="107"/>
      <c r="O221" s="107"/>
      <c r="P221" s="107"/>
      <c r="Q221" s="107"/>
      <c r="R221" s="107"/>
      <c r="S221" s="107"/>
      <c r="T221" s="107"/>
      <c r="U221" s="107"/>
      <c r="V221" s="107"/>
      <c r="W221" s="107"/>
      <c r="X221" s="107"/>
      <c r="Y221" s="107"/>
      <c r="Z221" s="107"/>
      <c r="AA221" s="107"/>
      <c r="AB221" s="107"/>
      <c r="AC221" s="107"/>
      <c r="AD221" s="107"/>
      <c r="AE221" s="107"/>
      <c r="AF221" s="101"/>
      <c r="AG221" s="102">
        <f t="shared" si="48"/>
        <v>0</v>
      </c>
    </row>
    <row r="222" spans="1:33" x14ac:dyDescent="0.3">
      <c r="A222" s="106" t="s">
        <v>32</v>
      </c>
      <c r="B222" s="107"/>
      <c r="C222" s="107"/>
      <c r="D222" s="107"/>
      <c r="E222" s="107"/>
      <c r="F222" s="107"/>
      <c r="G222" s="107"/>
      <c r="H222" s="107"/>
      <c r="I222" s="107"/>
      <c r="J222" s="107"/>
      <c r="K222" s="107"/>
      <c r="L222" s="107"/>
      <c r="M222" s="107"/>
      <c r="N222" s="107"/>
      <c r="O222" s="107"/>
      <c r="P222" s="107"/>
      <c r="Q222" s="107"/>
      <c r="R222" s="107"/>
      <c r="S222" s="107"/>
      <c r="T222" s="107"/>
      <c r="U222" s="107"/>
      <c r="V222" s="107"/>
      <c r="W222" s="107"/>
      <c r="X222" s="107"/>
      <c r="Y222" s="107"/>
      <c r="Z222" s="107"/>
      <c r="AA222" s="107"/>
      <c r="AB222" s="107"/>
      <c r="AC222" s="107"/>
      <c r="AD222" s="107"/>
      <c r="AE222" s="107"/>
      <c r="AF222" s="101"/>
      <c r="AG222" s="102">
        <f t="shared" si="48"/>
        <v>0</v>
      </c>
    </row>
    <row r="223" spans="1:33" x14ac:dyDescent="0.3">
      <c r="A223" s="106" t="s">
        <v>33</v>
      </c>
      <c r="B223" s="107">
        <f>B229+B235</f>
        <v>22205.080999999998</v>
      </c>
      <c r="C223" s="107">
        <f>C229+C235</f>
        <v>8344.1</v>
      </c>
      <c r="D223" s="107">
        <f>D229+D235</f>
        <v>9807.226999999999</v>
      </c>
      <c r="E223" s="107">
        <f>E229+E235</f>
        <v>9807.226999999999</v>
      </c>
      <c r="F223" s="107">
        <f>IFERROR(E223/B223*100,0)</f>
        <v>44.166589619736129</v>
      </c>
      <c r="G223" s="107">
        <f>IFERROR(E223/C223*100,0)</f>
        <v>117.53486894931746</v>
      </c>
      <c r="H223" s="107">
        <f>H229+H235</f>
        <v>2852.02</v>
      </c>
      <c r="I223" s="107">
        <f t="shared" ref="I223:AE223" si="52">I229+I235</f>
        <v>1319.77</v>
      </c>
      <c r="J223" s="107">
        <f t="shared" si="52"/>
        <v>1872.26</v>
      </c>
      <c r="K223" s="107">
        <f t="shared" si="52"/>
        <v>2121.1849999999999</v>
      </c>
      <c r="L223" s="107">
        <f t="shared" si="52"/>
        <v>1462.1100000000001</v>
      </c>
      <c r="M223" s="107">
        <f t="shared" si="52"/>
        <v>1640.8960000000002</v>
      </c>
      <c r="N223" s="107">
        <f t="shared" si="52"/>
        <v>2157.71</v>
      </c>
      <c r="O223" s="107">
        <f t="shared" si="52"/>
        <v>1314.7869999999998</v>
      </c>
      <c r="P223" s="107">
        <f t="shared" si="52"/>
        <v>1900.1779999999999</v>
      </c>
      <c r="Q223" s="107">
        <f t="shared" si="52"/>
        <v>1623.702</v>
      </c>
      <c r="R223" s="107">
        <f t="shared" si="52"/>
        <v>1462.12</v>
      </c>
      <c r="S223" s="107">
        <f t="shared" si="52"/>
        <v>1786.8870000000002</v>
      </c>
      <c r="T223" s="107">
        <f t="shared" si="52"/>
        <v>2157.712</v>
      </c>
      <c r="U223" s="107">
        <f t="shared" si="52"/>
        <v>0</v>
      </c>
      <c r="V223" s="107">
        <f t="shared" si="52"/>
        <v>1672.193</v>
      </c>
      <c r="W223" s="107">
        <f t="shared" si="52"/>
        <v>0</v>
      </c>
      <c r="X223" s="107">
        <f t="shared" si="52"/>
        <v>1648.6129999999998</v>
      </c>
      <c r="Y223" s="107">
        <f t="shared" si="52"/>
        <v>0</v>
      </c>
      <c r="Z223" s="107">
        <f t="shared" si="52"/>
        <v>2157.712</v>
      </c>
      <c r="AA223" s="107">
        <f t="shared" si="52"/>
        <v>0</v>
      </c>
      <c r="AB223" s="107">
        <f t="shared" si="52"/>
        <v>1672.1799999999998</v>
      </c>
      <c r="AC223" s="107">
        <f t="shared" si="52"/>
        <v>0</v>
      </c>
      <c r="AD223" s="107">
        <f t="shared" si="52"/>
        <v>1190.2729999999999</v>
      </c>
      <c r="AE223" s="107">
        <f t="shared" si="52"/>
        <v>0</v>
      </c>
      <c r="AF223" s="101"/>
      <c r="AG223" s="102">
        <f t="shared" si="48"/>
        <v>0</v>
      </c>
    </row>
    <row r="224" spans="1:33" x14ac:dyDescent="0.3">
      <c r="A224" s="106" t="s">
        <v>170</v>
      </c>
      <c r="B224" s="107"/>
      <c r="C224" s="107"/>
      <c r="D224" s="107"/>
      <c r="E224" s="107"/>
      <c r="F224" s="107"/>
      <c r="G224" s="107"/>
      <c r="H224" s="107"/>
      <c r="I224" s="107"/>
      <c r="J224" s="107"/>
      <c r="K224" s="107"/>
      <c r="L224" s="107"/>
      <c r="M224" s="107"/>
      <c r="N224" s="107"/>
      <c r="O224" s="107"/>
      <c r="P224" s="107"/>
      <c r="Q224" s="107"/>
      <c r="R224" s="107"/>
      <c r="S224" s="107"/>
      <c r="T224" s="107"/>
      <c r="U224" s="107"/>
      <c r="V224" s="107"/>
      <c r="W224" s="107"/>
      <c r="X224" s="107"/>
      <c r="Y224" s="107"/>
      <c r="Z224" s="107"/>
      <c r="AA224" s="107"/>
      <c r="AB224" s="107"/>
      <c r="AC224" s="107"/>
      <c r="AD224" s="107"/>
      <c r="AE224" s="107"/>
      <c r="AF224" s="101"/>
      <c r="AG224" s="102">
        <f t="shared" si="48"/>
        <v>0</v>
      </c>
    </row>
    <row r="225" spans="1:33" ht="56.25" x14ac:dyDescent="0.3">
      <c r="A225" s="122" t="s">
        <v>208</v>
      </c>
      <c r="B225" s="113"/>
      <c r="C225" s="121"/>
      <c r="D225" s="121"/>
      <c r="E225" s="121"/>
      <c r="F225" s="121"/>
      <c r="G225" s="12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c r="AD225" s="111"/>
      <c r="AE225" s="111"/>
      <c r="AF225" s="29"/>
      <c r="AG225" s="102">
        <f t="shared" si="48"/>
        <v>0</v>
      </c>
    </row>
    <row r="226" spans="1:33" x14ac:dyDescent="0.3">
      <c r="A226" s="112" t="s">
        <v>31</v>
      </c>
      <c r="B226" s="647">
        <f>B228+B229+B227+B230</f>
        <v>14582.985000000001</v>
      </c>
      <c r="C226" s="113">
        <f>C228+C229+C227+C230</f>
        <v>5493.29</v>
      </c>
      <c r="D226" s="113">
        <f>D228+D229+D227+D230</f>
        <v>6480.7109999999993</v>
      </c>
      <c r="E226" s="113">
        <f>E228+E229+E227+E230</f>
        <v>6480.7109999999993</v>
      </c>
      <c r="F226" s="113">
        <f>IFERROR(E226/B226*100,0)</f>
        <v>44.440222629317653</v>
      </c>
      <c r="G226" s="113">
        <f>IFERROR(E226/C226*100,0)</f>
        <v>117.97503863804751</v>
      </c>
      <c r="H226" s="113">
        <f t="shared" ref="H226:AE226" si="53">H228+H229+H227+H230</f>
        <v>1862.93</v>
      </c>
      <c r="I226" s="113">
        <f t="shared" si="53"/>
        <v>860.83</v>
      </c>
      <c r="J226" s="113">
        <f t="shared" si="53"/>
        <v>1244.2</v>
      </c>
      <c r="K226" s="113">
        <f t="shared" si="53"/>
        <v>1369.52</v>
      </c>
      <c r="L226" s="113">
        <f t="shared" si="53"/>
        <v>963.08</v>
      </c>
      <c r="M226" s="113">
        <f t="shared" si="53"/>
        <v>1162.2280000000001</v>
      </c>
      <c r="N226" s="113">
        <f t="shared" si="53"/>
        <v>1423.08</v>
      </c>
      <c r="O226" s="113">
        <f t="shared" si="53"/>
        <v>799.68499999999995</v>
      </c>
      <c r="P226" s="113">
        <f t="shared" si="53"/>
        <v>1329.998</v>
      </c>
      <c r="Q226" s="113">
        <f t="shared" si="53"/>
        <v>1019.106</v>
      </c>
      <c r="R226" s="113">
        <f t="shared" si="53"/>
        <v>963.09</v>
      </c>
      <c r="S226" s="113">
        <f t="shared" si="53"/>
        <v>1269.3420000000001</v>
      </c>
      <c r="T226" s="113">
        <f t="shared" si="53"/>
        <v>1423.08</v>
      </c>
      <c r="U226" s="113">
        <f t="shared" si="53"/>
        <v>0</v>
      </c>
      <c r="V226" s="113">
        <f t="shared" si="53"/>
        <v>1102.01</v>
      </c>
      <c r="W226" s="113">
        <f t="shared" si="53"/>
        <v>0</v>
      </c>
      <c r="X226" s="113">
        <f t="shared" si="53"/>
        <v>963.08199999999999</v>
      </c>
      <c r="Y226" s="113">
        <f t="shared" si="53"/>
        <v>0</v>
      </c>
      <c r="Z226" s="113">
        <f t="shared" si="53"/>
        <v>1423.0820000000001</v>
      </c>
      <c r="AA226" s="113">
        <f t="shared" si="53"/>
        <v>0</v>
      </c>
      <c r="AB226" s="113">
        <f t="shared" si="53"/>
        <v>1102</v>
      </c>
      <c r="AC226" s="113">
        <f t="shared" si="53"/>
        <v>0</v>
      </c>
      <c r="AD226" s="113">
        <f t="shared" si="53"/>
        <v>783.35299999999995</v>
      </c>
      <c r="AE226" s="113">
        <f t="shared" si="53"/>
        <v>0</v>
      </c>
      <c r="AF226" s="29"/>
      <c r="AG226" s="102">
        <f t="shared" si="48"/>
        <v>0</v>
      </c>
    </row>
    <row r="227" spans="1:33" x14ac:dyDescent="0.3">
      <c r="A227" s="115" t="s">
        <v>169</v>
      </c>
      <c r="B227" s="116"/>
      <c r="C227" s="117"/>
      <c r="D227" s="118"/>
      <c r="E227" s="117"/>
      <c r="F227" s="116"/>
      <c r="G227" s="116"/>
      <c r="H227" s="111"/>
      <c r="I227" s="111"/>
      <c r="J227" s="111"/>
      <c r="K227" s="111"/>
      <c r="L227" s="111"/>
      <c r="M227" s="111"/>
      <c r="N227" s="111"/>
      <c r="O227" s="111"/>
      <c r="P227" s="111"/>
      <c r="Q227" s="111"/>
      <c r="R227" s="111"/>
      <c r="S227" s="111"/>
      <c r="T227" s="111"/>
      <c r="U227" s="111"/>
      <c r="V227" s="111"/>
      <c r="W227" s="111"/>
      <c r="X227" s="111"/>
      <c r="Y227" s="111"/>
      <c r="Z227" s="111"/>
      <c r="AA227" s="111"/>
      <c r="AB227" s="111"/>
      <c r="AC227" s="111"/>
      <c r="AD227" s="111"/>
      <c r="AE227" s="111"/>
      <c r="AF227" s="29"/>
      <c r="AG227" s="102">
        <f t="shared" si="48"/>
        <v>0</v>
      </c>
    </row>
    <row r="228" spans="1:33" x14ac:dyDescent="0.3">
      <c r="A228" s="127" t="s">
        <v>32</v>
      </c>
      <c r="B228" s="116"/>
      <c r="C228" s="117"/>
      <c r="D228" s="118"/>
      <c r="E228" s="117"/>
      <c r="F228" s="116"/>
      <c r="G228" s="116"/>
      <c r="H228" s="111"/>
      <c r="I228" s="111"/>
      <c r="J228" s="111"/>
      <c r="K228" s="111"/>
      <c r="L228" s="111"/>
      <c r="M228" s="111"/>
      <c r="N228" s="111"/>
      <c r="O228" s="111"/>
      <c r="P228" s="111"/>
      <c r="Q228" s="111"/>
      <c r="R228" s="111"/>
      <c r="S228" s="111"/>
      <c r="T228" s="111"/>
      <c r="U228" s="111"/>
      <c r="V228" s="111"/>
      <c r="W228" s="111"/>
      <c r="X228" s="111"/>
      <c r="Y228" s="111"/>
      <c r="Z228" s="111"/>
      <c r="AA228" s="111"/>
      <c r="AB228" s="111"/>
      <c r="AC228" s="111"/>
      <c r="AD228" s="111"/>
      <c r="AE228" s="111"/>
      <c r="AF228" s="29"/>
      <c r="AG228" s="102">
        <f t="shared" si="48"/>
        <v>0</v>
      </c>
    </row>
    <row r="229" spans="1:33" x14ac:dyDescent="0.3">
      <c r="A229" s="115" t="s">
        <v>33</v>
      </c>
      <c r="B229" s="116">
        <f>J229+L229+N229+P229+R229+T229+V229+X229+Z229+AB229+AD229+H229</f>
        <v>14582.985000000001</v>
      </c>
      <c r="C229" s="117">
        <f>SUM(H229+J229+L229+N229)</f>
        <v>5493.29</v>
      </c>
      <c r="D229" s="118">
        <f>E229</f>
        <v>6480.7109999999993</v>
      </c>
      <c r="E229" s="117">
        <f>SUM(I229,K229,M229,O229,Q229,S229,U229,W229,Y229,AA229,AC229,AE229)</f>
        <v>6480.7109999999993</v>
      </c>
      <c r="F229" s="116">
        <f>IFERROR(E229/B229*100,0)</f>
        <v>44.440222629317653</v>
      </c>
      <c r="G229" s="116">
        <f>IFERROR(E229/C229*100,0)</f>
        <v>117.97503863804751</v>
      </c>
      <c r="H229" s="111">
        <v>1862.93</v>
      </c>
      <c r="I229" s="111">
        <v>860.83</v>
      </c>
      <c r="J229" s="111">
        <v>1244.2</v>
      </c>
      <c r="K229" s="111">
        <v>1369.52</v>
      </c>
      <c r="L229" s="111">
        <v>963.08</v>
      </c>
      <c r="M229" s="111">
        <v>1162.2280000000001</v>
      </c>
      <c r="N229" s="111">
        <v>1423.08</v>
      </c>
      <c r="O229" s="111">
        <v>799.68499999999995</v>
      </c>
      <c r="P229" s="111">
        <v>1329.998</v>
      </c>
      <c r="Q229" s="111">
        <v>1019.106</v>
      </c>
      <c r="R229" s="111">
        <v>963.09</v>
      </c>
      <c r="S229" s="111">
        <v>1269.3420000000001</v>
      </c>
      <c r="T229" s="111">
        <v>1423.08</v>
      </c>
      <c r="U229" s="111"/>
      <c r="V229" s="111">
        <v>1102.01</v>
      </c>
      <c r="W229" s="111"/>
      <c r="X229" s="111">
        <v>963.08199999999999</v>
      </c>
      <c r="Y229" s="111"/>
      <c r="Z229" s="111">
        <v>1423.0820000000001</v>
      </c>
      <c r="AA229" s="111"/>
      <c r="AB229" s="111">
        <v>1102</v>
      </c>
      <c r="AC229" s="111"/>
      <c r="AD229" s="111">
        <v>783.35299999999995</v>
      </c>
      <c r="AE229" s="111"/>
      <c r="AF229" s="29"/>
      <c r="AG229" s="102">
        <f t="shared" si="48"/>
        <v>0</v>
      </c>
    </row>
    <row r="230" spans="1:33" x14ac:dyDescent="0.3">
      <c r="A230" s="115" t="s">
        <v>170</v>
      </c>
      <c r="B230" s="116"/>
      <c r="C230" s="117"/>
      <c r="D230" s="118"/>
      <c r="E230" s="117"/>
      <c r="F230" s="116"/>
      <c r="G230" s="116"/>
      <c r="H230" s="111"/>
      <c r="I230" s="111"/>
      <c r="J230" s="111"/>
      <c r="K230" s="111"/>
      <c r="L230" s="111"/>
      <c r="M230" s="111"/>
      <c r="N230" s="111"/>
      <c r="O230" s="111"/>
      <c r="P230" s="111"/>
      <c r="Q230" s="111"/>
      <c r="R230" s="111"/>
      <c r="S230" s="111"/>
      <c r="T230" s="111"/>
      <c r="U230" s="111"/>
      <c r="V230" s="111"/>
      <c r="W230" s="111"/>
      <c r="X230" s="111"/>
      <c r="Y230" s="111"/>
      <c r="Z230" s="111"/>
      <c r="AA230" s="111"/>
      <c r="AB230" s="111"/>
      <c r="AC230" s="111"/>
      <c r="AD230" s="111"/>
      <c r="AE230" s="111"/>
      <c r="AF230" s="29"/>
      <c r="AG230" s="102">
        <f t="shared" si="48"/>
        <v>0</v>
      </c>
    </row>
    <row r="231" spans="1:33" ht="56.25" x14ac:dyDescent="0.3">
      <c r="A231" s="122" t="s">
        <v>209</v>
      </c>
      <c r="B231" s="113"/>
      <c r="C231" s="121"/>
      <c r="D231" s="121"/>
      <c r="E231" s="121"/>
      <c r="F231" s="121"/>
      <c r="G231" s="121"/>
      <c r="H231" s="111"/>
      <c r="I231" s="111"/>
      <c r="J231" s="111"/>
      <c r="K231" s="111"/>
      <c r="L231" s="111"/>
      <c r="M231" s="111"/>
      <c r="N231" s="111"/>
      <c r="O231" s="111"/>
      <c r="P231" s="111"/>
      <c r="Q231" s="111"/>
      <c r="R231" s="111"/>
      <c r="S231" s="111"/>
      <c r="T231" s="111"/>
      <c r="U231" s="111"/>
      <c r="V231" s="111"/>
      <c r="W231" s="111"/>
      <c r="X231" s="111"/>
      <c r="Y231" s="111"/>
      <c r="Z231" s="111"/>
      <c r="AA231" s="111"/>
      <c r="AB231" s="111"/>
      <c r="AC231" s="111"/>
      <c r="AD231" s="111"/>
      <c r="AE231" s="111"/>
      <c r="AF231" s="29"/>
      <c r="AG231" s="102">
        <f t="shared" si="48"/>
        <v>0</v>
      </c>
    </row>
    <row r="232" spans="1:33" x14ac:dyDescent="0.3">
      <c r="A232" s="112" t="s">
        <v>31</v>
      </c>
      <c r="B232" s="647">
        <f>B234+B235+B233+B236</f>
        <v>7622.0959999999995</v>
      </c>
      <c r="C232" s="113">
        <f>C234+C235+C233+C236</f>
        <v>2850.8100000000004</v>
      </c>
      <c r="D232" s="113">
        <f>D234+D235+D233+D236</f>
        <v>3326.5160000000001</v>
      </c>
      <c r="E232" s="113">
        <f>E234+E235+E233+E236</f>
        <v>3326.5160000000001</v>
      </c>
      <c r="F232" s="113">
        <f>IFERROR(E232/B232*100,0)</f>
        <v>43.643060911329378</v>
      </c>
      <c r="G232" s="113">
        <f>IFERROR(E232/C232*100,0)</f>
        <v>116.68669606182101</v>
      </c>
      <c r="H232" s="113">
        <f t="shared" ref="H232:AE232" si="54">H234+H235+H233+H236</f>
        <v>989.09</v>
      </c>
      <c r="I232" s="113">
        <f t="shared" si="54"/>
        <v>458.94</v>
      </c>
      <c r="J232" s="113">
        <f t="shared" si="54"/>
        <v>628.05999999999995</v>
      </c>
      <c r="K232" s="113">
        <f t="shared" si="54"/>
        <v>751.66499999999996</v>
      </c>
      <c r="L232" s="113">
        <f t="shared" si="54"/>
        <v>499.03</v>
      </c>
      <c r="M232" s="113">
        <f t="shared" si="54"/>
        <v>478.66800000000001</v>
      </c>
      <c r="N232" s="113">
        <f t="shared" si="54"/>
        <v>734.63</v>
      </c>
      <c r="O232" s="113">
        <f t="shared" si="54"/>
        <v>515.10199999999998</v>
      </c>
      <c r="P232" s="113">
        <f t="shared" si="54"/>
        <v>570.17999999999995</v>
      </c>
      <c r="Q232" s="113">
        <f t="shared" si="54"/>
        <v>604.596</v>
      </c>
      <c r="R232" s="113">
        <f t="shared" si="54"/>
        <v>499.03</v>
      </c>
      <c r="S232" s="113">
        <f t="shared" si="54"/>
        <v>517.54499999999996</v>
      </c>
      <c r="T232" s="113">
        <f t="shared" si="54"/>
        <v>734.63199999999995</v>
      </c>
      <c r="U232" s="113">
        <f t="shared" si="54"/>
        <v>0</v>
      </c>
      <c r="V232" s="113">
        <f t="shared" si="54"/>
        <v>570.18299999999999</v>
      </c>
      <c r="W232" s="113">
        <f t="shared" si="54"/>
        <v>0</v>
      </c>
      <c r="X232" s="113">
        <f t="shared" si="54"/>
        <v>685.53099999999995</v>
      </c>
      <c r="Y232" s="113">
        <f t="shared" si="54"/>
        <v>0</v>
      </c>
      <c r="Z232" s="113">
        <f t="shared" si="54"/>
        <v>734.63</v>
      </c>
      <c r="AA232" s="113">
        <f t="shared" si="54"/>
        <v>0</v>
      </c>
      <c r="AB232" s="113">
        <f t="shared" si="54"/>
        <v>570.17999999999995</v>
      </c>
      <c r="AC232" s="113">
        <f t="shared" si="54"/>
        <v>0</v>
      </c>
      <c r="AD232" s="113">
        <f t="shared" si="54"/>
        <v>406.92</v>
      </c>
      <c r="AE232" s="113">
        <f t="shared" si="54"/>
        <v>0</v>
      </c>
      <c r="AF232" s="29"/>
      <c r="AG232" s="102">
        <f t="shared" si="48"/>
        <v>0</v>
      </c>
    </row>
    <row r="233" spans="1:33" x14ac:dyDescent="0.3">
      <c r="A233" s="115" t="s">
        <v>169</v>
      </c>
      <c r="B233" s="116"/>
      <c r="C233" s="117"/>
      <c r="D233" s="118"/>
      <c r="E233" s="117"/>
      <c r="F233" s="116"/>
      <c r="G233" s="116"/>
      <c r="H233" s="111"/>
      <c r="I233" s="111"/>
      <c r="J233" s="111"/>
      <c r="K233" s="111"/>
      <c r="L233" s="111"/>
      <c r="M233" s="111"/>
      <c r="N233" s="111"/>
      <c r="O233" s="111"/>
      <c r="P233" s="111"/>
      <c r="Q233" s="111"/>
      <c r="R233" s="111"/>
      <c r="S233" s="111"/>
      <c r="T233" s="111"/>
      <c r="U233" s="111"/>
      <c r="V233" s="111"/>
      <c r="W233" s="111"/>
      <c r="X233" s="111"/>
      <c r="Y233" s="111"/>
      <c r="Z233" s="111"/>
      <c r="AA233" s="111"/>
      <c r="AB233" s="111"/>
      <c r="AC233" s="111"/>
      <c r="AD233" s="111"/>
      <c r="AE233" s="111"/>
      <c r="AF233" s="29"/>
      <c r="AG233" s="102">
        <f t="shared" si="48"/>
        <v>0</v>
      </c>
    </row>
    <row r="234" spans="1:33" x14ac:dyDescent="0.3">
      <c r="A234" s="127" t="s">
        <v>32</v>
      </c>
      <c r="B234" s="116"/>
      <c r="C234" s="117"/>
      <c r="D234" s="118"/>
      <c r="E234" s="117"/>
      <c r="F234" s="116"/>
      <c r="G234" s="116"/>
      <c r="H234" s="111"/>
      <c r="I234" s="111"/>
      <c r="J234" s="111"/>
      <c r="K234" s="111"/>
      <c r="L234" s="111"/>
      <c r="M234" s="111"/>
      <c r="N234" s="111"/>
      <c r="O234" s="111"/>
      <c r="P234" s="111"/>
      <c r="Q234" s="111"/>
      <c r="R234" s="111"/>
      <c r="S234" s="111"/>
      <c r="T234" s="111"/>
      <c r="U234" s="111"/>
      <c r="V234" s="111"/>
      <c r="W234" s="111"/>
      <c r="X234" s="111"/>
      <c r="Y234" s="111"/>
      <c r="Z234" s="111"/>
      <c r="AA234" s="111"/>
      <c r="AB234" s="111"/>
      <c r="AC234" s="111"/>
      <c r="AD234" s="111"/>
      <c r="AE234" s="111"/>
      <c r="AF234" s="29"/>
      <c r="AG234" s="102">
        <f t="shared" si="48"/>
        <v>0</v>
      </c>
    </row>
    <row r="235" spans="1:33" x14ac:dyDescent="0.3">
      <c r="A235" s="115" t="s">
        <v>33</v>
      </c>
      <c r="B235" s="116">
        <f>J235+L235+N235+P235+R235+T235+V235+X235+Z235+AB235+AD235+H235</f>
        <v>7622.0959999999995</v>
      </c>
      <c r="C235" s="117">
        <f>SUM(H235+J235+L235+N235)</f>
        <v>2850.8100000000004</v>
      </c>
      <c r="D235" s="118">
        <f>E235</f>
        <v>3326.5160000000001</v>
      </c>
      <c r="E235" s="117">
        <f>SUM(I235,K235,M235,O235,Q235,S235,U235,W235,Y235,AA235,AC235,AE235)</f>
        <v>3326.5160000000001</v>
      </c>
      <c r="F235" s="116">
        <f>IFERROR(E235/B235*100,0)</f>
        <v>43.643060911329378</v>
      </c>
      <c r="G235" s="116">
        <f>IFERROR(E235/C235*100,0)</f>
        <v>116.68669606182101</v>
      </c>
      <c r="H235" s="111">
        <v>989.09</v>
      </c>
      <c r="I235" s="111">
        <v>458.94</v>
      </c>
      <c r="J235" s="111">
        <v>628.05999999999995</v>
      </c>
      <c r="K235" s="111">
        <v>751.66499999999996</v>
      </c>
      <c r="L235" s="111">
        <v>499.03</v>
      </c>
      <c r="M235" s="111">
        <v>478.66800000000001</v>
      </c>
      <c r="N235" s="111">
        <v>734.63</v>
      </c>
      <c r="O235" s="111">
        <v>515.10199999999998</v>
      </c>
      <c r="P235" s="111">
        <v>570.17999999999995</v>
      </c>
      <c r="Q235" s="111">
        <v>604.596</v>
      </c>
      <c r="R235" s="111">
        <v>499.03</v>
      </c>
      <c r="S235" s="111">
        <v>517.54499999999996</v>
      </c>
      <c r="T235" s="111">
        <v>734.63199999999995</v>
      </c>
      <c r="U235" s="111"/>
      <c r="V235" s="111">
        <v>570.18299999999999</v>
      </c>
      <c r="W235" s="111"/>
      <c r="X235" s="111">
        <v>685.53099999999995</v>
      </c>
      <c r="Y235" s="111"/>
      <c r="Z235" s="111">
        <v>734.63</v>
      </c>
      <c r="AA235" s="111"/>
      <c r="AB235" s="111">
        <v>570.17999999999995</v>
      </c>
      <c r="AC235" s="111"/>
      <c r="AD235" s="111">
        <v>406.92</v>
      </c>
      <c r="AE235" s="111"/>
      <c r="AF235" s="29"/>
      <c r="AG235" s="102">
        <f t="shared" si="48"/>
        <v>0</v>
      </c>
    </row>
    <row r="236" spans="1:33" x14ac:dyDescent="0.3">
      <c r="A236" s="115" t="s">
        <v>170</v>
      </c>
      <c r="B236" s="116"/>
      <c r="C236" s="117"/>
      <c r="D236" s="118"/>
      <c r="E236" s="117"/>
      <c r="F236" s="116"/>
      <c r="G236" s="116"/>
      <c r="H236" s="111"/>
      <c r="I236" s="111"/>
      <c r="J236" s="111"/>
      <c r="K236" s="111"/>
      <c r="L236" s="111"/>
      <c r="M236" s="111"/>
      <c r="N236" s="111"/>
      <c r="O236" s="111"/>
      <c r="P236" s="111"/>
      <c r="Q236" s="111"/>
      <c r="R236" s="111"/>
      <c r="S236" s="111"/>
      <c r="T236" s="111"/>
      <c r="U236" s="111"/>
      <c r="V236" s="111"/>
      <c r="W236" s="111"/>
      <c r="X236" s="111"/>
      <c r="Y236" s="111"/>
      <c r="Z236" s="111"/>
      <c r="AA236" s="111"/>
      <c r="AB236" s="111"/>
      <c r="AC236" s="111"/>
      <c r="AD236" s="111"/>
      <c r="AE236" s="111"/>
      <c r="AF236" s="29"/>
      <c r="AG236" s="102">
        <f t="shared" si="48"/>
        <v>0</v>
      </c>
    </row>
    <row r="237" spans="1:33" x14ac:dyDescent="0.3">
      <c r="A237" s="124" t="s">
        <v>210</v>
      </c>
      <c r="B237" s="104"/>
      <c r="C237" s="125"/>
      <c r="D237" s="125"/>
      <c r="E237" s="125"/>
      <c r="F237" s="125"/>
      <c r="G237" s="125"/>
      <c r="H237" s="104"/>
      <c r="I237" s="104"/>
      <c r="J237" s="104"/>
      <c r="K237" s="104"/>
      <c r="L237" s="104"/>
      <c r="M237" s="104"/>
      <c r="N237" s="104"/>
      <c r="O237" s="104"/>
      <c r="P237" s="104"/>
      <c r="Q237" s="104"/>
      <c r="R237" s="104"/>
      <c r="S237" s="104"/>
      <c r="T237" s="104"/>
      <c r="U237" s="104"/>
      <c r="V237" s="104"/>
      <c r="W237" s="104"/>
      <c r="X237" s="104"/>
      <c r="Y237" s="104"/>
      <c r="Z237" s="104"/>
      <c r="AA237" s="104"/>
      <c r="AB237" s="104"/>
      <c r="AC237" s="104"/>
      <c r="AD237" s="104"/>
      <c r="AE237" s="104"/>
      <c r="AF237" s="101"/>
      <c r="AG237" s="102">
        <f t="shared" si="48"/>
        <v>0</v>
      </c>
    </row>
    <row r="238" spans="1:33" x14ac:dyDescent="0.3">
      <c r="A238" s="103" t="s">
        <v>31</v>
      </c>
      <c r="B238" s="104">
        <f>B239+B240+B241+B242</f>
        <v>74</v>
      </c>
      <c r="C238" s="104">
        <f>C239+C240+C241+C242</f>
        <v>0</v>
      </c>
      <c r="D238" s="104">
        <f>D239+D240+D241+D242</f>
        <v>0</v>
      </c>
      <c r="E238" s="104">
        <f>E239+E240+E241+E242</f>
        <v>0</v>
      </c>
      <c r="F238" s="107">
        <f>IFERROR(E238/B238*100,0)</f>
        <v>0</v>
      </c>
      <c r="G238" s="107">
        <f>IFERROR(E238/C238*100,0)</f>
        <v>0</v>
      </c>
      <c r="H238" s="104">
        <f t="shared" ref="H238:AE238" si="55">H239+H240+H241+H242</f>
        <v>0</v>
      </c>
      <c r="I238" s="104">
        <f t="shared" si="55"/>
        <v>0</v>
      </c>
      <c r="J238" s="104">
        <f t="shared" si="55"/>
        <v>0</v>
      </c>
      <c r="K238" s="104">
        <f t="shared" si="55"/>
        <v>0</v>
      </c>
      <c r="L238" s="104">
        <f t="shared" si="55"/>
        <v>0</v>
      </c>
      <c r="M238" s="104">
        <f t="shared" si="55"/>
        <v>0</v>
      </c>
      <c r="N238" s="104">
        <f t="shared" si="55"/>
        <v>0</v>
      </c>
      <c r="O238" s="104">
        <f t="shared" si="55"/>
        <v>0</v>
      </c>
      <c r="P238" s="104">
        <f t="shared" si="55"/>
        <v>0</v>
      </c>
      <c r="Q238" s="104">
        <f t="shared" si="55"/>
        <v>0</v>
      </c>
      <c r="R238" s="104">
        <f t="shared" si="55"/>
        <v>0</v>
      </c>
      <c r="S238" s="104">
        <f t="shared" si="55"/>
        <v>0</v>
      </c>
      <c r="T238" s="104">
        <f t="shared" si="55"/>
        <v>0</v>
      </c>
      <c r="U238" s="104">
        <f t="shared" si="55"/>
        <v>0</v>
      </c>
      <c r="V238" s="104">
        <f t="shared" si="55"/>
        <v>0</v>
      </c>
      <c r="W238" s="104">
        <f t="shared" si="55"/>
        <v>0</v>
      </c>
      <c r="X238" s="104">
        <f t="shared" si="55"/>
        <v>74</v>
      </c>
      <c r="Y238" s="104">
        <f t="shared" si="55"/>
        <v>0</v>
      </c>
      <c r="Z238" s="104">
        <f t="shared" si="55"/>
        <v>0</v>
      </c>
      <c r="AA238" s="104">
        <f t="shared" si="55"/>
        <v>0</v>
      </c>
      <c r="AB238" s="104">
        <f t="shared" si="55"/>
        <v>0</v>
      </c>
      <c r="AC238" s="104">
        <f t="shared" si="55"/>
        <v>0</v>
      </c>
      <c r="AD238" s="104">
        <f t="shared" si="55"/>
        <v>0</v>
      </c>
      <c r="AE238" s="104">
        <f t="shared" si="55"/>
        <v>0</v>
      </c>
      <c r="AF238" s="101"/>
      <c r="AG238" s="102">
        <f t="shared" si="48"/>
        <v>0</v>
      </c>
    </row>
    <row r="239" spans="1:33" x14ac:dyDescent="0.3">
      <c r="A239" s="106" t="s">
        <v>169</v>
      </c>
      <c r="B239" s="107"/>
      <c r="C239" s="107"/>
      <c r="D239" s="107"/>
      <c r="E239" s="107"/>
      <c r="F239" s="107"/>
      <c r="G239" s="107"/>
      <c r="H239" s="107"/>
      <c r="I239" s="107"/>
      <c r="J239" s="107"/>
      <c r="K239" s="107"/>
      <c r="L239" s="107"/>
      <c r="M239" s="107"/>
      <c r="N239" s="107"/>
      <c r="O239" s="107"/>
      <c r="P239" s="107"/>
      <c r="Q239" s="107"/>
      <c r="R239" s="107"/>
      <c r="S239" s="107"/>
      <c r="T239" s="107"/>
      <c r="U239" s="107"/>
      <c r="V239" s="107"/>
      <c r="W239" s="107"/>
      <c r="X239" s="107"/>
      <c r="Y239" s="107"/>
      <c r="Z239" s="107"/>
      <c r="AA239" s="107"/>
      <c r="AB239" s="107"/>
      <c r="AC239" s="107"/>
      <c r="AD239" s="107"/>
      <c r="AE239" s="107"/>
      <c r="AF239" s="101"/>
      <c r="AG239" s="102">
        <f t="shared" si="48"/>
        <v>0</v>
      </c>
    </row>
    <row r="240" spans="1:33" x14ac:dyDescent="0.3">
      <c r="A240" s="106" t="s">
        <v>32</v>
      </c>
      <c r="B240" s="107">
        <f>B246</f>
        <v>74</v>
      </c>
      <c r="C240" s="107">
        <f>C246</f>
        <v>0</v>
      </c>
      <c r="D240" s="107">
        <f>D246</f>
        <v>0</v>
      </c>
      <c r="E240" s="107">
        <f>E246</f>
        <v>0</v>
      </c>
      <c r="F240" s="107">
        <f>IFERROR(E240/B240*100,0)</f>
        <v>0</v>
      </c>
      <c r="G240" s="107">
        <f>IFERROR(E240/C240*100,0)</f>
        <v>0</v>
      </c>
      <c r="H240" s="107">
        <f t="shared" ref="H240:AE240" si="56">H246</f>
        <v>0</v>
      </c>
      <c r="I240" s="107">
        <f t="shared" si="56"/>
        <v>0</v>
      </c>
      <c r="J240" s="107">
        <f t="shared" si="56"/>
        <v>0</v>
      </c>
      <c r="K240" s="107">
        <f t="shared" si="56"/>
        <v>0</v>
      </c>
      <c r="L240" s="107">
        <f t="shared" si="56"/>
        <v>0</v>
      </c>
      <c r="M240" s="107">
        <f t="shared" si="56"/>
        <v>0</v>
      </c>
      <c r="N240" s="107">
        <f t="shared" si="56"/>
        <v>0</v>
      </c>
      <c r="O240" s="107">
        <f t="shared" si="56"/>
        <v>0</v>
      </c>
      <c r="P240" s="107">
        <f t="shared" si="56"/>
        <v>0</v>
      </c>
      <c r="Q240" s="107">
        <f t="shared" si="56"/>
        <v>0</v>
      </c>
      <c r="R240" s="107">
        <f t="shared" si="56"/>
        <v>0</v>
      </c>
      <c r="S240" s="107">
        <f t="shared" si="56"/>
        <v>0</v>
      </c>
      <c r="T240" s="107">
        <f t="shared" si="56"/>
        <v>0</v>
      </c>
      <c r="U240" s="107">
        <f t="shared" si="56"/>
        <v>0</v>
      </c>
      <c r="V240" s="107">
        <f t="shared" si="56"/>
        <v>0</v>
      </c>
      <c r="W240" s="107">
        <f t="shared" si="56"/>
        <v>0</v>
      </c>
      <c r="X240" s="107">
        <f t="shared" si="56"/>
        <v>74</v>
      </c>
      <c r="Y240" s="107">
        <f t="shared" si="56"/>
        <v>0</v>
      </c>
      <c r="Z240" s="107">
        <f t="shared" si="56"/>
        <v>0</v>
      </c>
      <c r="AA240" s="107">
        <f t="shared" si="56"/>
        <v>0</v>
      </c>
      <c r="AB240" s="107">
        <f t="shared" si="56"/>
        <v>0</v>
      </c>
      <c r="AC240" s="107">
        <f t="shared" si="56"/>
        <v>0</v>
      </c>
      <c r="AD240" s="107">
        <f t="shared" si="56"/>
        <v>0</v>
      </c>
      <c r="AE240" s="107">
        <f t="shared" si="56"/>
        <v>0</v>
      </c>
      <c r="AF240" s="101"/>
      <c r="AG240" s="102">
        <f t="shared" si="48"/>
        <v>0</v>
      </c>
    </row>
    <row r="241" spans="1:33" x14ac:dyDescent="0.3">
      <c r="A241" s="106" t="s">
        <v>33</v>
      </c>
      <c r="B241" s="107"/>
      <c r="C241" s="107"/>
      <c r="D241" s="107"/>
      <c r="E241" s="107"/>
      <c r="F241" s="107"/>
      <c r="G241" s="107"/>
      <c r="H241" s="107"/>
      <c r="I241" s="107"/>
      <c r="J241" s="107"/>
      <c r="K241" s="107"/>
      <c r="L241" s="107"/>
      <c r="M241" s="107"/>
      <c r="N241" s="107"/>
      <c r="O241" s="107"/>
      <c r="P241" s="107"/>
      <c r="Q241" s="107"/>
      <c r="R241" s="107"/>
      <c r="S241" s="107"/>
      <c r="T241" s="107"/>
      <c r="U241" s="107"/>
      <c r="V241" s="107"/>
      <c r="W241" s="107"/>
      <c r="X241" s="107"/>
      <c r="Y241" s="107"/>
      <c r="Z241" s="107"/>
      <c r="AA241" s="107"/>
      <c r="AB241" s="107"/>
      <c r="AC241" s="107"/>
      <c r="AD241" s="107"/>
      <c r="AE241" s="107"/>
      <c r="AF241" s="101"/>
      <c r="AG241" s="102">
        <f t="shared" si="48"/>
        <v>0</v>
      </c>
    </row>
    <row r="242" spans="1:33" x14ac:dyDescent="0.3">
      <c r="A242" s="106" t="s">
        <v>170</v>
      </c>
      <c r="B242" s="107"/>
      <c r="C242" s="107"/>
      <c r="D242" s="107"/>
      <c r="E242" s="107"/>
      <c r="F242" s="107"/>
      <c r="G242" s="107"/>
      <c r="H242" s="107"/>
      <c r="I242" s="107"/>
      <c r="J242" s="107"/>
      <c r="K242" s="107"/>
      <c r="L242" s="107"/>
      <c r="M242" s="107"/>
      <c r="N242" s="107"/>
      <c r="O242" s="107"/>
      <c r="P242" s="107"/>
      <c r="Q242" s="107"/>
      <c r="R242" s="107"/>
      <c r="S242" s="107"/>
      <c r="T242" s="107"/>
      <c r="U242" s="107"/>
      <c r="V242" s="107"/>
      <c r="W242" s="107"/>
      <c r="X242" s="107"/>
      <c r="Y242" s="107"/>
      <c r="Z242" s="107"/>
      <c r="AA242" s="107"/>
      <c r="AB242" s="107"/>
      <c r="AC242" s="107"/>
      <c r="AD242" s="107"/>
      <c r="AE242" s="107"/>
      <c r="AF242" s="101"/>
      <c r="AG242" s="102">
        <f t="shared" si="48"/>
        <v>0</v>
      </c>
    </row>
    <row r="243" spans="1:33" ht="93.75" x14ac:dyDescent="0.3">
      <c r="A243" s="122" t="s">
        <v>211</v>
      </c>
      <c r="B243" s="116"/>
      <c r="C243" s="123"/>
      <c r="D243" s="123"/>
      <c r="E243" s="123"/>
      <c r="F243" s="123"/>
      <c r="G243" s="123"/>
      <c r="H243" s="111"/>
      <c r="I243" s="111"/>
      <c r="J243" s="111"/>
      <c r="K243" s="111"/>
      <c r="L243" s="111"/>
      <c r="M243" s="111"/>
      <c r="N243" s="111"/>
      <c r="O243" s="111"/>
      <c r="P243" s="111"/>
      <c r="Q243" s="111"/>
      <c r="R243" s="111"/>
      <c r="S243" s="111"/>
      <c r="T243" s="111"/>
      <c r="U243" s="111"/>
      <c r="V243" s="111"/>
      <c r="W243" s="111"/>
      <c r="X243" s="111"/>
      <c r="Y243" s="111"/>
      <c r="Z243" s="111"/>
      <c r="AA243" s="111"/>
      <c r="AB243" s="111"/>
      <c r="AC243" s="111"/>
      <c r="AD243" s="111"/>
      <c r="AE243" s="111"/>
      <c r="AF243" s="29"/>
      <c r="AG243" s="102">
        <f t="shared" si="48"/>
        <v>0</v>
      </c>
    </row>
    <row r="244" spans="1:33" x14ac:dyDescent="0.3">
      <c r="A244" s="112" t="s">
        <v>31</v>
      </c>
      <c r="B244" s="647">
        <f>B246+B247+B245+B248</f>
        <v>74</v>
      </c>
      <c r="C244" s="647">
        <f>C246+C247+C245+C248</f>
        <v>0</v>
      </c>
      <c r="D244" s="113">
        <f>D246+D247+D245+D248</f>
        <v>0</v>
      </c>
      <c r="E244" s="113">
        <f>E246+E247+E245+E248</f>
        <v>0</v>
      </c>
      <c r="F244" s="113">
        <f>IFERROR(E244/B244*100,0)</f>
        <v>0</v>
      </c>
      <c r="G244" s="113">
        <f>IFERROR(E244/C244*100,0)</f>
        <v>0</v>
      </c>
      <c r="H244" s="113">
        <f t="shared" ref="H244:AE244" si="57">H246+H247+H245+H248</f>
        <v>0</v>
      </c>
      <c r="I244" s="113">
        <f t="shared" si="57"/>
        <v>0</v>
      </c>
      <c r="J244" s="113">
        <f t="shared" si="57"/>
        <v>0</v>
      </c>
      <c r="K244" s="113">
        <f t="shared" si="57"/>
        <v>0</v>
      </c>
      <c r="L244" s="113">
        <f t="shared" si="57"/>
        <v>0</v>
      </c>
      <c r="M244" s="113">
        <f t="shared" si="57"/>
        <v>0</v>
      </c>
      <c r="N244" s="113">
        <f t="shared" si="57"/>
        <v>0</v>
      </c>
      <c r="O244" s="113">
        <f t="shared" si="57"/>
        <v>0</v>
      </c>
      <c r="P244" s="113">
        <f t="shared" si="57"/>
        <v>0</v>
      </c>
      <c r="Q244" s="113">
        <f t="shared" si="57"/>
        <v>0</v>
      </c>
      <c r="R244" s="113">
        <f t="shared" si="57"/>
        <v>0</v>
      </c>
      <c r="S244" s="113">
        <f t="shared" si="57"/>
        <v>0</v>
      </c>
      <c r="T244" s="113">
        <f t="shared" si="57"/>
        <v>0</v>
      </c>
      <c r="U244" s="113">
        <f t="shared" si="57"/>
        <v>0</v>
      </c>
      <c r="V244" s="113">
        <f t="shared" si="57"/>
        <v>0</v>
      </c>
      <c r="W244" s="113">
        <f t="shared" si="57"/>
        <v>0</v>
      </c>
      <c r="X244" s="113">
        <f t="shared" si="57"/>
        <v>74</v>
      </c>
      <c r="Y244" s="113">
        <f t="shared" si="57"/>
        <v>0</v>
      </c>
      <c r="Z244" s="113">
        <f t="shared" si="57"/>
        <v>0</v>
      </c>
      <c r="AA244" s="113">
        <f t="shared" si="57"/>
        <v>0</v>
      </c>
      <c r="AB244" s="113">
        <f t="shared" si="57"/>
        <v>0</v>
      </c>
      <c r="AC244" s="113">
        <f t="shared" si="57"/>
        <v>0</v>
      </c>
      <c r="AD244" s="113">
        <f t="shared" si="57"/>
        <v>0</v>
      </c>
      <c r="AE244" s="113">
        <f t="shared" si="57"/>
        <v>0</v>
      </c>
      <c r="AF244" s="29"/>
      <c r="AG244" s="102">
        <f t="shared" si="48"/>
        <v>0</v>
      </c>
    </row>
    <row r="245" spans="1:33" x14ac:dyDescent="0.3">
      <c r="A245" s="115" t="s">
        <v>169</v>
      </c>
      <c r="B245" s="116"/>
      <c r="C245" s="117"/>
      <c r="D245" s="118"/>
      <c r="E245" s="117"/>
      <c r="F245" s="116"/>
      <c r="G245" s="116"/>
      <c r="H245" s="111"/>
      <c r="I245" s="111"/>
      <c r="J245" s="111"/>
      <c r="K245" s="111"/>
      <c r="L245" s="111"/>
      <c r="M245" s="111"/>
      <c r="N245" s="111"/>
      <c r="O245" s="111"/>
      <c r="P245" s="111"/>
      <c r="Q245" s="111"/>
      <c r="R245" s="111"/>
      <c r="S245" s="111"/>
      <c r="T245" s="111"/>
      <c r="U245" s="111"/>
      <c r="V245" s="111"/>
      <c r="W245" s="111"/>
      <c r="X245" s="111"/>
      <c r="Y245" s="111"/>
      <c r="Z245" s="111"/>
      <c r="AA245" s="111"/>
      <c r="AB245" s="111"/>
      <c r="AC245" s="111"/>
      <c r="AD245" s="111"/>
      <c r="AE245" s="111"/>
      <c r="AF245" s="29"/>
      <c r="AG245" s="102">
        <f t="shared" si="48"/>
        <v>0</v>
      </c>
    </row>
    <row r="246" spans="1:33" x14ac:dyDescent="0.3">
      <c r="A246" s="127" t="s">
        <v>32</v>
      </c>
      <c r="B246" s="116">
        <f>J246+L246+N246+P246+R246+T246+V246+X246+Z246+AB246+AD246+H246</f>
        <v>74</v>
      </c>
      <c r="C246" s="117">
        <f>SUM(H246)</f>
        <v>0</v>
      </c>
      <c r="D246" s="118">
        <f>E246</f>
        <v>0</v>
      </c>
      <c r="E246" s="117">
        <f>SUM(I246,K246,M246,O246,Q246,S246,U246,W246,Y246,AA246,AC246,AE246)</f>
        <v>0</v>
      </c>
      <c r="F246" s="116">
        <f>IFERROR(E246/B246*100,0)</f>
        <v>0</v>
      </c>
      <c r="G246" s="116">
        <f>IFERROR(E246/C246*100,0)</f>
        <v>0</v>
      </c>
      <c r="H246" s="111">
        <v>0</v>
      </c>
      <c r="I246" s="111">
        <v>0</v>
      </c>
      <c r="J246" s="111">
        <v>0</v>
      </c>
      <c r="K246" s="111">
        <v>0</v>
      </c>
      <c r="L246" s="111">
        <v>0</v>
      </c>
      <c r="M246" s="111">
        <v>0</v>
      </c>
      <c r="N246" s="111">
        <v>0</v>
      </c>
      <c r="O246" s="111">
        <v>0</v>
      </c>
      <c r="P246" s="111">
        <v>0</v>
      </c>
      <c r="Q246" s="111">
        <v>0</v>
      </c>
      <c r="R246" s="111">
        <v>0</v>
      </c>
      <c r="S246" s="111">
        <v>0</v>
      </c>
      <c r="T246" s="111"/>
      <c r="U246" s="111"/>
      <c r="V246" s="111"/>
      <c r="W246" s="111"/>
      <c r="X246" s="111">
        <v>74</v>
      </c>
      <c r="Y246" s="111"/>
      <c r="Z246" s="111">
        <v>0</v>
      </c>
      <c r="AA246" s="111"/>
      <c r="AB246" s="111">
        <v>0</v>
      </c>
      <c r="AC246" s="111"/>
      <c r="AD246" s="111">
        <v>0</v>
      </c>
      <c r="AE246" s="111"/>
      <c r="AF246" s="29"/>
      <c r="AG246" s="102">
        <f t="shared" si="48"/>
        <v>0</v>
      </c>
    </row>
    <row r="247" spans="1:33" x14ac:dyDescent="0.3">
      <c r="A247" s="115" t="s">
        <v>33</v>
      </c>
      <c r="B247" s="116"/>
      <c r="C247" s="117"/>
      <c r="D247" s="118"/>
      <c r="E247" s="117"/>
      <c r="F247" s="116"/>
      <c r="G247" s="116"/>
      <c r="H247" s="111"/>
      <c r="I247" s="111"/>
      <c r="J247" s="111"/>
      <c r="K247" s="111"/>
      <c r="L247" s="111"/>
      <c r="M247" s="111"/>
      <c r="N247" s="111"/>
      <c r="O247" s="111"/>
      <c r="P247" s="111"/>
      <c r="Q247" s="111"/>
      <c r="R247" s="111"/>
      <c r="S247" s="111"/>
      <c r="T247" s="111"/>
      <c r="U247" s="111"/>
      <c r="V247" s="111"/>
      <c r="W247" s="111"/>
      <c r="X247" s="111"/>
      <c r="Y247" s="111"/>
      <c r="Z247" s="111"/>
      <c r="AA247" s="111"/>
      <c r="AB247" s="111"/>
      <c r="AC247" s="111"/>
      <c r="AD247" s="111"/>
      <c r="AE247" s="111"/>
      <c r="AF247" s="29"/>
      <c r="AG247" s="102">
        <f t="shared" si="48"/>
        <v>0</v>
      </c>
    </row>
    <row r="248" spans="1:33" x14ac:dyDescent="0.3">
      <c r="A248" s="115" t="s">
        <v>170</v>
      </c>
      <c r="B248" s="116"/>
      <c r="C248" s="117"/>
      <c r="D248" s="118"/>
      <c r="E248" s="117"/>
      <c r="F248" s="116"/>
      <c r="G248" s="116"/>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29"/>
      <c r="AG248" s="102">
        <f t="shared" si="48"/>
        <v>0</v>
      </c>
    </row>
    <row r="249" spans="1:33" ht="283.5" x14ac:dyDescent="0.3">
      <c r="A249" s="124" t="s">
        <v>212</v>
      </c>
      <c r="B249" s="107"/>
      <c r="C249" s="136"/>
      <c r="D249" s="136"/>
      <c r="E249" s="136"/>
      <c r="F249" s="136"/>
      <c r="G249" s="136"/>
      <c r="H249" s="141"/>
      <c r="I249" s="141"/>
      <c r="J249" s="141"/>
      <c r="K249" s="141"/>
      <c r="L249" s="141"/>
      <c r="M249" s="141"/>
      <c r="N249" s="141"/>
      <c r="O249" s="141"/>
      <c r="P249" s="141"/>
      <c r="Q249" s="141"/>
      <c r="R249" s="141"/>
      <c r="S249" s="141"/>
      <c r="T249" s="141"/>
      <c r="U249" s="141"/>
      <c r="V249" s="141"/>
      <c r="W249" s="141"/>
      <c r="X249" s="141"/>
      <c r="Y249" s="141"/>
      <c r="Z249" s="141"/>
      <c r="AA249" s="141"/>
      <c r="AB249" s="141"/>
      <c r="AC249" s="141"/>
      <c r="AD249" s="141"/>
      <c r="AE249" s="141"/>
      <c r="AF249" s="733" t="s">
        <v>473</v>
      </c>
      <c r="AG249" s="102">
        <f t="shared" si="48"/>
        <v>0</v>
      </c>
    </row>
    <row r="250" spans="1:33" x14ac:dyDescent="0.3">
      <c r="A250" s="103" t="s">
        <v>31</v>
      </c>
      <c r="B250" s="647">
        <f>B252+B253+B251+B254</f>
        <v>55033.595999999998</v>
      </c>
      <c r="C250" s="104">
        <f>C252+C253+C251+C254</f>
        <v>16746.47</v>
      </c>
      <c r="D250" s="104">
        <f>D252+D253+D251+D254</f>
        <v>19741.052</v>
      </c>
      <c r="E250" s="104">
        <f>E252+E253+E251+E254</f>
        <v>19741.052</v>
      </c>
      <c r="F250" s="104">
        <f>IFERROR(E250/B250*100,0)</f>
        <v>35.870910561614039</v>
      </c>
      <c r="G250" s="104">
        <f>IFERROR(E250/C250*100,0)</f>
        <v>117.88187002992272</v>
      </c>
      <c r="H250" s="104">
        <f t="shared" ref="H250:AE250" si="58">H252+H253+H251+H254</f>
        <v>2814.28</v>
      </c>
      <c r="I250" s="104">
        <f t="shared" si="58"/>
        <v>1088.49</v>
      </c>
      <c r="J250" s="104">
        <f t="shared" si="58"/>
        <v>4509.2539999999999</v>
      </c>
      <c r="K250" s="104">
        <f t="shared" si="58"/>
        <v>4107.49</v>
      </c>
      <c r="L250" s="104">
        <f t="shared" si="58"/>
        <v>4719.3559999999998</v>
      </c>
      <c r="M250" s="104">
        <f t="shared" si="58"/>
        <v>2574.5309999999999</v>
      </c>
      <c r="N250" s="104">
        <f t="shared" si="58"/>
        <v>4703.58</v>
      </c>
      <c r="O250" s="104">
        <f t="shared" si="58"/>
        <v>2956.0169999999998</v>
      </c>
      <c r="P250" s="104">
        <f t="shared" si="58"/>
        <v>4804.1009999999997</v>
      </c>
      <c r="Q250" s="104">
        <f t="shared" si="58"/>
        <v>3524.0940000000001</v>
      </c>
      <c r="R250" s="104">
        <f t="shared" si="58"/>
        <v>4784.3459999999995</v>
      </c>
      <c r="S250" s="104">
        <f t="shared" si="58"/>
        <v>5490.43</v>
      </c>
      <c r="T250" s="104">
        <f t="shared" si="58"/>
        <v>4682.0810000000001</v>
      </c>
      <c r="U250" s="104">
        <f t="shared" si="58"/>
        <v>0</v>
      </c>
      <c r="V250" s="104">
        <f t="shared" si="58"/>
        <v>4478.241</v>
      </c>
      <c r="W250" s="104">
        <f t="shared" si="58"/>
        <v>0</v>
      </c>
      <c r="X250" s="104">
        <f t="shared" si="58"/>
        <v>4478.22</v>
      </c>
      <c r="Y250" s="104">
        <f t="shared" si="58"/>
        <v>0</v>
      </c>
      <c r="Z250" s="104">
        <f t="shared" si="58"/>
        <v>4495.4390000000003</v>
      </c>
      <c r="AA250" s="104">
        <f t="shared" si="58"/>
        <v>0</v>
      </c>
      <c r="AB250" s="104">
        <f t="shared" si="58"/>
        <v>4829.21</v>
      </c>
      <c r="AC250" s="104">
        <f t="shared" si="58"/>
        <v>0</v>
      </c>
      <c r="AD250" s="104">
        <f t="shared" si="58"/>
        <v>5735.4880000000003</v>
      </c>
      <c r="AE250" s="104">
        <f t="shared" si="58"/>
        <v>0</v>
      </c>
      <c r="AF250" s="142"/>
      <c r="AG250" s="102">
        <f t="shared" si="48"/>
        <v>0</v>
      </c>
    </row>
    <row r="251" spans="1:33" x14ac:dyDescent="0.3">
      <c r="A251" s="106" t="s">
        <v>169</v>
      </c>
      <c r="B251" s="107"/>
      <c r="C251" s="107"/>
      <c r="D251" s="107"/>
      <c r="E251" s="107"/>
      <c r="F251" s="107"/>
      <c r="G251" s="107"/>
      <c r="H251" s="141"/>
      <c r="I251" s="141"/>
      <c r="J251" s="141"/>
      <c r="K251" s="141"/>
      <c r="L251" s="141"/>
      <c r="M251" s="141"/>
      <c r="N251" s="141"/>
      <c r="O251" s="141"/>
      <c r="P251" s="141"/>
      <c r="Q251" s="141"/>
      <c r="R251" s="141"/>
      <c r="S251" s="141"/>
      <c r="T251" s="141"/>
      <c r="U251" s="141"/>
      <c r="V251" s="141"/>
      <c r="W251" s="141"/>
      <c r="X251" s="141"/>
      <c r="Y251" s="141"/>
      <c r="Z251" s="141"/>
      <c r="AA251" s="141"/>
      <c r="AB251" s="141"/>
      <c r="AC251" s="141"/>
      <c r="AD251" s="141"/>
      <c r="AE251" s="141"/>
      <c r="AF251" s="142"/>
      <c r="AG251" s="102">
        <f t="shared" si="48"/>
        <v>0</v>
      </c>
    </row>
    <row r="252" spans="1:33" x14ac:dyDescent="0.3">
      <c r="A252" s="106" t="s">
        <v>32</v>
      </c>
      <c r="B252" s="107"/>
      <c r="C252" s="107"/>
      <c r="D252" s="107"/>
      <c r="E252" s="107"/>
      <c r="F252" s="107"/>
      <c r="G252" s="107"/>
      <c r="H252" s="141"/>
      <c r="I252" s="141"/>
      <c r="J252" s="141"/>
      <c r="K252" s="141"/>
      <c r="L252" s="141"/>
      <c r="M252" s="141"/>
      <c r="N252" s="141"/>
      <c r="O252" s="141"/>
      <c r="P252" s="141"/>
      <c r="Q252" s="141"/>
      <c r="R252" s="141"/>
      <c r="S252" s="141"/>
      <c r="T252" s="141"/>
      <c r="U252" s="141"/>
      <c r="V252" s="141"/>
      <c r="W252" s="141"/>
      <c r="X252" s="141"/>
      <c r="Y252" s="141"/>
      <c r="Z252" s="141"/>
      <c r="AA252" s="141"/>
      <c r="AB252" s="141"/>
      <c r="AC252" s="141"/>
      <c r="AD252" s="141"/>
      <c r="AE252" s="141"/>
      <c r="AF252" s="142"/>
      <c r="AG252" s="102">
        <f t="shared" si="48"/>
        <v>0</v>
      </c>
    </row>
    <row r="253" spans="1:33" x14ac:dyDescent="0.3">
      <c r="A253" s="106" t="s">
        <v>33</v>
      </c>
      <c r="B253" s="107">
        <f>J253+L253+N253+P253+R253+T253+V253+X253+Z253+AB253+AD253+H253</f>
        <v>55033.595999999998</v>
      </c>
      <c r="C253" s="107">
        <f>SUM(H253+J253+L253+N253)</f>
        <v>16746.47</v>
      </c>
      <c r="D253" s="107">
        <f>E253</f>
        <v>19741.052</v>
      </c>
      <c r="E253" s="107">
        <f>SUM(I253,K253,M253,O253,Q253,S253,U253,W253,Y253,AA253,AC253,AE253)</f>
        <v>19741.052</v>
      </c>
      <c r="F253" s="107">
        <f>IFERROR(E253/B253*100,0)</f>
        <v>35.870910561614039</v>
      </c>
      <c r="G253" s="107">
        <f>IFERROR(E253/C253*100,0)</f>
        <v>117.88187002992272</v>
      </c>
      <c r="H253" s="141">
        <v>2814.28</v>
      </c>
      <c r="I253" s="141">
        <v>1088.49</v>
      </c>
      <c r="J253" s="141">
        <v>4509.2539999999999</v>
      </c>
      <c r="K253" s="141">
        <v>4107.49</v>
      </c>
      <c r="L253" s="141">
        <v>4719.3559999999998</v>
      </c>
      <c r="M253" s="141">
        <v>2574.5309999999999</v>
      </c>
      <c r="N253" s="141">
        <v>4703.58</v>
      </c>
      <c r="O253" s="141">
        <v>2956.0169999999998</v>
      </c>
      <c r="P253" s="141">
        <v>4804.1009999999997</v>
      </c>
      <c r="Q253" s="141">
        <v>3524.0940000000001</v>
      </c>
      <c r="R253" s="141">
        <v>4784.3459999999995</v>
      </c>
      <c r="S253" s="141">
        <v>5490.43</v>
      </c>
      <c r="T253" s="141">
        <v>4682.0810000000001</v>
      </c>
      <c r="U253" s="141"/>
      <c r="V253" s="141">
        <v>4478.241</v>
      </c>
      <c r="W253" s="141"/>
      <c r="X253" s="141">
        <v>4478.22</v>
      </c>
      <c r="Y253" s="141"/>
      <c r="Z253" s="141">
        <v>4495.4390000000003</v>
      </c>
      <c r="AA253" s="141"/>
      <c r="AB253" s="141">
        <v>4829.21</v>
      </c>
      <c r="AC253" s="141"/>
      <c r="AD253" s="141">
        <v>5735.4880000000003</v>
      </c>
      <c r="AE253" s="141"/>
      <c r="AF253" s="142"/>
      <c r="AG253" s="102">
        <f t="shared" si="48"/>
        <v>0</v>
      </c>
    </row>
    <row r="254" spans="1:33" x14ac:dyDescent="0.3">
      <c r="A254" s="106" t="s">
        <v>170</v>
      </c>
      <c r="B254" s="107"/>
      <c r="C254" s="107"/>
      <c r="D254" s="107"/>
      <c r="E254" s="107"/>
      <c r="F254" s="107"/>
      <c r="G254" s="107"/>
      <c r="H254" s="141"/>
      <c r="I254" s="141"/>
      <c r="J254" s="141"/>
      <c r="K254" s="141"/>
      <c r="L254" s="141"/>
      <c r="M254" s="141"/>
      <c r="N254" s="141"/>
      <c r="O254" s="141"/>
      <c r="P254" s="141"/>
      <c r="Q254" s="141"/>
      <c r="R254" s="141"/>
      <c r="S254" s="141"/>
      <c r="T254" s="141"/>
      <c r="U254" s="141"/>
      <c r="V254" s="141"/>
      <c r="W254" s="141"/>
      <c r="X254" s="141"/>
      <c r="Y254" s="141"/>
      <c r="Z254" s="141"/>
      <c r="AA254" s="141"/>
      <c r="AB254" s="141"/>
      <c r="AC254" s="141"/>
      <c r="AD254" s="141"/>
      <c r="AE254" s="141"/>
      <c r="AF254" s="142"/>
      <c r="AG254" s="102">
        <f t="shared" si="48"/>
        <v>0</v>
      </c>
    </row>
    <row r="255" spans="1:33" x14ac:dyDescent="0.3">
      <c r="A255" s="1032" t="s">
        <v>213</v>
      </c>
      <c r="B255" s="1033"/>
      <c r="C255" s="1033"/>
      <c r="D255" s="1033"/>
      <c r="E255" s="1033"/>
      <c r="F255" s="1033"/>
      <c r="G255" s="1033"/>
      <c r="H255" s="1033"/>
      <c r="I255" s="1033"/>
      <c r="J255" s="1033"/>
      <c r="K255" s="1033"/>
      <c r="L255" s="1033"/>
      <c r="M255" s="1033"/>
      <c r="N255" s="1033"/>
      <c r="O255" s="1033"/>
      <c r="P255" s="1033"/>
      <c r="Q255" s="1033"/>
      <c r="R255" s="1033"/>
      <c r="S255" s="1033"/>
      <c r="T255" s="1033"/>
      <c r="U255" s="1033"/>
      <c r="V255" s="1033"/>
      <c r="W255" s="1033"/>
      <c r="X255" s="1033"/>
      <c r="Y255" s="1033"/>
      <c r="Z255" s="1033"/>
      <c r="AA255" s="1033"/>
      <c r="AB255" s="1033"/>
      <c r="AC255" s="1033"/>
      <c r="AD255" s="1033"/>
      <c r="AE255" s="1033"/>
      <c r="AF255" s="1034"/>
      <c r="AG255" s="102">
        <f t="shared" si="48"/>
        <v>0</v>
      </c>
    </row>
    <row r="256" spans="1:33" x14ac:dyDescent="0.3">
      <c r="A256" s="1032" t="s">
        <v>54</v>
      </c>
      <c r="B256" s="1033"/>
      <c r="C256" s="1033"/>
      <c r="D256" s="1033"/>
      <c r="E256" s="1033"/>
      <c r="F256" s="1033"/>
      <c r="G256" s="1033"/>
      <c r="H256" s="1033"/>
      <c r="I256" s="1033"/>
      <c r="J256" s="1033"/>
      <c r="K256" s="1033"/>
      <c r="L256" s="1033"/>
      <c r="M256" s="1033"/>
      <c r="N256" s="1033"/>
      <c r="O256" s="1033"/>
      <c r="P256" s="1033"/>
      <c r="Q256" s="1033"/>
      <c r="R256" s="1033"/>
      <c r="S256" s="1033"/>
      <c r="T256" s="1033"/>
      <c r="U256" s="1033"/>
      <c r="V256" s="1033"/>
      <c r="W256" s="1033"/>
      <c r="X256" s="1033"/>
      <c r="Y256" s="1033"/>
      <c r="Z256" s="1033"/>
      <c r="AA256" s="1033"/>
      <c r="AB256" s="1033"/>
      <c r="AC256" s="1033"/>
      <c r="AD256" s="1033"/>
      <c r="AE256" s="1033"/>
      <c r="AF256" s="1034"/>
      <c r="AG256" s="102">
        <f t="shared" si="48"/>
        <v>0</v>
      </c>
    </row>
    <row r="257" spans="1:33" ht="37.5" x14ac:dyDescent="0.3">
      <c r="A257" s="98" t="s">
        <v>214</v>
      </c>
      <c r="B257" s="143"/>
      <c r="C257" s="144"/>
      <c r="D257" s="144"/>
      <c r="E257" s="144"/>
      <c r="F257" s="144"/>
      <c r="G257" s="144"/>
      <c r="H257" s="143"/>
      <c r="I257" s="143"/>
      <c r="J257" s="143"/>
      <c r="K257" s="143"/>
      <c r="L257" s="143"/>
      <c r="M257" s="143"/>
      <c r="N257" s="143"/>
      <c r="O257" s="143"/>
      <c r="P257" s="143"/>
      <c r="Q257" s="143"/>
      <c r="R257" s="143"/>
      <c r="S257" s="143"/>
      <c r="T257" s="143"/>
      <c r="U257" s="143"/>
      <c r="V257" s="143"/>
      <c r="W257" s="143"/>
      <c r="X257" s="143"/>
      <c r="Y257" s="143"/>
      <c r="Z257" s="143"/>
      <c r="AA257" s="143"/>
      <c r="AB257" s="143"/>
      <c r="AC257" s="143"/>
      <c r="AD257" s="143"/>
      <c r="AE257" s="143"/>
      <c r="AF257" s="101"/>
      <c r="AG257" s="102">
        <f t="shared" si="48"/>
        <v>0</v>
      </c>
    </row>
    <row r="258" spans="1:33" x14ac:dyDescent="0.3">
      <c r="A258" s="145" t="s">
        <v>31</v>
      </c>
      <c r="B258" s="104">
        <f>B259+B260+B261+B262</f>
        <v>7056.83</v>
      </c>
      <c r="C258" s="104">
        <f>C259+C260+C261+C262</f>
        <v>3470.2000000000003</v>
      </c>
      <c r="D258" s="104">
        <f>D259+D260+D261+D262</f>
        <v>3386.203</v>
      </c>
      <c r="E258" s="104">
        <f>E259+E260+E261+E262</f>
        <v>3386.203</v>
      </c>
      <c r="F258" s="107">
        <f>IFERROR(E258/B258*100,0)</f>
        <v>47.984760862880357</v>
      </c>
      <c r="G258" s="107">
        <f>IFERROR(E258/C258*100,0)</f>
        <v>97.579476687222638</v>
      </c>
      <c r="H258" s="104">
        <f t="shared" ref="H258:AE258" si="59">H259+H260+H261+H262</f>
        <v>0</v>
      </c>
      <c r="I258" s="104">
        <f t="shared" si="59"/>
        <v>0</v>
      </c>
      <c r="J258" s="104">
        <f t="shared" si="59"/>
        <v>2608.4</v>
      </c>
      <c r="K258" s="104">
        <f t="shared" si="59"/>
        <v>2571.3150000000001</v>
      </c>
      <c r="L258" s="104">
        <f t="shared" si="59"/>
        <v>710.24</v>
      </c>
      <c r="M258" s="104">
        <f t="shared" si="59"/>
        <v>435.7</v>
      </c>
      <c r="N258" s="104">
        <f t="shared" si="59"/>
        <v>151.56</v>
      </c>
      <c r="O258" s="104">
        <f t="shared" si="59"/>
        <v>105.6</v>
      </c>
      <c r="P258" s="104">
        <f t="shared" si="59"/>
        <v>154.83000000000001</v>
      </c>
      <c r="Q258" s="104">
        <f t="shared" si="59"/>
        <v>261.69</v>
      </c>
      <c r="R258" s="104">
        <f t="shared" si="59"/>
        <v>55.4</v>
      </c>
      <c r="S258" s="104">
        <f t="shared" si="59"/>
        <v>11.898</v>
      </c>
      <c r="T258" s="104">
        <f t="shared" si="59"/>
        <v>0</v>
      </c>
      <c r="U258" s="104">
        <f t="shared" si="59"/>
        <v>0</v>
      </c>
      <c r="V258" s="104">
        <f t="shared" si="59"/>
        <v>3289.1</v>
      </c>
      <c r="W258" s="104">
        <f t="shared" si="59"/>
        <v>0</v>
      </c>
      <c r="X258" s="104">
        <f t="shared" si="59"/>
        <v>55.4</v>
      </c>
      <c r="Y258" s="104">
        <f t="shared" si="59"/>
        <v>0</v>
      </c>
      <c r="Z258" s="104">
        <f t="shared" si="59"/>
        <v>0</v>
      </c>
      <c r="AA258" s="104">
        <f t="shared" si="59"/>
        <v>0</v>
      </c>
      <c r="AB258" s="104">
        <f t="shared" si="59"/>
        <v>23.7</v>
      </c>
      <c r="AC258" s="104">
        <f t="shared" si="59"/>
        <v>0</v>
      </c>
      <c r="AD258" s="104">
        <f t="shared" si="59"/>
        <v>8.1999999999999993</v>
      </c>
      <c r="AE258" s="104">
        <f t="shared" si="59"/>
        <v>0</v>
      </c>
      <c r="AF258" s="101"/>
      <c r="AG258" s="102">
        <f t="shared" si="48"/>
        <v>6.3948846218409017E-13</v>
      </c>
    </row>
    <row r="259" spans="1:33" x14ac:dyDescent="0.3">
      <c r="A259" s="146" t="s">
        <v>169</v>
      </c>
      <c r="B259" s="107"/>
      <c r="C259" s="107"/>
      <c r="D259" s="107"/>
      <c r="E259" s="107"/>
      <c r="F259" s="107"/>
      <c r="G259" s="107"/>
      <c r="H259" s="107"/>
      <c r="I259" s="107"/>
      <c r="J259" s="107"/>
      <c r="K259" s="107"/>
      <c r="L259" s="107"/>
      <c r="M259" s="107"/>
      <c r="N259" s="107"/>
      <c r="O259" s="107"/>
      <c r="P259" s="107"/>
      <c r="Q259" s="107"/>
      <c r="R259" s="107"/>
      <c r="S259" s="107"/>
      <c r="T259" s="107"/>
      <c r="U259" s="107"/>
      <c r="V259" s="107"/>
      <c r="W259" s="107"/>
      <c r="X259" s="107"/>
      <c r="Y259" s="107"/>
      <c r="Z259" s="107"/>
      <c r="AA259" s="107"/>
      <c r="AB259" s="107"/>
      <c r="AC259" s="107"/>
      <c r="AD259" s="107"/>
      <c r="AE259" s="107"/>
      <c r="AF259" s="101"/>
      <c r="AG259" s="102">
        <f t="shared" si="48"/>
        <v>0</v>
      </c>
    </row>
    <row r="260" spans="1:33" x14ac:dyDescent="0.3">
      <c r="A260" s="146" t="s">
        <v>32</v>
      </c>
      <c r="B260" s="107"/>
      <c r="C260" s="107"/>
      <c r="D260" s="107"/>
      <c r="E260" s="107"/>
      <c r="F260" s="107"/>
      <c r="G260" s="107"/>
      <c r="H260" s="107"/>
      <c r="I260" s="107"/>
      <c r="J260" s="107"/>
      <c r="K260" s="107"/>
      <c r="L260" s="107"/>
      <c r="M260" s="107"/>
      <c r="N260" s="107"/>
      <c r="O260" s="107"/>
      <c r="P260" s="107"/>
      <c r="Q260" s="107"/>
      <c r="R260" s="107"/>
      <c r="S260" s="107"/>
      <c r="T260" s="107"/>
      <c r="U260" s="107"/>
      <c r="V260" s="107"/>
      <c r="W260" s="107"/>
      <c r="X260" s="107"/>
      <c r="Y260" s="107"/>
      <c r="Z260" s="107"/>
      <c r="AA260" s="107"/>
      <c r="AB260" s="107"/>
      <c r="AC260" s="107"/>
      <c r="AD260" s="107"/>
      <c r="AE260" s="107"/>
      <c r="AF260" s="101"/>
      <c r="AG260" s="102">
        <f t="shared" si="48"/>
        <v>0</v>
      </c>
    </row>
    <row r="261" spans="1:33" x14ac:dyDescent="0.3">
      <c r="A261" s="146" t="s">
        <v>33</v>
      </c>
      <c r="B261" s="107">
        <f>B267+B273</f>
        <v>7056.83</v>
      </c>
      <c r="C261" s="107">
        <f>C267+C273</f>
        <v>3470.2000000000003</v>
      </c>
      <c r="D261" s="107">
        <f>D267+D273</f>
        <v>3386.203</v>
      </c>
      <c r="E261" s="107">
        <f>E267+E273</f>
        <v>3386.203</v>
      </c>
      <c r="F261" s="107">
        <f>IFERROR(E261/B261*100,0)</f>
        <v>47.984760862880357</v>
      </c>
      <c r="G261" s="107">
        <f>IFERROR(E261/C261*100,0)</f>
        <v>97.579476687222638</v>
      </c>
      <c r="H261" s="107">
        <f t="shared" ref="H261:AE261" si="60">H267+H273</f>
        <v>0</v>
      </c>
      <c r="I261" s="107">
        <f t="shared" si="60"/>
        <v>0</v>
      </c>
      <c r="J261" s="107">
        <f t="shared" si="60"/>
        <v>2608.4</v>
      </c>
      <c r="K261" s="107">
        <f t="shared" si="60"/>
        <v>2571.3150000000001</v>
      </c>
      <c r="L261" s="107">
        <f t="shared" si="60"/>
        <v>710.24</v>
      </c>
      <c r="M261" s="107">
        <f t="shared" si="60"/>
        <v>435.7</v>
      </c>
      <c r="N261" s="107">
        <f t="shared" si="60"/>
        <v>151.56</v>
      </c>
      <c r="O261" s="107">
        <f t="shared" si="60"/>
        <v>105.6</v>
      </c>
      <c r="P261" s="107">
        <f t="shared" si="60"/>
        <v>154.83000000000001</v>
      </c>
      <c r="Q261" s="107">
        <f t="shared" si="60"/>
        <v>261.69</v>
      </c>
      <c r="R261" s="107">
        <f t="shared" si="60"/>
        <v>55.4</v>
      </c>
      <c r="S261" s="107">
        <f t="shared" si="60"/>
        <v>11.898</v>
      </c>
      <c r="T261" s="107">
        <f t="shared" si="60"/>
        <v>0</v>
      </c>
      <c r="U261" s="107">
        <f t="shared" si="60"/>
        <v>0</v>
      </c>
      <c r="V261" s="107">
        <f t="shared" si="60"/>
        <v>3289.1</v>
      </c>
      <c r="W261" s="107">
        <f t="shared" si="60"/>
        <v>0</v>
      </c>
      <c r="X261" s="107">
        <f t="shared" si="60"/>
        <v>55.4</v>
      </c>
      <c r="Y261" s="107">
        <f t="shared" si="60"/>
        <v>0</v>
      </c>
      <c r="Z261" s="107">
        <f t="shared" si="60"/>
        <v>0</v>
      </c>
      <c r="AA261" s="107">
        <f t="shared" si="60"/>
        <v>0</v>
      </c>
      <c r="AB261" s="107">
        <f t="shared" si="60"/>
        <v>23.7</v>
      </c>
      <c r="AC261" s="107">
        <f t="shared" si="60"/>
        <v>0</v>
      </c>
      <c r="AD261" s="107">
        <f t="shared" si="60"/>
        <v>8.1999999999999993</v>
      </c>
      <c r="AE261" s="107">
        <f t="shared" si="60"/>
        <v>0</v>
      </c>
      <c r="AF261" s="101"/>
      <c r="AG261" s="102">
        <f t="shared" si="48"/>
        <v>6.3948846218409017E-13</v>
      </c>
    </row>
    <row r="262" spans="1:33" x14ac:dyDescent="0.3">
      <c r="A262" s="146" t="s">
        <v>170</v>
      </c>
      <c r="B262" s="107"/>
      <c r="C262" s="107"/>
      <c r="D262" s="107"/>
      <c r="E262" s="107"/>
      <c r="F262" s="107"/>
      <c r="G262" s="107"/>
      <c r="H262" s="107"/>
      <c r="I262" s="107"/>
      <c r="J262" s="107"/>
      <c r="K262" s="107"/>
      <c r="L262" s="107"/>
      <c r="M262" s="107"/>
      <c r="N262" s="107"/>
      <c r="O262" s="107"/>
      <c r="P262" s="107"/>
      <c r="Q262" s="107"/>
      <c r="R262" s="107"/>
      <c r="S262" s="107"/>
      <c r="T262" s="107"/>
      <c r="U262" s="107"/>
      <c r="V262" s="107"/>
      <c r="W262" s="107"/>
      <c r="X262" s="107"/>
      <c r="Y262" s="107"/>
      <c r="Z262" s="107"/>
      <c r="AA262" s="107"/>
      <c r="AB262" s="107"/>
      <c r="AC262" s="107"/>
      <c r="AD262" s="107"/>
      <c r="AE262" s="107"/>
      <c r="AF262" s="101"/>
      <c r="AG262" s="102">
        <f t="shared" si="48"/>
        <v>0</v>
      </c>
    </row>
    <row r="263" spans="1:33" ht="409.5" x14ac:dyDescent="0.3">
      <c r="A263" s="88" t="s">
        <v>215</v>
      </c>
      <c r="B263" s="116"/>
      <c r="C263" s="123"/>
      <c r="D263" s="123"/>
      <c r="E263" s="123"/>
      <c r="F263" s="123"/>
      <c r="G263" s="123"/>
      <c r="H263" s="111"/>
      <c r="I263" s="111"/>
      <c r="J263" s="111"/>
      <c r="K263" s="111"/>
      <c r="L263" s="111"/>
      <c r="M263" s="111"/>
      <c r="N263" s="111"/>
      <c r="O263" s="111"/>
      <c r="P263" s="111"/>
      <c r="Q263" s="111"/>
      <c r="R263" s="111"/>
      <c r="S263" s="111"/>
      <c r="T263" s="111"/>
      <c r="U263" s="111"/>
      <c r="V263" s="111"/>
      <c r="W263" s="111"/>
      <c r="X263" s="111"/>
      <c r="Y263" s="111"/>
      <c r="Z263" s="111"/>
      <c r="AA263" s="111"/>
      <c r="AB263" s="111"/>
      <c r="AC263" s="111"/>
      <c r="AD263" s="111"/>
      <c r="AE263" s="111"/>
      <c r="AF263" s="854" t="s">
        <v>572</v>
      </c>
      <c r="AG263" s="102">
        <f t="shared" si="48"/>
        <v>0</v>
      </c>
    </row>
    <row r="264" spans="1:33" x14ac:dyDescent="0.3">
      <c r="A264" s="11" t="s">
        <v>31</v>
      </c>
      <c r="B264" s="647">
        <f>B266+B267+B265+B268</f>
        <v>7056.83</v>
      </c>
      <c r="C264" s="113">
        <f>C266+C267+C265+C268</f>
        <v>3470.2000000000003</v>
      </c>
      <c r="D264" s="113">
        <f>D266+D267+D265+D268</f>
        <v>3386.203</v>
      </c>
      <c r="E264" s="113">
        <f>E266+E267+E265+E268</f>
        <v>3386.203</v>
      </c>
      <c r="F264" s="113">
        <f>IFERROR(E264/B264*100,0)</f>
        <v>47.984760862880357</v>
      </c>
      <c r="G264" s="113">
        <f>IFERROR(E264/C264*100,0)</f>
        <v>97.579476687222638</v>
      </c>
      <c r="H264" s="113">
        <f t="shared" ref="H264:AE264" si="61">H266+H267+H265+H268</f>
        <v>0</v>
      </c>
      <c r="I264" s="113">
        <f t="shared" si="61"/>
        <v>0</v>
      </c>
      <c r="J264" s="113">
        <f t="shared" si="61"/>
        <v>2608.4</v>
      </c>
      <c r="K264" s="113">
        <f t="shared" si="61"/>
        <v>2571.3150000000001</v>
      </c>
      <c r="L264" s="113">
        <f t="shared" si="61"/>
        <v>710.24</v>
      </c>
      <c r="M264" s="113">
        <f t="shared" si="61"/>
        <v>435.7</v>
      </c>
      <c r="N264" s="113">
        <f t="shared" si="61"/>
        <v>151.56</v>
      </c>
      <c r="O264" s="113">
        <f t="shared" si="61"/>
        <v>105.6</v>
      </c>
      <c r="P264" s="113">
        <f t="shared" si="61"/>
        <v>154.83000000000001</v>
      </c>
      <c r="Q264" s="113">
        <f t="shared" si="61"/>
        <v>261.69</v>
      </c>
      <c r="R264" s="113">
        <f t="shared" si="61"/>
        <v>55.4</v>
      </c>
      <c r="S264" s="113">
        <f t="shared" si="61"/>
        <v>11.898</v>
      </c>
      <c r="T264" s="113">
        <f t="shared" si="61"/>
        <v>0</v>
      </c>
      <c r="U264" s="113">
        <f t="shared" si="61"/>
        <v>0</v>
      </c>
      <c r="V264" s="113">
        <f t="shared" si="61"/>
        <v>3289.1</v>
      </c>
      <c r="W264" s="113">
        <f t="shared" si="61"/>
        <v>0</v>
      </c>
      <c r="X264" s="113">
        <f t="shared" si="61"/>
        <v>55.4</v>
      </c>
      <c r="Y264" s="113">
        <f t="shared" si="61"/>
        <v>0</v>
      </c>
      <c r="Z264" s="113">
        <f t="shared" si="61"/>
        <v>0</v>
      </c>
      <c r="AA264" s="113">
        <f t="shared" si="61"/>
        <v>0</v>
      </c>
      <c r="AB264" s="113">
        <f t="shared" si="61"/>
        <v>23.7</v>
      </c>
      <c r="AC264" s="113">
        <f t="shared" si="61"/>
        <v>0</v>
      </c>
      <c r="AD264" s="113">
        <f t="shared" si="61"/>
        <v>8.1999999999999993</v>
      </c>
      <c r="AE264" s="113">
        <f t="shared" si="61"/>
        <v>0</v>
      </c>
      <c r="AF264" s="29"/>
      <c r="AG264" s="102">
        <f t="shared" si="48"/>
        <v>6.3948846218409017E-13</v>
      </c>
    </row>
    <row r="265" spans="1:33" x14ac:dyDescent="0.3">
      <c r="A265" s="7" t="s">
        <v>169</v>
      </c>
      <c r="B265" s="116"/>
      <c r="C265" s="117"/>
      <c r="D265" s="118"/>
      <c r="E265" s="117"/>
      <c r="F265" s="116"/>
      <c r="G265" s="116"/>
      <c r="H265" s="111"/>
      <c r="I265" s="111"/>
      <c r="J265" s="111"/>
      <c r="K265" s="111"/>
      <c r="L265" s="111"/>
      <c r="M265" s="111"/>
      <c r="N265" s="111"/>
      <c r="O265" s="111"/>
      <c r="P265" s="111"/>
      <c r="Q265" s="111"/>
      <c r="R265" s="111"/>
      <c r="S265" s="111"/>
      <c r="T265" s="111"/>
      <c r="U265" s="111"/>
      <c r="V265" s="111"/>
      <c r="W265" s="111"/>
      <c r="X265" s="111"/>
      <c r="Y265" s="111"/>
      <c r="Z265" s="111"/>
      <c r="AA265" s="111"/>
      <c r="AB265" s="111"/>
      <c r="AC265" s="111"/>
      <c r="AD265" s="111"/>
      <c r="AE265" s="111"/>
      <c r="AF265" s="29"/>
      <c r="AG265" s="102">
        <f t="shared" si="48"/>
        <v>0</v>
      </c>
    </row>
    <row r="266" spans="1:33" x14ac:dyDescent="0.3">
      <c r="A266" s="147" t="s">
        <v>32</v>
      </c>
      <c r="B266" s="116"/>
      <c r="C266" s="117"/>
      <c r="D266" s="118"/>
      <c r="E266" s="117"/>
      <c r="F266" s="116"/>
      <c r="G266" s="116"/>
      <c r="H266" s="111"/>
      <c r="I266" s="111"/>
      <c r="J266" s="111"/>
      <c r="K266" s="111"/>
      <c r="L266" s="111"/>
      <c r="M266" s="111"/>
      <c r="N266" s="111"/>
      <c r="O266" s="111"/>
      <c r="P266" s="111"/>
      <c r="Q266" s="111"/>
      <c r="R266" s="111"/>
      <c r="S266" s="111"/>
      <c r="T266" s="111"/>
      <c r="U266" s="111"/>
      <c r="V266" s="111"/>
      <c r="W266" s="111"/>
      <c r="X266" s="111"/>
      <c r="Y266" s="111"/>
      <c r="Z266" s="111"/>
      <c r="AA266" s="111"/>
      <c r="AB266" s="111"/>
      <c r="AC266" s="111"/>
      <c r="AD266" s="111"/>
      <c r="AE266" s="111"/>
      <c r="AF266" s="29"/>
      <c r="AG266" s="102">
        <f t="shared" si="48"/>
        <v>0</v>
      </c>
    </row>
    <row r="267" spans="1:33" x14ac:dyDescent="0.3">
      <c r="A267" s="147" t="s">
        <v>33</v>
      </c>
      <c r="B267" s="116">
        <f>J267+L267+N267+P267+R267+T267+V267+X267+Z267+AB267+AD267+H267</f>
        <v>7056.83</v>
      </c>
      <c r="C267" s="117">
        <f>SUM(H267+J267+L267+N267)</f>
        <v>3470.2000000000003</v>
      </c>
      <c r="D267" s="118">
        <f>E267</f>
        <v>3386.203</v>
      </c>
      <c r="E267" s="117">
        <f>SUM(I267,K267,M267,O267,Q267,S267,U267,W267,Y267,AA267,AC267,AE267)</f>
        <v>3386.203</v>
      </c>
      <c r="F267" s="116">
        <f>IFERROR(E267/B267*100,0)</f>
        <v>47.984760862880357</v>
      </c>
      <c r="G267" s="116">
        <f>IFERROR(E267/C267*100,0)</f>
        <v>97.579476687222638</v>
      </c>
      <c r="H267" s="111">
        <v>0</v>
      </c>
      <c r="I267" s="111">
        <v>0</v>
      </c>
      <c r="J267" s="111">
        <v>2608.4</v>
      </c>
      <c r="K267" s="111">
        <v>2571.3150000000001</v>
      </c>
      <c r="L267" s="111">
        <v>710.24</v>
      </c>
      <c r="M267" s="111">
        <v>435.7</v>
      </c>
      <c r="N267" s="111">
        <v>151.56</v>
      </c>
      <c r="O267" s="111">
        <v>105.6</v>
      </c>
      <c r="P267" s="111">
        <v>154.83000000000001</v>
      </c>
      <c r="Q267" s="111">
        <v>261.69</v>
      </c>
      <c r="R267" s="111">
        <v>55.4</v>
      </c>
      <c r="S267" s="111">
        <v>11.898</v>
      </c>
      <c r="T267" s="111"/>
      <c r="U267" s="111"/>
      <c r="V267" s="111">
        <v>3289.1</v>
      </c>
      <c r="W267" s="111"/>
      <c r="X267" s="111">
        <v>55.4</v>
      </c>
      <c r="Y267" s="111"/>
      <c r="Z267" s="111"/>
      <c r="AA267" s="111"/>
      <c r="AB267" s="111">
        <v>23.7</v>
      </c>
      <c r="AC267" s="111"/>
      <c r="AD267" s="111">
        <v>8.1999999999999993</v>
      </c>
      <c r="AE267" s="111"/>
      <c r="AF267" s="29"/>
      <c r="AG267" s="102">
        <f t="shared" si="48"/>
        <v>6.3948846218409017E-13</v>
      </c>
    </row>
    <row r="268" spans="1:33" x14ac:dyDescent="0.3">
      <c r="A268" s="7" t="s">
        <v>170</v>
      </c>
      <c r="B268" s="116"/>
      <c r="C268" s="117"/>
      <c r="D268" s="118"/>
      <c r="E268" s="117"/>
      <c r="F268" s="116"/>
      <c r="G268" s="116"/>
      <c r="H268" s="111"/>
      <c r="I268" s="111"/>
      <c r="J268" s="111"/>
      <c r="K268" s="111"/>
      <c r="L268" s="111"/>
      <c r="M268" s="111"/>
      <c r="N268" s="111"/>
      <c r="O268" s="111"/>
      <c r="P268" s="111"/>
      <c r="Q268" s="111"/>
      <c r="R268" s="111"/>
      <c r="S268" s="111"/>
      <c r="T268" s="111"/>
      <c r="U268" s="111"/>
      <c r="V268" s="111"/>
      <c r="W268" s="111"/>
      <c r="X268" s="111"/>
      <c r="Y268" s="111"/>
      <c r="Z268" s="111"/>
      <c r="AA268" s="111"/>
      <c r="AB268" s="111"/>
      <c r="AC268" s="111"/>
      <c r="AD268" s="111"/>
      <c r="AE268" s="111"/>
      <c r="AF268" s="29"/>
      <c r="AG268" s="102">
        <f t="shared" si="48"/>
        <v>0</v>
      </c>
    </row>
    <row r="269" spans="1:33" ht="41.25" customHeight="1" x14ac:dyDescent="0.3">
      <c r="A269" s="88" t="s">
        <v>216</v>
      </c>
      <c r="B269" s="116"/>
      <c r="C269" s="123"/>
      <c r="D269" s="123"/>
      <c r="E269" s="123"/>
      <c r="F269" s="123"/>
      <c r="G269" s="123"/>
      <c r="H269" s="111"/>
      <c r="I269" s="111"/>
      <c r="J269" s="111"/>
      <c r="K269" s="111"/>
      <c r="L269" s="111"/>
      <c r="M269" s="111"/>
      <c r="N269" s="111"/>
      <c r="O269" s="111"/>
      <c r="P269" s="111"/>
      <c r="Q269" s="111"/>
      <c r="R269" s="111"/>
      <c r="S269" s="111"/>
      <c r="T269" s="111"/>
      <c r="U269" s="111"/>
      <c r="V269" s="111"/>
      <c r="W269" s="111"/>
      <c r="X269" s="111"/>
      <c r="Y269" s="111"/>
      <c r="Z269" s="111"/>
      <c r="AA269" s="111"/>
      <c r="AB269" s="111"/>
      <c r="AC269" s="111"/>
      <c r="AD269" s="111"/>
      <c r="AE269" s="111"/>
      <c r="AF269" s="29"/>
      <c r="AG269" s="102">
        <f t="shared" ref="AG269:AG296" si="62">B269-H269-J269-L269-N269-P269-R269-T269-V269-X269-Z269-AB269-AD269</f>
        <v>0</v>
      </c>
    </row>
    <row r="270" spans="1:33" x14ac:dyDescent="0.3">
      <c r="A270" s="11" t="s">
        <v>31</v>
      </c>
      <c r="B270" s="647">
        <f>B272+B273+B271+B274</f>
        <v>0</v>
      </c>
      <c r="C270" s="647">
        <f>C272+C273+C271+C274</f>
        <v>0</v>
      </c>
      <c r="D270" s="113">
        <f>D272+D273+D271+D274</f>
        <v>0</v>
      </c>
      <c r="E270" s="113">
        <f>E272+E273+E271+E274</f>
        <v>0</v>
      </c>
      <c r="F270" s="113">
        <f>IFERROR(E270/B270*100,0)</f>
        <v>0</v>
      </c>
      <c r="G270" s="113">
        <f>IFERROR(E270/C270*100,0)</f>
        <v>0</v>
      </c>
      <c r="H270" s="113">
        <f t="shared" ref="H270:AE270" si="63">H272+H273+H271+H274</f>
        <v>0</v>
      </c>
      <c r="I270" s="113">
        <f t="shared" si="63"/>
        <v>0</v>
      </c>
      <c r="J270" s="113">
        <f t="shared" si="63"/>
        <v>0</v>
      </c>
      <c r="K270" s="113">
        <f t="shared" si="63"/>
        <v>0</v>
      </c>
      <c r="L270" s="113">
        <f t="shared" si="63"/>
        <v>0</v>
      </c>
      <c r="M270" s="113">
        <f t="shared" si="63"/>
        <v>0</v>
      </c>
      <c r="N270" s="113">
        <f t="shared" si="63"/>
        <v>0</v>
      </c>
      <c r="O270" s="113">
        <f t="shared" si="63"/>
        <v>0</v>
      </c>
      <c r="P270" s="113">
        <f t="shared" si="63"/>
        <v>0</v>
      </c>
      <c r="Q270" s="113">
        <f t="shared" si="63"/>
        <v>0</v>
      </c>
      <c r="R270" s="113">
        <f t="shared" si="63"/>
        <v>0</v>
      </c>
      <c r="S270" s="113">
        <f t="shared" si="63"/>
        <v>0</v>
      </c>
      <c r="T270" s="113">
        <f t="shared" si="63"/>
        <v>0</v>
      </c>
      <c r="U270" s="113">
        <f t="shared" si="63"/>
        <v>0</v>
      </c>
      <c r="V270" s="113">
        <f t="shared" si="63"/>
        <v>0</v>
      </c>
      <c r="W270" s="113">
        <f t="shared" si="63"/>
        <v>0</v>
      </c>
      <c r="X270" s="113">
        <f t="shared" si="63"/>
        <v>0</v>
      </c>
      <c r="Y270" s="113">
        <f t="shared" si="63"/>
        <v>0</v>
      </c>
      <c r="Z270" s="113">
        <f t="shared" si="63"/>
        <v>0</v>
      </c>
      <c r="AA270" s="113">
        <f t="shared" si="63"/>
        <v>0</v>
      </c>
      <c r="AB270" s="113">
        <f t="shared" si="63"/>
        <v>0</v>
      </c>
      <c r="AC270" s="113">
        <f t="shared" si="63"/>
        <v>0</v>
      </c>
      <c r="AD270" s="113">
        <f t="shared" si="63"/>
        <v>0</v>
      </c>
      <c r="AE270" s="113">
        <f t="shared" si="63"/>
        <v>0</v>
      </c>
      <c r="AF270" s="29"/>
      <c r="AG270" s="102">
        <f t="shared" si="62"/>
        <v>0</v>
      </c>
    </row>
    <row r="271" spans="1:33" x14ac:dyDescent="0.3">
      <c r="A271" s="7" t="s">
        <v>169</v>
      </c>
      <c r="B271" s="116"/>
      <c r="C271" s="117"/>
      <c r="D271" s="118"/>
      <c r="E271" s="117"/>
      <c r="F271" s="116"/>
      <c r="G271" s="116"/>
      <c r="H271" s="111"/>
      <c r="I271" s="111"/>
      <c r="J271" s="111"/>
      <c r="K271" s="111"/>
      <c r="L271" s="111"/>
      <c r="M271" s="111"/>
      <c r="N271" s="111"/>
      <c r="O271" s="111"/>
      <c r="P271" s="111"/>
      <c r="Q271" s="111"/>
      <c r="R271" s="111"/>
      <c r="S271" s="111"/>
      <c r="T271" s="111"/>
      <c r="U271" s="111"/>
      <c r="V271" s="111"/>
      <c r="W271" s="111"/>
      <c r="X271" s="111"/>
      <c r="Y271" s="111"/>
      <c r="Z271" s="111"/>
      <c r="AA271" s="111"/>
      <c r="AB271" s="111"/>
      <c r="AC271" s="111"/>
      <c r="AD271" s="111"/>
      <c r="AE271" s="111"/>
      <c r="AF271" s="29"/>
      <c r="AG271" s="102">
        <f t="shared" si="62"/>
        <v>0</v>
      </c>
    </row>
    <row r="272" spans="1:33" x14ac:dyDescent="0.3">
      <c r="A272" s="147" t="s">
        <v>32</v>
      </c>
      <c r="B272" s="116"/>
      <c r="C272" s="117"/>
      <c r="D272" s="118"/>
      <c r="E272" s="117"/>
      <c r="F272" s="116"/>
      <c r="G272" s="116"/>
      <c r="H272" s="111"/>
      <c r="I272" s="111"/>
      <c r="J272" s="111"/>
      <c r="K272" s="111"/>
      <c r="L272" s="111"/>
      <c r="M272" s="111"/>
      <c r="N272" s="111"/>
      <c r="O272" s="111"/>
      <c r="P272" s="111"/>
      <c r="Q272" s="111"/>
      <c r="R272" s="111"/>
      <c r="S272" s="111"/>
      <c r="T272" s="111"/>
      <c r="U272" s="111"/>
      <c r="V272" s="111"/>
      <c r="W272" s="111"/>
      <c r="X272" s="111"/>
      <c r="Y272" s="111"/>
      <c r="Z272" s="111"/>
      <c r="AA272" s="111"/>
      <c r="AB272" s="111"/>
      <c r="AC272" s="111"/>
      <c r="AD272" s="111"/>
      <c r="AE272" s="111"/>
      <c r="AF272" s="29"/>
      <c r="AG272" s="102">
        <f t="shared" si="62"/>
        <v>0</v>
      </c>
    </row>
    <row r="273" spans="1:33" x14ac:dyDescent="0.3">
      <c r="A273" s="147" t="s">
        <v>33</v>
      </c>
      <c r="B273" s="116">
        <f>J273+L273+N273+P273+R273+T273+V273+X273+Z273+AB273+AD273+H273</f>
        <v>0</v>
      </c>
      <c r="C273" s="117">
        <f>SUM(H273)</f>
        <v>0</v>
      </c>
      <c r="D273" s="118">
        <f>E273</f>
        <v>0</v>
      </c>
      <c r="E273" s="117">
        <f>SUM(I273,K273,M273,O273,Q273,S273,U273,W273,Y273,AA273,AC273,AE273)</f>
        <v>0</v>
      </c>
      <c r="F273" s="116">
        <f>IFERROR(E273/B273*100,0)</f>
        <v>0</v>
      </c>
      <c r="G273" s="116">
        <f>IFERROR(E273/C273*100,0)</f>
        <v>0</v>
      </c>
      <c r="H273" s="111">
        <v>0</v>
      </c>
      <c r="I273" s="111">
        <v>0</v>
      </c>
      <c r="J273" s="111">
        <v>0</v>
      </c>
      <c r="K273" s="111">
        <v>0</v>
      </c>
      <c r="L273" s="111">
        <v>0</v>
      </c>
      <c r="M273" s="111">
        <v>0</v>
      </c>
      <c r="N273" s="111">
        <v>0</v>
      </c>
      <c r="O273" s="111">
        <v>0</v>
      </c>
      <c r="P273" s="111">
        <v>0</v>
      </c>
      <c r="Q273" s="111">
        <v>0</v>
      </c>
      <c r="R273" s="111">
        <v>0</v>
      </c>
      <c r="S273" s="111">
        <v>0</v>
      </c>
      <c r="T273" s="111"/>
      <c r="U273" s="111"/>
      <c r="V273" s="111"/>
      <c r="W273" s="111"/>
      <c r="X273" s="111"/>
      <c r="Y273" s="111"/>
      <c r="Z273" s="111">
        <v>0</v>
      </c>
      <c r="AA273" s="111"/>
      <c r="AB273" s="111"/>
      <c r="AC273" s="111"/>
      <c r="AD273" s="111"/>
      <c r="AE273" s="111"/>
      <c r="AF273" s="29"/>
      <c r="AG273" s="102">
        <f t="shared" si="62"/>
        <v>0</v>
      </c>
    </row>
    <row r="274" spans="1:33" x14ac:dyDescent="0.3">
      <c r="A274" s="7" t="s">
        <v>170</v>
      </c>
      <c r="B274" s="116"/>
      <c r="C274" s="117"/>
      <c r="D274" s="118"/>
      <c r="E274" s="117"/>
      <c r="F274" s="116"/>
      <c r="G274" s="116"/>
      <c r="H274" s="111"/>
      <c r="I274" s="111"/>
      <c r="J274" s="111"/>
      <c r="K274" s="111"/>
      <c r="L274" s="111"/>
      <c r="M274" s="111"/>
      <c r="N274" s="111"/>
      <c r="O274" s="111"/>
      <c r="P274" s="111"/>
      <c r="Q274" s="111"/>
      <c r="R274" s="111"/>
      <c r="S274" s="111"/>
      <c r="T274" s="111"/>
      <c r="U274" s="111"/>
      <c r="V274" s="111"/>
      <c r="W274" s="111"/>
      <c r="X274" s="111"/>
      <c r="Y274" s="111"/>
      <c r="Z274" s="111"/>
      <c r="AA274" s="111"/>
      <c r="AB274" s="111"/>
      <c r="AC274" s="111"/>
      <c r="AD274" s="111"/>
      <c r="AE274" s="111"/>
      <c r="AF274" s="29"/>
      <c r="AG274" s="102">
        <f t="shared" si="62"/>
        <v>0</v>
      </c>
    </row>
    <row r="275" spans="1:33" x14ac:dyDescent="0.3">
      <c r="A275" s="148" t="s">
        <v>217</v>
      </c>
      <c r="B275" s="149">
        <f>B276+B277+B278+B279</f>
        <v>516236.50400000007</v>
      </c>
      <c r="C275" s="149">
        <f>C276+C277+C278</f>
        <v>160035.30500000005</v>
      </c>
      <c r="D275" s="149">
        <f>D276+D277+D278</f>
        <v>216283.59616000002</v>
      </c>
      <c r="E275" s="149">
        <f>E276+E277+E278</f>
        <v>216189.97216</v>
      </c>
      <c r="F275" s="149">
        <f t="shared" ref="F275:F291" si="64">IFERROR(E275/B275*100,0)</f>
        <v>41.878086978521765</v>
      </c>
      <c r="G275" s="149">
        <f t="shared" ref="G275:G291" si="65">IFERROR(E275/C275*100,0)</f>
        <v>135.08892438452872</v>
      </c>
      <c r="H275" s="149">
        <f t="shared" ref="H275:AE275" si="66">H276+H277+H278+H279</f>
        <v>32995.699999999997</v>
      </c>
      <c r="I275" s="149">
        <f t="shared" si="66"/>
        <v>20436.099000000002</v>
      </c>
      <c r="J275" s="149">
        <f t="shared" si="66"/>
        <v>44891.183999999994</v>
      </c>
      <c r="K275" s="149">
        <f t="shared" si="66"/>
        <v>34681.274999999994</v>
      </c>
      <c r="L275" s="149">
        <f t="shared" si="66"/>
        <v>36327.866000000009</v>
      </c>
      <c r="M275" s="149">
        <f t="shared" si="66"/>
        <v>30773.211999999996</v>
      </c>
      <c r="N275" s="149">
        <f t="shared" si="66"/>
        <v>45619.455000000002</v>
      </c>
      <c r="O275" s="149">
        <f t="shared" si="66"/>
        <v>33197.404000000002</v>
      </c>
      <c r="P275" s="149">
        <f t="shared" si="66"/>
        <v>61194.959000000003</v>
      </c>
      <c r="Q275" s="149">
        <f t="shared" si="66"/>
        <v>36359.27016</v>
      </c>
      <c r="R275" s="149">
        <f t="shared" si="66"/>
        <v>46150.245999999999</v>
      </c>
      <c r="S275" s="149">
        <f t="shared" si="66"/>
        <v>60889.536</v>
      </c>
      <c r="T275" s="149">
        <f t="shared" si="66"/>
        <v>52970.154000000002</v>
      </c>
      <c r="U275" s="149">
        <f t="shared" si="66"/>
        <v>0</v>
      </c>
      <c r="V275" s="149">
        <f t="shared" si="66"/>
        <v>38300.198000000004</v>
      </c>
      <c r="W275" s="149">
        <f t="shared" si="66"/>
        <v>0</v>
      </c>
      <c r="X275" s="149">
        <f t="shared" si="66"/>
        <v>35657.267999999996</v>
      </c>
      <c r="Y275" s="149">
        <f t="shared" si="66"/>
        <v>0</v>
      </c>
      <c r="Z275" s="149">
        <f t="shared" si="66"/>
        <v>40028.76</v>
      </c>
      <c r="AA275" s="149">
        <f t="shared" si="66"/>
        <v>0</v>
      </c>
      <c r="AB275" s="149">
        <f t="shared" si="66"/>
        <v>33605.549000000006</v>
      </c>
      <c r="AC275" s="149">
        <f t="shared" si="66"/>
        <v>0</v>
      </c>
      <c r="AD275" s="149">
        <f t="shared" si="66"/>
        <v>48495.164999999994</v>
      </c>
      <c r="AE275" s="149">
        <f t="shared" si="66"/>
        <v>0</v>
      </c>
      <c r="AF275" s="149"/>
      <c r="AG275" s="102">
        <f t="shared" si="62"/>
        <v>9.4587448984384537E-11</v>
      </c>
    </row>
    <row r="276" spans="1:33" x14ac:dyDescent="0.3">
      <c r="A276" s="150" t="s">
        <v>169</v>
      </c>
      <c r="B276" s="151">
        <f t="shared" ref="B276:E279" si="67">B26+B65+B101+B146+B183+B221+B239+B251+B259+B139+B125+B19+B13</f>
        <v>105.21</v>
      </c>
      <c r="C276" s="151">
        <f t="shared" si="67"/>
        <v>105.1</v>
      </c>
      <c r="D276" s="151">
        <f t="shared" si="67"/>
        <v>105.21</v>
      </c>
      <c r="E276" s="151">
        <f t="shared" si="67"/>
        <v>105.21</v>
      </c>
      <c r="F276" s="151">
        <f t="shared" si="64"/>
        <v>100</v>
      </c>
      <c r="G276" s="151">
        <f t="shared" si="65"/>
        <v>100.104662226451</v>
      </c>
      <c r="H276" s="151">
        <f t="shared" ref="H276:AE276" si="68">H26+H65+H101+H146+H183+H221+H239+H251+H259+H139+H125+H19+H13</f>
        <v>0</v>
      </c>
      <c r="I276" s="151">
        <f t="shared" si="68"/>
        <v>0</v>
      </c>
      <c r="J276" s="151">
        <f t="shared" si="68"/>
        <v>0</v>
      </c>
      <c r="K276" s="151">
        <f t="shared" si="68"/>
        <v>0</v>
      </c>
      <c r="L276" s="151">
        <f t="shared" si="68"/>
        <v>0</v>
      </c>
      <c r="M276" s="151">
        <f t="shared" si="68"/>
        <v>0</v>
      </c>
      <c r="N276" s="151">
        <f t="shared" si="68"/>
        <v>0</v>
      </c>
      <c r="O276" s="151">
        <f t="shared" si="68"/>
        <v>0</v>
      </c>
      <c r="P276" s="151">
        <f t="shared" si="68"/>
        <v>0</v>
      </c>
      <c r="Q276" s="151">
        <f t="shared" si="68"/>
        <v>0</v>
      </c>
      <c r="R276" s="151">
        <f t="shared" si="68"/>
        <v>105.21</v>
      </c>
      <c r="S276" s="151">
        <f t="shared" si="68"/>
        <v>105.21</v>
      </c>
      <c r="T276" s="151">
        <f t="shared" si="68"/>
        <v>0</v>
      </c>
      <c r="U276" s="151">
        <f t="shared" si="68"/>
        <v>0</v>
      </c>
      <c r="V276" s="151">
        <f t="shared" si="68"/>
        <v>0</v>
      </c>
      <c r="W276" s="151">
        <f t="shared" si="68"/>
        <v>0</v>
      </c>
      <c r="X276" s="151">
        <f t="shared" si="68"/>
        <v>0</v>
      </c>
      <c r="Y276" s="151">
        <f t="shared" si="68"/>
        <v>0</v>
      </c>
      <c r="Z276" s="151">
        <f t="shared" si="68"/>
        <v>0</v>
      </c>
      <c r="AA276" s="151">
        <f t="shared" si="68"/>
        <v>0</v>
      </c>
      <c r="AB276" s="151">
        <f t="shared" si="68"/>
        <v>0</v>
      </c>
      <c r="AC276" s="151">
        <f t="shared" si="68"/>
        <v>0</v>
      </c>
      <c r="AD276" s="151">
        <f t="shared" si="68"/>
        <v>0</v>
      </c>
      <c r="AE276" s="151">
        <f t="shared" si="68"/>
        <v>0</v>
      </c>
      <c r="AF276" s="151"/>
      <c r="AG276" s="102">
        <f t="shared" si="62"/>
        <v>0</v>
      </c>
    </row>
    <row r="277" spans="1:33" x14ac:dyDescent="0.3">
      <c r="A277" s="150" t="s">
        <v>32</v>
      </c>
      <c r="B277" s="151">
        <f t="shared" si="67"/>
        <v>593.69000000000005</v>
      </c>
      <c r="C277" s="151">
        <f t="shared" si="67"/>
        <v>21.6</v>
      </c>
      <c r="D277" s="151">
        <f t="shared" si="67"/>
        <v>300.65999999999997</v>
      </c>
      <c r="E277" s="151">
        <f t="shared" si="67"/>
        <v>300.65999999999997</v>
      </c>
      <c r="F277" s="151">
        <f t="shared" si="64"/>
        <v>50.642591251326444</v>
      </c>
      <c r="G277" s="151">
        <f t="shared" si="65"/>
        <v>1391.9444444444443</v>
      </c>
      <c r="H277" s="151">
        <f t="shared" ref="H277:AE277" si="69">H27+H66+H102+H147+H184+H222+H240+H252+H260+H140+H126+H20+H14</f>
        <v>0</v>
      </c>
      <c r="I277" s="151">
        <f t="shared" si="69"/>
        <v>0</v>
      </c>
      <c r="J277" s="151">
        <f t="shared" si="69"/>
        <v>0</v>
      </c>
      <c r="K277" s="151">
        <f t="shared" si="69"/>
        <v>0</v>
      </c>
      <c r="L277" s="151">
        <f t="shared" si="69"/>
        <v>10.8</v>
      </c>
      <c r="M277" s="151">
        <f t="shared" si="69"/>
        <v>10.8</v>
      </c>
      <c r="N277" s="151">
        <f t="shared" si="69"/>
        <v>19.899999999999999</v>
      </c>
      <c r="O277" s="151">
        <f t="shared" si="69"/>
        <v>19.899999999999999</v>
      </c>
      <c r="P277" s="151">
        <f t="shared" si="69"/>
        <v>118.57</v>
      </c>
      <c r="Q277" s="151">
        <f t="shared" si="69"/>
        <v>118.57</v>
      </c>
      <c r="R277" s="151">
        <f t="shared" si="69"/>
        <v>151.39000000000001</v>
      </c>
      <c r="S277" s="151">
        <f t="shared" si="69"/>
        <v>151.39000000000001</v>
      </c>
      <c r="T277" s="151">
        <f t="shared" si="69"/>
        <v>22.8</v>
      </c>
      <c r="U277" s="151">
        <f t="shared" si="69"/>
        <v>0</v>
      </c>
      <c r="V277" s="151">
        <f t="shared" si="69"/>
        <v>22.8</v>
      </c>
      <c r="W277" s="151">
        <f t="shared" si="69"/>
        <v>0</v>
      </c>
      <c r="X277" s="151">
        <f t="shared" si="69"/>
        <v>168.2</v>
      </c>
      <c r="Y277" s="151">
        <f t="shared" si="69"/>
        <v>0</v>
      </c>
      <c r="Z277" s="151">
        <f t="shared" si="69"/>
        <v>22.8</v>
      </c>
      <c r="AA277" s="151">
        <f t="shared" si="69"/>
        <v>0</v>
      </c>
      <c r="AB277" s="151">
        <f t="shared" si="69"/>
        <v>22.8</v>
      </c>
      <c r="AC277" s="151">
        <f t="shared" si="69"/>
        <v>0</v>
      </c>
      <c r="AD277" s="151">
        <f t="shared" si="69"/>
        <v>33.629999999999995</v>
      </c>
      <c r="AE277" s="151">
        <f t="shared" si="69"/>
        <v>0</v>
      </c>
      <c r="AF277" s="151"/>
      <c r="AG277" s="102">
        <f t="shared" si="62"/>
        <v>8.5265128291212022E-14</v>
      </c>
    </row>
    <row r="278" spans="1:33" x14ac:dyDescent="0.3">
      <c r="A278" s="150" t="s">
        <v>33</v>
      </c>
      <c r="B278" s="151">
        <f t="shared" si="67"/>
        <v>515537.60400000005</v>
      </c>
      <c r="C278" s="151">
        <f>C28+C67+C103+C148+C185+C223+C241+C253+C261+C141+C127+C21+C15</f>
        <v>159908.60500000004</v>
      </c>
      <c r="D278" s="151">
        <f t="shared" si="67"/>
        <v>215877.72616000002</v>
      </c>
      <c r="E278" s="151">
        <f t="shared" si="67"/>
        <v>215784.10216000001</v>
      </c>
      <c r="F278" s="151">
        <f t="shared" si="64"/>
        <v>41.856132411245014</v>
      </c>
      <c r="G278" s="151">
        <f t="shared" si="65"/>
        <v>134.94214533357973</v>
      </c>
      <c r="H278" s="151">
        <f t="shared" ref="H278:AE278" si="70">H28+H67+H103+H148+H185+H223+H241+H253+H261+H141+H127+H21+H15</f>
        <v>32995.699999999997</v>
      </c>
      <c r="I278" s="151">
        <f t="shared" si="70"/>
        <v>20436.099000000002</v>
      </c>
      <c r="J278" s="151">
        <f t="shared" si="70"/>
        <v>44891.183999999994</v>
      </c>
      <c r="K278" s="151">
        <f t="shared" si="70"/>
        <v>34681.274999999994</v>
      </c>
      <c r="L278" s="151">
        <f t="shared" si="70"/>
        <v>36317.066000000006</v>
      </c>
      <c r="M278" s="151">
        <f t="shared" si="70"/>
        <v>30762.411999999997</v>
      </c>
      <c r="N278" s="151">
        <f t="shared" si="70"/>
        <v>45599.555</v>
      </c>
      <c r="O278" s="151">
        <f t="shared" si="70"/>
        <v>33177.504000000001</v>
      </c>
      <c r="P278" s="151">
        <f t="shared" si="70"/>
        <v>61076.389000000003</v>
      </c>
      <c r="Q278" s="151">
        <f t="shared" si="70"/>
        <v>36229.500160000003</v>
      </c>
      <c r="R278" s="151">
        <f t="shared" si="70"/>
        <v>45893.646000000001</v>
      </c>
      <c r="S278" s="151">
        <f t="shared" si="70"/>
        <v>60590.936000000002</v>
      </c>
      <c r="T278" s="151">
        <f t="shared" si="70"/>
        <v>52947.353999999999</v>
      </c>
      <c r="U278" s="151">
        <f t="shared" si="70"/>
        <v>0</v>
      </c>
      <c r="V278" s="151">
        <f t="shared" si="70"/>
        <v>38277.398000000001</v>
      </c>
      <c r="W278" s="151">
        <f t="shared" si="70"/>
        <v>0</v>
      </c>
      <c r="X278" s="151">
        <f t="shared" si="70"/>
        <v>35489.067999999999</v>
      </c>
      <c r="Y278" s="151">
        <f t="shared" si="70"/>
        <v>0</v>
      </c>
      <c r="Z278" s="151">
        <f t="shared" si="70"/>
        <v>40005.96</v>
      </c>
      <c r="AA278" s="151">
        <f t="shared" si="70"/>
        <v>0</v>
      </c>
      <c r="AB278" s="151">
        <f t="shared" si="70"/>
        <v>33582.749000000003</v>
      </c>
      <c r="AC278" s="151">
        <f t="shared" si="70"/>
        <v>0</v>
      </c>
      <c r="AD278" s="151">
        <f t="shared" si="70"/>
        <v>48461.534999999996</v>
      </c>
      <c r="AE278" s="151">
        <f t="shared" si="70"/>
        <v>0</v>
      </c>
      <c r="AF278" s="151"/>
      <c r="AG278" s="102">
        <f t="shared" si="62"/>
        <v>0</v>
      </c>
    </row>
    <row r="279" spans="1:33" x14ac:dyDescent="0.3">
      <c r="A279" s="152" t="s">
        <v>170</v>
      </c>
      <c r="B279" s="151">
        <f t="shared" si="67"/>
        <v>0</v>
      </c>
      <c r="C279" s="151">
        <f t="shared" si="67"/>
        <v>105.1</v>
      </c>
      <c r="D279" s="151">
        <f t="shared" si="67"/>
        <v>0</v>
      </c>
      <c r="E279" s="151">
        <f t="shared" si="67"/>
        <v>93.623999999999995</v>
      </c>
      <c r="F279" s="151">
        <f t="shared" si="64"/>
        <v>0</v>
      </c>
      <c r="G279" s="151">
        <f t="shared" si="65"/>
        <v>89.080875356803048</v>
      </c>
      <c r="H279" s="151">
        <f t="shared" ref="H279:AE279" si="71">H29+H68+H104+H149+H186+H224+H242+H254+H262+H142+H128+H22+H16</f>
        <v>0</v>
      </c>
      <c r="I279" s="151">
        <f t="shared" si="71"/>
        <v>0</v>
      </c>
      <c r="J279" s="151">
        <f t="shared" si="71"/>
        <v>0</v>
      </c>
      <c r="K279" s="151">
        <f t="shared" si="71"/>
        <v>0</v>
      </c>
      <c r="L279" s="151">
        <f t="shared" si="71"/>
        <v>0</v>
      </c>
      <c r="M279" s="151">
        <f t="shared" si="71"/>
        <v>0</v>
      </c>
      <c r="N279" s="151">
        <f t="shared" si="71"/>
        <v>0</v>
      </c>
      <c r="O279" s="151">
        <f t="shared" si="71"/>
        <v>0</v>
      </c>
      <c r="P279" s="151">
        <f t="shared" si="71"/>
        <v>0</v>
      </c>
      <c r="Q279" s="151">
        <f t="shared" si="71"/>
        <v>11.2</v>
      </c>
      <c r="R279" s="151">
        <f t="shared" si="71"/>
        <v>0</v>
      </c>
      <c r="S279" s="151">
        <f t="shared" si="71"/>
        <v>42</v>
      </c>
      <c r="T279" s="151">
        <f t="shared" si="71"/>
        <v>0</v>
      </c>
      <c r="U279" s="151">
        <f t="shared" si="71"/>
        <v>0</v>
      </c>
      <c r="V279" s="151">
        <f t="shared" si="71"/>
        <v>0</v>
      </c>
      <c r="W279" s="151">
        <f t="shared" si="71"/>
        <v>0</v>
      </c>
      <c r="X279" s="151">
        <f t="shared" si="71"/>
        <v>0</v>
      </c>
      <c r="Y279" s="151">
        <f t="shared" si="71"/>
        <v>0</v>
      </c>
      <c r="Z279" s="151">
        <f t="shared" si="71"/>
        <v>0</v>
      </c>
      <c r="AA279" s="151">
        <f t="shared" si="71"/>
        <v>0</v>
      </c>
      <c r="AB279" s="151">
        <f t="shared" si="71"/>
        <v>0</v>
      </c>
      <c r="AC279" s="151">
        <f t="shared" si="71"/>
        <v>0</v>
      </c>
      <c r="AD279" s="151">
        <f t="shared" si="71"/>
        <v>0</v>
      </c>
      <c r="AE279" s="151">
        <f t="shared" si="71"/>
        <v>0</v>
      </c>
      <c r="AF279" s="151"/>
      <c r="AG279" s="102">
        <f t="shared" si="62"/>
        <v>0</v>
      </c>
    </row>
    <row r="280" spans="1:33" ht="37.5" x14ac:dyDescent="0.3">
      <c r="A280" s="153" t="s">
        <v>174</v>
      </c>
      <c r="B280" s="154">
        <f>B35+B54</f>
        <v>41.7</v>
      </c>
      <c r="C280" s="154">
        <f>C35+C54</f>
        <v>13</v>
      </c>
      <c r="D280" s="154">
        <f>D35+D54</f>
        <v>66.199999999999989</v>
      </c>
      <c r="E280" s="154">
        <f>E35+E54</f>
        <v>66.199999999999989</v>
      </c>
      <c r="F280" s="154">
        <f t="shared" si="64"/>
        <v>158.75299760191842</v>
      </c>
      <c r="G280" s="154">
        <f t="shared" si="65"/>
        <v>509.23076923076911</v>
      </c>
      <c r="H280" s="154">
        <f t="shared" ref="H280:AE280" si="72">H35+H54</f>
        <v>0</v>
      </c>
      <c r="I280" s="154">
        <f t="shared" si="72"/>
        <v>0</v>
      </c>
      <c r="J280" s="154">
        <f t="shared" si="72"/>
        <v>0</v>
      </c>
      <c r="K280" s="154">
        <f t="shared" si="72"/>
        <v>0</v>
      </c>
      <c r="L280" s="154">
        <f t="shared" si="72"/>
        <v>9.4</v>
      </c>
      <c r="M280" s="154">
        <f t="shared" si="72"/>
        <v>9.4</v>
      </c>
      <c r="N280" s="154">
        <f t="shared" si="72"/>
        <v>3.6</v>
      </c>
      <c r="O280" s="154">
        <f t="shared" si="72"/>
        <v>3.6</v>
      </c>
      <c r="P280" s="154">
        <f t="shared" si="72"/>
        <v>11.2</v>
      </c>
      <c r="Q280" s="154">
        <f t="shared" si="72"/>
        <v>11.2</v>
      </c>
      <c r="R280" s="154">
        <f t="shared" si="72"/>
        <v>42</v>
      </c>
      <c r="S280" s="154">
        <f t="shared" si="72"/>
        <v>42</v>
      </c>
      <c r="T280" s="154">
        <f t="shared" si="72"/>
        <v>0.7</v>
      </c>
      <c r="U280" s="154">
        <f t="shared" si="72"/>
        <v>0</v>
      </c>
      <c r="V280" s="154">
        <f t="shared" si="72"/>
        <v>0.7</v>
      </c>
      <c r="W280" s="154">
        <f t="shared" si="72"/>
        <v>0</v>
      </c>
      <c r="X280" s="154">
        <f t="shared" si="72"/>
        <v>13.3</v>
      </c>
      <c r="Y280" s="154">
        <f t="shared" si="72"/>
        <v>0</v>
      </c>
      <c r="Z280" s="154">
        <f t="shared" si="72"/>
        <v>0.7</v>
      </c>
      <c r="AA280" s="154">
        <f t="shared" si="72"/>
        <v>0</v>
      </c>
      <c r="AB280" s="154">
        <f t="shared" si="72"/>
        <v>0.7</v>
      </c>
      <c r="AC280" s="154">
        <f t="shared" si="72"/>
        <v>0</v>
      </c>
      <c r="AD280" s="154">
        <f t="shared" si="72"/>
        <v>0.7</v>
      </c>
      <c r="AE280" s="154">
        <f t="shared" si="72"/>
        <v>0</v>
      </c>
      <c r="AF280" s="154"/>
      <c r="AG280" s="102">
        <f t="shared" si="62"/>
        <v>-41.300000000000004</v>
      </c>
    </row>
    <row r="281" spans="1:33" ht="37.5" x14ac:dyDescent="0.3">
      <c r="A281" s="148" t="s">
        <v>218</v>
      </c>
      <c r="B281" s="149">
        <f>B282+B283+B284+B285</f>
        <v>100</v>
      </c>
      <c r="C281" s="149">
        <f>C282+C283+C284</f>
        <v>100</v>
      </c>
      <c r="D281" s="149">
        <f>D282+D283+D284</f>
        <v>99.999999999999986</v>
      </c>
      <c r="E281" s="149">
        <f>E282+E283+E284</f>
        <v>99.999999999999986</v>
      </c>
      <c r="F281" s="149">
        <f t="shared" si="64"/>
        <v>99.999999999999986</v>
      </c>
      <c r="G281" s="149">
        <f t="shared" si="65"/>
        <v>99.999999999999986</v>
      </c>
      <c r="H281" s="149">
        <f t="shared" ref="H281:AE281" si="73">H282+H283+H284+H285</f>
        <v>0</v>
      </c>
      <c r="I281" s="149">
        <f t="shared" si="73"/>
        <v>0</v>
      </c>
      <c r="J281" s="149">
        <f t="shared" si="73"/>
        <v>0</v>
      </c>
      <c r="K281" s="149">
        <f t="shared" si="73"/>
        <v>0</v>
      </c>
      <c r="L281" s="149">
        <f t="shared" si="73"/>
        <v>100</v>
      </c>
      <c r="M281" s="149">
        <f t="shared" si="73"/>
        <v>68.11</v>
      </c>
      <c r="N281" s="149">
        <f t="shared" si="73"/>
        <v>0</v>
      </c>
      <c r="O281" s="149">
        <f t="shared" si="73"/>
        <v>17.399999999999999</v>
      </c>
      <c r="P281" s="149">
        <f t="shared" si="73"/>
        <v>0</v>
      </c>
      <c r="Q281" s="149">
        <f t="shared" si="73"/>
        <v>14.49</v>
      </c>
      <c r="R281" s="149">
        <f t="shared" si="73"/>
        <v>0</v>
      </c>
      <c r="S281" s="149">
        <f t="shared" si="73"/>
        <v>0</v>
      </c>
      <c r="T281" s="149">
        <f t="shared" si="73"/>
        <v>0</v>
      </c>
      <c r="U281" s="149">
        <f t="shared" si="73"/>
        <v>0</v>
      </c>
      <c r="V281" s="149">
        <f t="shared" si="73"/>
        <v>0</v>
      </c>
      <c r="W281" s="149">
        <f t="shared" si="73"/>
        <v>0</v>
      </c>
      <c r="X281" s="149">
        <f t="shared" si="73"/>
        <v>0</v>
      </c>
      <c r="Y281" s="149">
        <f t="shared" si="73"/>
        <v>0</v>
      </c>
      <c r="Z281" s="149">
        <f t="shared" si="73"/>
        <v>0</v>
      </c>
      <c r="AA281" s="149">
        <f t="shared" si="73"/>
        <v>0</v>
      </c>
      <c r="AB281" s="149">
        <f t="shared" si="73"/>
        <v>0</v>
      </c>
      <c r="AC281" s="149">
        <f t="shared" si="73"/>
        <v>0</v>
      </c>
      <c r="AD281" s="149">
        <f t="shared" si="73"/>
        <v>0</v>
      </c>
      <c r="AE281" s="149">
        <f t="shared" si="73"/>
        <v>0</v>
      </c>
      <c r="AF281" s="149"/>
      <c r="AG281" s="102">
        <f t="shared" si="62"/>
        <v>0</v>
      </c>
    </row>
    <row r="282" spans="1:33" x14ac:dyDescent="0.3">
      <c r="A282" s="150" t="s">
        <v>169</v>
      </c>
      <c r="B282" s="151">
        <f t="shared" ref="B282:E285" si="74">B13+B19+B139</f>
        <v>0</v>
      </c>
      <c r="C282" s="151">
        <f t="shared" si="74"/>
        <v>0</v>
      </c>
      <c r="D282" s="151">
        <f t="shared" si="74"/>
        <v>0</v>
      </c>
      <c r="E282" s="151">
        <f t="shared" si="74"/>
        <v>0</v>
      </c>
      <c r="F282" s="151">
        <f t="shared" si="64"/>
        <v>0</v>
      </c>
      <c r="G282" s="151">
        <f t="shared" si="65"/>
        <v>0</v>
      </c>
      <c r="H282" s="151">
        <f t="shared" ref="H282:AE282" si="75">H13+H19+H139</f>
        <v>0</v>
      </c>
      <c r="I282" s="151">
        <f t="shared" si="75"/>
        <v>0</v>
      </c>
      <c r="J282" s="151">
        <f t="shared" si="75"/>
        <v>0</v>
      </c>
      <c r="K282" s="151">
        <f t="shared" si="75"/>
        <v>0</v>
      </c>
      <c r="L282" s="151">
        <f t="shared" si="75"/>
        <v>0</v>
      </c>
      <c r="M282" s="151">
        <f t="shared" si="75"/>
        <v>0</v>
      </c>
      <c r="N282" s="151">
        <f t="shared" si="75"/>
        <v>0</v>
      </c>
      <c r="O282" s="151">
        <f t="shared" si="75"/>
        <v>0</v>
      </c>
      <c r="P282" s="151">
        <f t="shared" si="75"/>
        <v>0</v>
      </c>
      <c r="Q282" s="151">
        <f t="shared" si="75"/>
        <v>0</v>
      </c>
      <c r="R282" s="151">
        <f t="shared" si="75"/>
        <v>0</v>
      </c>
      <c r="S282" s="151">
        <f t="shared" si="75"/>
        <v>0</v>
      </c>
      <c r="T282" s="151">
        <f t="shared" si="75"/>
        <v>0</v>
      </c>
      <c r="U282" s="151">
        <f t="shared" si="75"/>
        <v>0</v>
      </c>
      <c r="V282" s="151">
        <f t="shared" si="75"/>
        <v>0</v>
      </c>
      <c r="W282" s="151">
        <f t="shared" si="75"/>
        <v>0</v>
      </c>
      <c r="X282" s="151">
        <f t="shared" si="75"/>
        <v>0</v>
      </c>
      <c r="Y282" s="151">
        <f t="shared" si="75"/>
        <v>0</v>
      </c>
      <c r="Z282" s="151">
        <f t="shared" si="75"/>
        <v>0</v>
      </c>
      <c r="AA282" s="151">
        <f t="shared" si="75"/>
        <v>0</v>
      </c>
      <c r="AB282" s="151">
        <f t="shared" si="75"/>
        <v>0</v>
      </c>
      <c r="AC282" s="151">
        <f t="shared" si="75"/>
        <v>0</v>
      </c>
      <c r="AD282" s="151">
        <f t="shared" si="75"/>
        <v>0</v>
      </c>
      <c r="AE282" s="151">
        <f t="shared" si="75"/>
        <v>0</v>
      </c>
      <c r="AF282" s="151"/>
      <c r="AG282" s="102">
        <f t="shared" si="62"/>
        <v>0</v>
      </c>
    </row>
    <row r="283" spans="1:33" x14ac:dyDescent="0.3">
      <c r="A283" s="150" t="s">
        <v>32</v>
      </c>
      <c r="B283" s="151">
        <f t="shared" si="74"/>
        <v>0</v>
      </c>
      <c r="C283" s="151">
        <f>C14+C20+C140</f>
        <v>0</v>
      </c>
      <c r="D283" s="151">
        <f t="shared" si="74"/>
        <v>0</v>
      </c>
      <c r="E283" s="151">
        <f t="shared" si="74"/>
        <v>0</v>
      </c>
      <c r="F283" s="151">
        <f t="shared" si="64"/>
        <v>0</v>
      </c>
      <c r="G283" s="151">
        <f t="shared" si="65"/>
        <v>0</v>
      </c>
      <c r="H283" s="151">
        <f t="shared" ref="H283:AE283" si="76">H14+H20+H140</f>
        <v>0</v>
      </c>
      <c r="I283" s="151">
        <f t="shared" si="76"/>
        <v>0</v>
      </c>
      <c r="J283" s="151">
        <f t="shared" si="76"/>
        <v>0</v>
      </c>
      <c r="K283" s="151">
        <f t="shared" si="76"/>
        <v>0</v>
      </c>
      <c r="L283" s="151">
        <f t="shared" si="76"/>
        <v>0</v>
      </c>
      <c r="M283" s="151">
        <f t="shared" si="76"/>
        <v>0</v>
      </c>
      <c r="N283" s="151">
        <f t="shared" si="76"/>
        <v>0</v>
      </c>
      <c r="O283" s="151">
        <f t="shared" si="76"/>
        <v>0</v>
      </c>
      <c r="P283" s="151">
        <f t="shared" si="76"/>
        <v>0</v>
      </c>
      <c r="Q283" s="151">
        <f t="shared" si="76"/>
        <v>0</v>
      </c>
      <c r="R283" s="151">
        <f t="shared" si="76"/>
        <v>0</v>
      </c>
      <c r="S283" s="151">
        <f t="shared" si="76"/>
        <v>0</v>
      </c>
      <c r="T283" s="151">
        <f t="shared" si="76"/>
        <v>0</v>
      </c>
      <c r="U283" s="151">
        <f t="shared" si="76"/>
        <v>0</v>
      </c>
      <c r="V283" s="151">
        <f t="shared" si="76"/>
        <v>0</v>
      </c>
      <c r="W283" s="151">
        <f t="shared" si="76"/>
        <v>0</v>
      </c>
      <c r="X283" s="151">
        <f t="shared" si="76"/>
        <v>0</v>
      </c>
      <c r="Y283" s="151">
        <f t="shared" si="76"/>
        <v>0</v>
      </c>
      <c r="Z283" s="151">
        <f t="shared" si="76"/>
        <v>0</v>
      </c>
      <c r="AA283" s="151">
        <f t="shared" si="76"/>
        <v>0</v>
      </c>
      <c r="AB283" s="151">
        <f t="shared" si="76"/>
        <v>0</v>
      </c>
      <c r="AC283" s="151">
        <f t="shared" si="76"/>
        <v>0</v>
      </c>
      <c r="AD283" s="151">
        <f t="shared" si="76"/>
        <v>0</v>
      </c>
      <c r="AE283" s="151">
        <f t="shared" si="76"/>
        <v>0</v>
      </c>
      <c r="AF283" s="151"/>
      <c r="AG283" s="102">
        <f t="shared" si="62"/>
        <v>0</v>
      </c>
    </row>
    <row r="284" spans="1:33" x14ac:dyDescent="0.3">
      <c r="A284" s="150" t="s">
        <v>33</v>
      </c>
      <c r="B284" s="151">
        <f t="shared" si="74"/>
        <v>100</v>
      </c>
      <c r="C284" s="151">
        <f t="shared" si="74"/>
        <v>100</v>
      </c>
      <c r="D284" s="151">
        <f t="shared" si="74"/>
        <v>99.999999999999986</v>
      </c>
      <c r="E284" s="151">
        <f t="shared" si="74"/>
        <v>99.999999999999986</v>
      </c>
      <c r="F284" s="151">
        <f t="shared" si="64"/>
        <v>99.999999999999986</v>
      </c>
      <c r="G284" s="151">
        <f t="shared" si="65"/>
        <v>99.999999999999986</v>
      </c>
      <c r="H284" s="151">
        <f t="shared" ref="H284:AE284" si="77">H15+H21+H141</f>
        <v>0</v>
      </c>
      <c r="I284" s="151">
        <f t="shared" si="77"/>
        <v>0</v>
      </c>
      <c r="J284" s="151">
        <f t="shared" si="77"/>
        <v>0</v>
      </c>
      <c r="K284" s="151">
        <f t="shared" si="77"/>
        <v>0</v>
      </c>
      <c r="L284" s="151">
        <f t="shared" si="77"/>
        <v>100</v>
      </c>
      <c r="M284" s="151">
        <f t="shared" si="77"/>
        <v>68.11</v>
      </c>
      <c r="N284" s="151">
        <f t="shared" si="77"/>
        <v>0</v>
      </c>
      <c r="O284" s="151">
        <f t="shared" si="77"/>
        <v>17.399999999999999</v>
      </c>
      <c r="P284" s="151">
        <f t="shared" si="77"/>
        <v>0</v>
      </c>
      <c r="Q284" s="151">
        <f t="shared" si="77"/>
        <v>14.49</v>
      </c>
      <c r="R284" s="151">
        <f t="shared" si="77"/>
        <v>0</v>
      </c>
      <c r="S284" s="151">
        <f t="shared" si="77"/>
        <v>0</v>
      </c>
      <c r="T284" s="151">
        <f t="shared" si="77"/>
        <v>0</v>
      </c>
      <c r="U284" s="151">
        <f t="shared" si="77"/>
        <v>0</v>
      </c>
      <c r="V284" s="151">
        <f t="shared" si="77"/>
        <v>0</v>
      </c>
      <c r="W284" s="151">
        <f t="shared" si="77"/>
        <v>0</v>
      </c>
      <c r="X284" s="151">
        <f t="shared" si="77"/>
        <v>0</v>
      </c>
      <c r="Y284" s="151">
        <f t="shared" si="77"/>
        <v>0</v>
      </c>
      <c r="Z284" s="151">
        <f t="shared" si="77"/>
        <v>0</v>
      </c>
      <c r="AA284" s="151">
        <f t="shared" si="77"/>
        <v>0</v>
      </c>
      <c r="AB284" s="151">
        <f t="shared" si="77"/>
        <v>0</v>
      </c>
      <c r="AC284" s="151">
        <f t="shared" si="77"/>
        <v>0</v>
      </c>
      <c r="AD284" s="151">
        <f t="shared" si="77"/>
        <v>0</v>
      </c>
      <c r="AE284" s="151">
        <f t="shared" si="77"/>
        <v>0</v>
      </c>
      <c r="AF284" s="151"/>
      <c r="AG284" s="102">
        <f t="shared" si="62"/>
        <v>0</v>
      </c>
    </row>
    <row r="285" spans="1:33" x14ac:dyDescent="0.3">
      <c r="A285" s="152" t="s">
        <v>170</v>
      </c>
      <c r="B285" s="151">
        <f t="shared" si="74"/>
        <v>0</v>
      </c>
      <c r="C285" s="151">
        <f t="shared" si="74"/>
        <v>0</v>
      </c>
      <c r="D285" s="151">
        <f t="shared" si="74"/>
        <v>0</v>
      </c>
      <c r="E285" s="151">
        <f t="shared" si="74"/>
        <v>0</v>
      </c>
      <c r="F285" s="151">
        <f t="shared" si="64"/>
        <v>0</v>
      </c>
      <c r="G285" s="151">
        <f t="shared" si="65"/>
        <v>0</v>
      </c>
      <c r="H285" s="151">
        <f t="shared" ref="H285:AE285" si="78">H16+H22+H142</f>
        <v>0</v>
      </c>
      <c r="I285" s="151">
        <f t="shared" si="78"/>
        <v>0</v>
      </c>
      <c r="J285" s="151">
        <f t="shared" si="78"/>
        <v>0</v>
      </c>
      <c r="K285" s="151">
        <f t="shared" si="78"/>
        <v>0</v>
      </c>
      <c r="L285" s="151">
        <f t="shared" si="78"/>
        <v>0</v>
      </c>
      <c r="M285" s="151">
        <f t="shared" si="78"/>
        <v>0</v>
      </c>
      <c r="N285" s="151">
        <f t="shared" si="78"/>
        <v>0</v>
      </c>
      <c r="O285" s="151">
        <f t="shared" si="78"/>
        <v>0</v>
      </c>
      <c r="P285" s="151">
        <f t="shared" si="78"/>
        <v>0</v>
      </c>
      <c r="Q285" s="151">
        <f t="shared" si="78"/>
        <v>0</v>
      </c>
      <c r="R285" s="151">
        <f t="shared" si="78"/>
        <v>0</v>
      </c>
      <c r="S285" s="151">
        <f t="shared" si="78"/>
        <v>0</v>
      </c>
      <c r="T285" s="151">
        <f t="shared" si="78"/>
        <v>0</v>
      </c>
      <c r="U285" s="151">
        <f t="shared" si="78"/>
        <v>0</v>
      </c>
      <c r="V285" s="151">
        <f t="shared" si="78"/>
        <v>0</v>
      </c>
      <c r="W285" s="151">
        <f t="shared" si="78"/>
        <v>0</v>
      </c>
      <c r="X285" s="151">
        <f t="shared" si="78"/>
        <v>0</v>
      </c>
      <c r="Y285" s="151">
        <f t="shared" si="78"/>
        <v>0</v>
      </c>
      <c r="Z285" s="151">
        <f t="shared" si="78"/>
        <v>0</v>
      </c>
      <c r="AA285" s="151">
        <f t="shared" si="78"/>
        <v>0</v>
      </c>
      <c r="AB285" s="151">
        <f t="shared" si="78"/>
        <v>0</v>
      </c>
      <c r="AC285" s="151">
        <f t="shared" si="78"/>
        <v>0</v>
      </c>
      <c r="AD285" s="151">
        <f t="shared" si="78"/>
        <v>0</v>
      </c>
      <c r="AE285" s="151">
        <f t="shared" si="78"/>
        <v>0</v>
      </c>
      <c r="AF285" s="151"/>
      <c r="AG285" s="102">
        <f t="shared" si="62"/>
        <v>0</v>
      </c>
    </row>
    <row r="286" spans="1:33" ht="37.5" x14ac:dyDescent="0.3">
      <c r="A286" s="148" t="s">
        <v>219</v>
      </c>
      <c r="B286" s="149">
        <f>B287+B288+B289+B290</f>
        <v>516178.20400000014</v>
      </c>
      <c r="C286" s="149">
        <f>C287+C288+C289</f>
        <v>159725.10500000001</v>
      </c>
      <c r="D286" s="149">
        <f>D287+D288+D289</f>
        <v>216183.59616000004</v>
      </c>
      <c r="E286" s="149">
        <f>E287+E288+E289</f>
        <v>216089.97216000003</v>
      </c>
      <c r="F286" s="149">
        <f t="shared" si="64"/>
        <v>41.863443765246615</v>
      </c>
      <c r="G286" s="149">
        <f t="shared" si="65"/>
        <v>135.28867122046969</v>
      </c>
      <c r="H286" s="149">
        <f t="shared" ref="H286:AE286" si="79">H287+H288+H289+H290</f>
        <v>32995.699999999997</v>
      </c>
      <c r="I286" s="149">
        <f t="shared" si="79"/>
        <v>20436.099000000006</v>
      </c>
      <c r="J286" s="149">
        <f t="shared" si="79"/>
        <v>44891.184000000001</v>
      </c>
      <c r="K286" s="149">
        <f t="shared" si="79"/>
        <v>34681.275000000001</v>
      </c>
      <c r="L286" s="149">
        <f t="shared" si="79"/>
        <v>36237.266000000003</v>
      </c>
      <c r="M286" s="149">
        <f t="shared" si="79"/>
        <v>30714.501999999997</v>
      </c>
      <c r="N286" s="149">
        <f t="shared" si="79"/>
        <v>45623.054999999993</v>
      </c>
      <c r="O286" s="149">
        <f t="shared" si="79"/>
        <v>33183.603999999999</v>
      </c>
      <c r="P286" s="149">
        <f t="shared" si="79"/>
        <v>61206.159</v>
      </c>
      <c r="Q286" s="149">
        <f t="shared" si="79"/>
        <v>36344.780160000002</v>
      </c>
      <c r="R286" s="149">
        <f t="shared" si="79"/>
        <v>46192.245999999999</v>
      </c>
      <c r="S286" s="149">
        <f t="shared" si="79"/>
        <v>60889.535999999993</v>
      </c>
      <c r="T286" s="149">
        <f t="shared" si="79"/>
        <v>52970.853999999992</v>
      </c>
      <c r="U286" s="149">
        <f t="shared" si="79"/>
        <v>0</v>
      </c>
      <c r="V286" s="149">
        <f t="shared" si="79"/>
        <v>38300.897999999994</v>
      </c>
      <c r="W286" s="149">
        <f t="shared" si="79"/>
        <v>0</v>
      </c>
      <c r="X286" s="149">
        <f t="shared" si="79"/>
        <v>35670.567999999999</v>
      </c>
      <c r="Y286" s="149">
        <f t="shared" si="79"/>
        <v>0</v>
      </c>
      <c r="Z286" s="149">
        <f t="shared" si="79"/>
        <v>40029.459999999992</v>
      </c>
      <c r="AA286" s="149">
        <f t="shared" si="79"/>
        <v>0</v>
      </c>
      <c r="AB286" s="149">
        <f t="shared" si="79"/>
        <v>33606.248999999996</v>
      </c>
      <c r="AC286" s="149">
        <f t="shared" si="79"/>
        <v>0</v>
      </c>
      <c r="AD286" s="149">
        <f t="shared" si="79"/>
        <v>48495.864999999983</v>
      </c>
      <c r="AE286" s="149">
        <f t="shared" si="79"/>
        <v>0</v>
      </c>
      <c r="AF286" s="149"/>
      <c r="AG286" s="102">
        <f t="shared" si="62"/>
        <v>-41.299999999791908</v>
      </c>
    </row>
    <row r="287" spans="1:33" x14ac:dyDescent="0.3">
      <c r="A287" s="150" t="s">
        <v>169</v>
      </c>
      <c r="B287" s="151">
        <f>B32+B39+B45+B51++B71+B77+B83+B89+B95+B107+B113+B119+B152+B177+B189+B195+B201+B207+B213+B227+B233+B245+B251+B265+B131+B271+B58</f>
        <v>105.21</v>
      </c>
      <c r="C287" s="151">
        <f>C32+C39+C45+C51++C71+C77+C83+C89+C95+C107+C113+C119+C152+C177+C189+C195+C201+C207+C213+C227+C233+C245+C251+C265+C131+C271+C58</f>
        <v>105.1</v>
      </c>
      <c r="D287" s="151">
        <f>D32+D39+D45+D51++D71+D77+D83+D89+D95+D107+D113+D119+D152+D177+D189+D195+D201+D207+D213+D227+D233+D245+D251+D265+D131+D271+D58</f>
        <v>105.21</v>
      </c>
      <c r="E287" s="151">
        <f>E32+E39+E45+E51++E71+E77+E83+E89+E95+E107+E113+E119+E152+E177+E189+E195+E201+E207+E213+E227+E233+E245+E251+E265+E131+E271+E58</f>
        <v>105.21</v>
      </c>
      <c r="F287" s="151">
        <f t="shared" si="64"/>
        <v>100</v>
      </c>
      <c r="G287" s="151">
        <f t="shared" si="65"/>
        <v>100.104662226451</v>
      </c>
      <c r="H287" s="151">
        <f t="shared" ref="H287:AE287" si="80">H32+H39+H45+H51++H71+H77+H83+H89+H95+H107+H113+H119+H152+H177+H189+H195+H201+H207+H213+H227+H233+H245+H251+H265+H131+H271+H58</f>
        <v>0</v>
      </c>
      <c r="I287" s="151">
        <f t="shared" si="80"/>
        <v>0</v>
      </c>
      <c r="J287" s="151">
        <f t="shared" si="80"/>
        <v>0</v>
      </c>
      <c r="K287" s="151">
        <f t="shared" si="80"/>
        <v>0</v>
      </c>
      <c r="L287" s="151">
        <f t="shared" si="80"/>
        <v>0</v>
      </c>
      <c r="M287" s="151">
        <f t="shared" si="80"/>
        <v>0</v>
      </c>
      <c r="N287" s="151">
        <f t="shared" si="80"/>
        <v>0</v>
      </c>
      <c r="O287" s="151">
        <f t="shared" si="80"/>
        <v>0</v>
      </c>
      <c r="P287" s="151">
        <f t="shared" si="80"/>
        <v>0</v>
      </c>
      <c r="Q287" s="151">
        <f t="shared" si="80"/>
        <v>0</v>
      </c>
      <c r="R287" s="151">
        <f t="shared" si="80"/>
        <v>105.21</v>
      </c>
      <c r="S287" s="151">
        <f t="shared" si="80"/>
        <v>105.21</v>
      </c>
      <c r="T287" s="151">
        <f t="shared" si="80"/>
        <v>0</v>
      </c>
      <c r="U287" s="151">
        <f t="shared" si="80"/>
        <v>0</v>
      </c>
      <c r="V287" s="151">
        <f t="shared" si="80"/>
        <v>0</v>
      </c>
      <c r="W287" s="151">
        <f t="shared" si="80"/>
        <v>0</v>
      </c>
      <c r="X287" s="151">
        <f t="shared" si="80"/>
        <v>0</v>
      </c>
      <c r="Y287" s="151">
        <f t="shared" si="80"/>
        <v>0</v>
      </c>
      <c r="Z287" s="151">
        <f t="shared" si="80"/>
        <v>0</v>
      </c>
      <c r="AA287" s="151">
        <f t="shared" si="80"/>
        <v>0</v>
      </c>
      <c r="AB287" s="151">
        <f t="shared" si="80"/>
        <v>0</v>
      </c>
      <c r="AC287" s="151">
        <f t="shared" si="80"/>
        <v>0</v>
      </c>
      <c r="AD287" s="151">
        <f t="shared" si="80"/>
        <v>0</v>
      </c>
      <c r="AE287" s="151">
        <f t="shared" si="80"/>
        <v>0</v>
      </c>
      <c r="AF287" s="151"/>
      <c r="AG287" s="102">
        <f t="shared" si="62"/>
        <v>0</v>
      </c>
    </row>
    <row r="288" spans="1:33" x14ac:dyDescent="0.3">
      <c r="A288" s="150" t="s">
        <v>32</v>
      </c>
      <c r="B288" s="151">
        <f>B33+B40+B46+B52++B72+B78+B84+B90+B96+B108+B114+B120+B153+B178+B190+B196+B202+B208+B214+B228+B234+B246+B252+B266+B132+B272+B59</f>
        <v>593.69000000000005</v>
      </c>
      <c r="C288" s="151">
        <f t="shared" ref="C288:E290" si="81">C33+C40+C46+C52++C72+C78+C84+C90+C96+C108+C114+C120+C153+C178+C190+C196+C202+C208+C214+C228+C234+C246+C252+C266+C132+C272+C59</f>
        <v>21.6</v>
      </c>
      <c r="D288" s="151">
        <f t="shared" si="81"/>
        <v>300.65999999999997</v>
      </c>
      <c r="E288" s="151">
        <f t="shared" si="81"/>
        <v>300.65999999999997</v>
      </c>
      <c r="F288" s="151">
        <f t="shared" si="64"/>
        <v>50.642591251326444</v>
      </c>
      <c r="G288" s="151">
        <f t="shared" si="65"/>
        <v>1391.9444444444443</v>
      </c>
      <c r="H288" s="151">
        <f t="shared" ref="H288:AE288" si="82">H33+H40+H46+H52++H72+H78+H84+H90+H96+H108+H114+H120+H153+H178+H190+H196+H202+H208+H214+H228+H234+H246+H252+H266+H132+H272+H59</f>
        <v>0</v>
      </c>
      <c r="I288" s="151">
        <f t="shared" si="82"/>
        <v>0</v>
      </c>
      <c r="J288" s="151">
        <f t="shared" si="82"/>
        <v>0</v>
      </c>
      <c r="K288" s="151">
        <f t="shared" si="82"/>
        <v>0</v>
      </c>
      <c r="L288" s="151">
        <f t="shared" si="82"/>
        <v>10.8</v>
      </c>
      <c r="M288" s="151">
        <f t="shared" si="82"/>
        <v>10.8</v>
      </c>
      <c r="N288" s="151">
        <f t="shared" si="82"/>
        <v>19.899999999999999</v>
      </c>
      <c r="O288" s="151">
        <f t="shared" si="82"/>
        <v>19.899999999999999</v>
      </c>
      <c r="P288" s="151">
        <f t="shared" si="82"/>
        <v>118.57</v>
      </c>
      <c r="Q288" s="151">
        <f t="shared" si="82"/>
        <v>118.57</v>
      </c>
      <c r="R288" s="151">
        <f t="shared" si="82"/>
        <v>151.39000000000001</v>
      </c>
      <c r="S288" s="151">
        <f t="shared" si="82"/>
        <v>151.39000000000001</v>
      </c>
      <c r="T288" s="151">
        <f t="shared" si="82"/>
        <v>22.8</v>
      </c>
      <c r="U288" s="151">
        <f t="shared" si="82"/>
        <v>0</v>
      </c>
      <c r="V288" s="151">
        <f t="shared" si="82"/>
        <v>22.8</v>
      </c>
      <c r="W288" s="151">
        <f t="shared" si="82"/>
        <v>0</v>
      </c>
      <c r="X288" s="151">
        <f t="shared" si="82"/>
        <v>168.20000000000002</v>
      </c>
      <c r="Y288" s="151">
        <f t="shared" si="82"/>
        <v>0</v>
      </c>
      <c r="Z288" s="151">
        <f t="shared" si="82"/>
        <v>22.8</v>
      </c>
      <c r="AA288" s="151">
        <f t="shared" si="82"/>
        <v>0</v>
      </c>
      <c r="AB288" s="151">
        <f t="shared" si="82"/>
        <v>22.8</v>
      </c>
      <c r="AC288" s="151">
        <f t="shared" si="82"/>
        <v>0</v>
      </c>
      <c r="AD288" s="151">
        <f t="shared" si="82"/>
        <v>33.629999999999995</v>
      </c>
      <c r="AE288" s="151">
        <f t="shared" si="82"/>
        <v>0</v>
      </c>
      <c r="AF288" s="151"/>
      <c r="AG288" s="102">
        <f t="shared" si="62"/>
        <v>5.6843418860808015E-14</v>
      </c>
    </row>
    <row r="289" spans="1:33" x14ac:dyDescent="0.3">
      <c r="A289" s="150" t="s">
        <v>33</v>
      </c>
      <c r="B289" s="151">
        <f>B34+B41+B47+B53++B73+B79+B85+B91+B97+B109+B115+B121+B154+B179+B191+B197+B203+B209+B215+B229+B235+B247+B253+B267+B133+B273+B60</f>
        <v>515437.60400000011</v>
      </c>
      <c r="C289" s="151">
        <f t="shared" si="81"/>
        <v>159598.405</v>
      </c>
      <c r="D289" s="151">
        <f t="shared" si="81"/>
        <v>215777.72616000005</v>
      </c>
      <c r="E289" s="151">
        <f t="shared" si="81"/>
        <v>215684.10216000004</v>
      </c>
      <c r="F289" s="151">
        <f t="shared" si="64"/>
        <v>41.844851925083837</v>
      </c>
      <c r="G289" s="151">
        <f t="shared" si="65"/>
        <v>135.14176545811972</v>
      </c>
      <c r="H289" s="151">
        <f t="shared" ref="H289:AE289" si="83">H34+H41+H47+H53++H73+H79+H85+H91+H97+H109+H115+H121+H154+H179+H191+H197+H203+H209+H215+H229+H235+H247+H253+H267+H133+H273+H60</f>
        <v>32995.699999999997</v>
      </c>
      <c r="I289" s="151">
        <f t="shared" si="83"/>
        <v>20436.099000000006</v>
      </c>
      <c r="J289" s="151">
        <f t="shared" si="83"/>
        <v>44891.184000000001</v>
      </c>
      <c r="K289" s="151">
        <f t="shared" si="83"/>
        <v>34681.275000000001</v>
      </c>
      <c r="L289" s="151">
        <f t="shared" si="83"/>
        <v>36217.065999999999</v>
      </c>
      <c r="M289" s="151">
        <f t="shared" si="83"/>
        <v>30694.301999999996</v>
      </c>
      <c r="N289" s="151">
        <f t="shared" si="83"/>
        <v>45599.554999999993</v>
      </c>
      <c r="O289" s="151">
        <f t="shared" si="83"/>
        <v>33160.103999999999</v>
      </c>
      <c r="P289" s="151">
        <f t="shared" si="83"/>
        <v>61076.389000000003</v>
      </c>
      <c r="Q289" s="151">
        <f t="shared" si="83"/>
        <v>36215.010160000005</v>
      </c>
      <c r="R289" s="151">
        <f t="shared" si="83"/>
        <v>45893.646000000001</v>
      </c>
      <c r="S289" s="151">
        <f t="shared" si="83"/>
        <v>60590.935999999994</v>
      </c>
      <c r="T289" s="151">
        <f t="shared" si="83"/>
        <v>52947.353999999992</v>
      </c>
      <c r="U289" s="151">
        <f t="shared" si="83"/>
        <v>0</v>
      </c>
      <c r="V289" s="151">
        <f t="shared" si="83"/>
        <v>38277.397999999994</v>
      </c>
      <c r="W289" s="151">
        <f t="shared" si="83"/>
        <v>0</v>
      </c>
      <c r="X289" s="151">
        <f t="shared" si="83"/>
        <v>35489.067999999999</v>
      </c>
      <c r="Y289" s="151">
        <f t="shared" si="83"/>
        <v>0</v>
      </c>
      <c r="Z289" s="151">
        <f t="shared" si="83"/>
        <v>40005.959999999992</v>
      </c>
      <c r="AA289" s="151">
        <f t="shared" si="83"/>
        <v>0</v>
      </c>
      <c r="AB289" s="151">
        <f t="shared" si="83"/>
        <v>33582.748999999996</v>
      </c>
      <c r="AC289" s="151">
        <f t="shared" si="83"/>
        <v>0</v>
      </c>
      <c r="AD289" s="151">
        <f t="shared" si="83"/>
        <v>48461.534999999989</v>
      </c>
      <c r="AE289" s="151">
        <f t="shared" si="83"/>
        <v>0</v>
      </c>
      <c r="AF289" s="151"/>
      <c r="AG289" s="102">
        <f t="shared" si="62"/>
        <v>1.1641532182693481E-10</v>
      </c>
    </row>
    <row r="290" spans="1:33" x14ac:dyDescent="0.3">
      <c r="A290" s="152" t="s">
        <v>170</v>
      </c>
      <c r="B290" s="151">
        <f>B35+B42+B48+B54++B74+B80+B86+B92+B98+B110+B116+B122+B155+B180+B192+B198+B204+B210+B216+B230+B236+B248+B254+B268+B134+B274+B61</f>
        <v>41.7</v>
      </c>
      <c r="C290" s="151">
        <f t="shared" si="81"/>
        <v>118.1</v>
      </c>
      <c r="D290" s="151">
        <f t="shared" si="81"/>
        <v>66.199999999999989</v>
      </c>
      <c r="E290" s="151">
        <f t="shared" si="81"/>
        <v>159.82399999999998</v>
      </c>
      <c r="F290" s="151">
        <f t="shared" si="64"/>
        <v>383.27098321342919</v>
      </c>
      <c r="G290" s="151">
        <f t="shared" si="65"/>
        <v>135.32938187976291</v>
      </c>
      <c r="H290" s="151">
        <f t="shared" ref="H290:AE290" si="84">H35+H42+H48+H54++H74+H80+H86+H92+H98+H110+H116+H122+H155+H180+H192+H198+H204+H210+H216+H230+H236+H248+H254+H268+H134+H274+H61</f>
        <v>0</v>
      </c>
      <c r="I290" s="151">
        <f t="shared" si="84"/>
        <v>0</v>
      </c>
      <c r="J290" s="151">
        <f t="shared" si="84"/>
        <v>0</v>
      </c>
      <c r="K290" s="151">
        <f t="shared" si="84"/>
        <v>0</v>
      </c>
      <c r="L290" s="151">
        <f t="shared" si="84"/>
        <v>9.4</v>
      </c>
      <c r="M290" s="151">
        <f t="shared" si="84"/>
        <v>9.4</v>
      </c>
      <c r="N290" s="151">
        <f t="shared" si="84"/>
        <v>3.6</v>
      </c>
      <c r="O290" s="151">
        <f t="shared" si="84"/>
        <v>3.6</v>
      </c>
      <c r="P290" s="151">
        <f t="shared" si="84"/>
        <v>11.2</v>
      </c>
      <c r="Q290" s="151">
        <f t="shared" si="84"/>
        <v>11.2</v>
      </c>
      <c r="R290" s="151">
        <f t="shared" si="84"/>
        <v>42</v>
      </c>
      <c r="S290" s="151">
        <f t="shared" si="84"/>
        <v>42</v>
      </c>
      <c r="T290" s="151">
        <f t="shared" si="84"/>
        <v>0.7</v>
      </c>
      <c r="U290" s="151">
        <f t="shared" si="84"/>
        <v>0</v>
      </c>
      <c r="V290" s="151">
        <f t="shared" si="84"/>
        <v>0.7</v>
      </c>
      <c r="W290" s="151">
        <f t="shared" si="84"/>
        <v>0</v>
      </c>
      <c r="X290" s="151">
        <f t="shared" si="84"/>
        <v>13.3</v>
      </c>
      <c r="Y290" s="151">
        <f t="shared" si="84"/>
        <v>0</v>
      </c>
      <c r="Z290" s="151">
        <f t="shared" si="84"/>
        <v>0.7</v>
      </c>
      <c r="AA290" s="151">
        <f t="shared" si="84"/>
        <v>0</v>
      </c>
      <c r="AB290" s="151">
        <f t="shared" si="84"/>
        <v>0.7</v>
      </c>
      <c r="AC290" s="151">
        <f t="shared" si="84"/>
        <v>0</v>
      </c>
      <c r="AD290" s="151">
        <f t="shared" si="84"/>
        <v>0.7</v>
      </c>
      <c r="AE290" s="151">
        <f t="shared" si="84"/>
        <v>0</v>
      </c>
      <c r="AF290" s="151"/>
      <c r="AG290" s="102">
        <f t="shared" si="62"/>
        <v>-41.300000000000004</v>
      </c>
    </row>
    <row r="291" spans="1:33" ht="37.5" x14ac:dyDescent="0.3">
      <c r="A291" s="153" t="s">
        <v>174</v>
      </c>
      <c r="B291" s="154">
        <f>H291+J291+L291+N291+P291+R291+T291+V291+X291+Z291+AB291+AD291</f>
        <v>0</v>
      </c>
      <c r="C291" s="154">
        <f>I291+K291+M291+O291+Q291+S291+U291+W291+Y291+AA291+AC291+AE291</f>
        <v>0</v>
      </c>
      <c r="D291" s="154">
        <f>J291+L291+N291+P291+R291+T291+V291+X291+Z291+AB291+AD291+AF291</f>
        <v>0</v>
      </c>
      <c r="E291" s="154">
        <f>K291+M291+O291+Q291+S291+U291+W291+Y291+AA291+AC291+AE291+AG291</f>
        <v>0</v>
      </c>
      <c r="F291" s="154">
        <f t="shared" si="64"/>
        <v>0</v>
      </c>
      <c r="G291" s="154">
        <f t="shared" si="65"/>
        <v>0</v>
      </c>
      <c r="H291" s="154">
        <f t="shared" ref="H291:AE291" si="85">N291+P291+R291+T291+V291+X291+Z291+AB291+AD291+AF291+AH291+AJ291</f>
        <v>0</v>
      </c>
      <c r="I291" s="154">
        <f t="shared" si="85"/>
        <v>0</v>
      </c>
      <c r="J291" s="154">
        <f t="shared" si="85"/>
        <v>0</v>
      </c>
      <c r="K291" s="154">
        <f t="shared" si="85"/>
        <v>0</v>
      </c>
      <c r="L291" s="154">
        <f t="shared" si="85"/>
        <v>0</v>
      </c>
      <c r="M291" s="154">
        <f t="shared" si="85"/>
        <v>0</v>
      </c>
      <c r="N291" s="154">
        <f t="shared" si="85"/>
        <v>0</v>
      </c>
      <c r="O291" s="154">
        <f t="shared" si="85"/>
        <v>0</v>
      </c>
      <c r="P291" s="154">
        <f t="shared" si="85"/>
        <v>0</v>
      </c>
      <c r="Q291" s="154">
        <f t="shared" si="85"/>
        <v>0</v>
      </c>
      <c r="R291" s="154">
        <f t="shared" si="85"/>
        <v>0</v>
      </c>
      <c r="S291" s="154">
        <f t="shared" si="85"/>
        <v>0</v>
      </c>
      <c r="T291" s="154">
        <f t="shared" si="85"/>
        <v>0</v>
      </c>
      <c r="U291" s="154">
        <f t="shared" si="85"/>
        <v>0</v>
      </c>
      <c r="V291" s="154">
        <f t="shared" si="85"/>
        <v>0</v>
      </c>
      <c r="W291" s="154">
        <f t="shared" si="85"/>
        <v>0</v>
      </c>
      <c r="X291" s="154">
        <f t="shared" si="85"/>
        <v>0</v>
      </c>
      <c r="Y291" s="154">
        <f t="shared" si="85"/>
        <v>0</v>
      </c>
      <c r="Z291" s="154">
        <f t="shared" si="85"/>
        <v>0</v>
      </c>
      <c r="AA291" s="154">
        <f t="shared" si="85"/>
        <v>0</v>
      </c>
      <c r="AB291" s="154">
        <f t="shared" si="85"/>
        <v>0</v>
      </c>
      <c r="AC291" s="154">
        <f t="shared" si="85"/>
        <v>0</v>
      </c>
      <c r="AD291" s="154">
        <f t="shared" si="85"/>
        <v>0</v>
      </c>
      <c r="AE291" s="154">
        <f t="shared" si="85"/>
        <v>0</v>
      </c>
      <c r="AF291" s="154"/>
      <c r="AG291" s="102">
        <f t="shared" si="62"/>
        <v>0</v>
      </c>
    </row>
    <row r="292" spans="1:33" x14ac:dyDescent="0.3">
      <c r="B292" s="155">
        <f>B275-B281-B286</f>
        <v>-41.700000000069849</v>
      </c>
      <c r="C292" s="155">
        <f t="shared" ref="C292:AE296" si="86">C275-C281-C286</f>
        <v>210.20000000004075</v>
      </c>
      <c r="D292" s="155">
        <f t="shared" si="86"/>
        <v>0</v>
      </c>
      <c r="E292" s="155">
        <f t="shared" si="86"/>
        <v>0</v>
      </c>
      <c r="F292" s="155"/>
      <c r="G292" s="155"/>
      <c r="H292" s="155">
        <f t="shared" si="86"/>
        <v>0</v>
      </c>
      <c r="I292" s="155">
        <f t="shared" si="86"/>
        <v>0</v>
      </c>
      <c r="J292" s="155">
        <f t="shared" si="86"/>
        <v>0</v>
      </c>
      <c r="K292" s="155">
        <f t="shared" si="86"/>
        <v>0</v>
      </c>
      <c r="L292" s="155">
        <f>L275-L281-L286</f>
        <v>-9.3999999999941792</v>
      </c>
      <c r="M292" s="155">
        <f t="shared" si="86"/>
        <v>-9.4000000000014552</v>
      </c>
      <c r="N292" s="155">
        <f t="shared" si="86"/>
        <v>-3.5999999999912689</v>
      </c>
      <c r="O292" s="155">
        <f t="shared" si="86"/>
        <v>-3.5999999999985448</v>
      </c>
      <c r="P292" s="155">
        <f>P275-P281-P286</f>
        <v>-11.19999999999709</v>
      </c>
      <c r="Q292" s="155">
        <f t="shared" si="86"/>
        <v>0</v>
      </c>
      <c r="R292" s="155">
        <f t="shared" si="86"/>
        <v>-42</v>
      </c>
      <c r="S292" s="155">
        <f t="shared" si="86"/>
        <v>0</v>
      </c>
      <c r="T292" s="155">
        <f t="shared" si="86"/>
        <v>-0.69999999998981366</v>
      </c>
      <c r="U292" s="155">
        <f t="shared" si="86"/>
        <v>0</v>
      </c>
      <c r="V292" s="155">
        <f t="shared" si="86"/>
        <v>-0.69999999998981366</v>
      </c>
      <c r="W292" s="155">
        <f t="shared" si="86"/>
        <v>0</v>
      </c>
      <c r="X292" s="155">
        <f t="shared" si="86"/>
        <v>-13.30000000000291</v>
      </c>
      <c r="Y292" s="155">
        <f t="shared" si="86"/>
        <v>0</v>
      </c>
      <c r="Z292" s="155">
        <f t="shared" si="86"/>
        <v>-0.69999999998981366</v>
      </c>
      <c r="AA292" s="155">
        <f t="shared" si="86"/>
        <v>0</v>
      </c>
      <c r="AB292" s="155">
        <f t="shared" si="86"/>
        <v>-0.69999999998981366</v>
      </c>
      <c r="AC292" s="155">
        <f t="shared" si="86"/>
        <v>0</v>
      </c>
      <c r="AD292" s="155">
        <f t="shared" si="86"/>
        <v>-0.69999999998981366</v>
      </c>
      <c r="AE292" s="155">
        <f t="shared" si="86"/>
        <v>0</v>
      </c>
      <c r="AG292" s="102">
        <f t="shared" si="62"/>
        <v>41.299999999864667</v>
      </c>
    </row>
    <row r="293" spans="1:33" x14ac:dyDescent="0.3">
      <c r="A293" s="156" t="s">
        <v>169</v>
      </c>
      <c r="B293" s="155">
        <f>B276-B282-B287</f>
        <v>0</v>
      </c>
      <c r="C293" s="155">
        <f>C276-C282-C287</f>
        <v>0</v>
      </c>
      <c r="D293" s="155">
        <f>D276-D282-D287</f>
        <v>0</v>
      </c>
      <c r="E293" s="155">
        <f>E276-E282-E287</f>
        <v>0</v>
      </c>
      <c r="F293" s="155"/>
      <c r="G293" s="155"/>
      <c r="H293" s="155">
        <f>H276-H282-H287</f>
        <v>0</v>
      </c>
      <c r="I293" s="155">
        <f>I276-I282-I287</f>
        <v>0</v>
      </c>
      <c r="J293" s="155">
        <f>J276-J282-J287</f>
        <v>0</v>
      </c>
      <c r="K293" s="155">
        <f>K276-K282-K287</f>
        <v>0</v>
      </c>
      <c r="L293" s="155">
        <f>L276-L282-L287</f>
        <v>0</v>
      </c>
      <c r="M293" s="155">
        <f>M276-M282-M287</f>
        <v>0</v>
      </c>
      <c r="N293" s="155">
        <f>N276-N282-N287</f>
        <v>0</v>
      </c>
      <c r="O293" s="155">
        <f>O276-O282-O287</f>
        <v>0</v>
      </c>
      <c r="P293" s="155">
        <f>P276-P282-P287</f>
        <v>0</v>
      </c>
      <c r="Q293" s="155">
        <f>Q276-Q282-Q287</f>
        <v>0</v>
      </c>
      <c r="R293" s="155">
        <f t="shared" si="86"/>
        <v>0</v>
      </c>
      <c r="S293" s="155">
        <f t="shared" si="86"/>
        <v>0</v>
      </c>
      <c r="T293" s="155">
        <f t="shared" si="86"/>
        <v>0</v>
      </c>
      <c r="U293" s="155">
        <f t="shared" si="86"/>
        <v>0</v>
      </c>
      <c r="V293" s="155">
        <f t="shared" si="86"/>
        <v>0</v>
      </c>
      <c r="W293" s="155">
        <f t="shared" si="86"/>
        <v>0</v>
      </c>
      <c r="X293" s="155">
        <f t="shared" si="86"/>
        <v>0</v>
      </c>
      <c r="Y293" s="155">
        <f t="shared" si="86"/>
        <v>0</v>
      </c>
      <c r="Z293" s="155">
        <f t="shared" si="86"/>
        <v>0</v>
      </c>
      <c r="AA293" s="155">
        <f t="shared" si="86"/>
        <v>0</v>
      </c>
      <c r="AB293" s="155">
        <f t="shared" si="86"/>
        <v>0</v>
      </c>
      <c r="AC293" s="155">
        <f t="shared" si="86"/>
        <v>0</v>
      </c>
      <c r="AD293" s="155">
        <f t="shared" si="86"/>
        <v>0</v>
      </c>
      <c r="AE293" s="155">
        <f t="shared" si="86"/>
        <v>0</v>
      </c>
      <c r="AG293" s="102">
        <f t="shared" si="62"/>
        <v>0</v>
      </c>
    </row>
    <row r="294" spans="1:33" x14ac:dyDescent="0.3">
      <c r="A294" s="156" t="s">
        <v>32</v>
      </c>
      <c r="B294" s="155">
        <f>B277-B283-B288</f>
        <v>0</v>
      </c>
      <c r="C294" s="155">
        <f t="shared" si="86"/>
        <v>0</v>
      </c>
      <c r="D294" s="155">
        <f t="shared" si="86"/>
        <v>0</v>
      </c>
      <c r="E294" s="155">
        <f t="shared" si="86"/>
        <v>0</v>
      </c>
      <c r="F294" s="155"/>
      <c r="G294" s="155"/>
      <c r="H294" s="155">
        <f t="shared" si="86"/>
        <v>0</v>
      </c>
      <c r="I294" s="155">
        <f t="shared" si="86"/>
        <v>0</v>
      </c>
      <c r="J294" s="155">
        <f t="shared" si="86"/>
        <v>0</v>
      </c>
      <c r="K294" s="155">
        <f t="shared" si="86"/>
        <v>0</v>
      </c>
      <c r="L294" s="155">
        <f t="shared" si="86"/>
        <v>0</v>
      </c>
      <c r="M294" s="155">
        <f t="shared" si="86"/>
        <v>0</v>
      </c>
      <c r="N294" s="155">
        <f t="shared" si="86"/>
        <v>0</v>
      </c>
      <c r="O294" s="155">
        <f t="shared" si="86"/>
        <v>0</v>
      </c>
      <c r="P294" s="155">
        <f t="shared" si="86"/>
        <v>0</v>
      </c>
      <c r="Q294" s="155">
        <f t="shared" si="86"/>
        <v>0</v>
      </c>
      <c r="R294" s="155">
        <f t="shared" si="86"/>
        <v>0</v>
      </c>
      <c r="S294" s="155">
        <f t="shared" si="86"/>
        <v>0</v>
      </c>
      <c r="T294" s="155">
        <f t="shared" si="86"/>
        <v>0</v>
      </c>
      <c r="U294" s="155">
        <f t="shared" si="86"/>
        <v>0</v>
      </c>
      <c r="V294" s="155">
        <f t="shared" si="86"/>
        <v>0</v>
      </c>
      <c r="W294" s="155">
        <f t="shared" si="86"/>
        <v>0</v>
      </c>
      <c r="X294" s="155">
        <f t="shared" si="86"/>
        <v>0</v>
      </c>
      <c r="Y294" s="155">
        <f t="shared" si="86"/>
        <v>0</v>
      </c>
      <c r="Z294" s="155">
        <f t="shared" si="86"/>
        <v>0</v>
      </c>
      <c r="AA294" s="155">
        <f t="shared" si="86"/>
        <v>0</v>
      </c>
      <c r="AB294" s="155">
        <f t="shared" si="86"/>
        <v>0</v>
      </c>
      <c r="AC294" s="155">
        <f t="shared" si="86"/>
        <v>0</v>
      </c>
      <c r="AD294" s="155">
        <f t="shared" si="86"/>
        <v>0</v>
      </c>
      <c r="AE294" s="155">
        <f t="shared" si="86"/>
        <v>0</v>
      </c>
      <c r="AG294" s="102">
        <f t="shared" si="62"/>
        <v>0</v>
      </c>
    </row>
    <row r="295" spans="1:33" x14ac:dyDescent="0.3">
      <c r="A295" s="156" t="s">
        <v>33</v>
      </c>
      <c r="B295" s="155">
        <f>B278-B284-B289</f>
        <v>0</v>
      </c>
      <c r="C295" s="155">
        <f t="shared" si="86"/>
        <v>210.20000000004075</v>
      </c>
      <c r="D295" s="155">
        <f t="shared" si="86"/>
        <v>0</v>
      </c>
      <c r="E295" s="155">
        <f t="shared" si="86"/>
        <v>0</v>
      </c>
      <c r="F295" s="155"/>
      <c r="G295" s="155"/>
      <c r="H295" s="155">
        <f t="shared" si="86"/>
        <v>0</v>
      </c>
      <c r="I295" s="155">
        <f t="shared" si="86"/>
        <v>0</v>
      </c>
      <c r="J295" s="155">
        <f t="shared" si="86"/>
        <v>0</v>
      </c>
      <c r="K295" s="155">
        <f t="shared" si="86"/>
        <v>0</v>
      </c>
      <c r="L295" s="155">
        <f t="shared" si="86"/>
        <v>0</v>
      </c>
      <c r="M295" s="155">
        <f t="shared" si="86"/>
        <v>0</v>
      </c>
      <c r="N295" s="155">
        <f t="shared" si="86"/>
        <v>0</v>
      </c>
      <c r="O295" s="155">
        <f t="shared" si="86"/>
        <v>0</v>
      </c>
      <c r="P295" s="155">
        <f t="shared" si="86"/>
        <v>0</v>
      </c>
      <c r="Q295" s="155">
        <f t="shared" si="86"/>
        <v>0</v>
      </c>
      <c r="R295" s="155">
        <f t="shared" si="86"/>
        <v>0</v>
      </c>
      <c r="S295" s="155">
        <f t="shared" si="86"/>
        <v>0</v>
      </c>
      <c r="T295" s="155">
        <f t="shared" si="86"/>
        <v>0</v>
      </c>
      <c r="U295" s="155">
        <f t="shared" si="86"/>
        <v>0</v>
      </c>
      <c r="V295" s="155">
        <f t="shared" si="86"/>
        <v>0</v>
      </c>
      <c r="W295" s="155">
        <f t="shared" si="86"/>
        <v>0</v>
      </c>
      <c r="X295" s="155">
        <f t="shared" si="86"/>
        <v>0</v>
      </c>
      <c r="Y295" s="155">
        <f t="shared" si="86"/>
        <v>0</v>
      </c>
      <c r="Z295" s="155">
        <f t="shared" si="86"/>
        <v>0</v>
      </c>
      <c r="AA295" s="155">
        <f t="shared" si="86"/>
        <v>0</v>
      </c>
      <c r="AB295" s="155">
        <f t="shared" si="86"/>
        <v>0</v>
      </c>
      <c r="AC295" s="155">
        <f t="shared" si="86"/>
        <v>0</v>
      </c>
      <c r="AD295" s="155">
        <f t="shared" si="86"/>
        <v>0</v>
      </c>
      <c r="AE295" s="155">
        <f t="shared" si="86"/>
        <v>0</v>
      </c>
      <c r="AG295" s="102">
        <f t="shared" si="62"/>
        <v>0</v>
      </c>
    </row>
    <row r="296" spans="1:33" x14ac:dyDescent="0.3">
      <c r="A296" s="156" t="s">
        <v>170</v>
      </c>
      <c r="B296" s="155">
        <f>B279-B285-B290</f>
        <v>-41.7</v>
      </c>
      <c r="C296" s="155">
        <f t="shared" si="86"/>
        <v>-13</v>
      </c>
      <c r="D296" s="155">
        <f t="shared" si="86"/>
        <v>-66.199999999999989</v>
      </c>
      <c r="E296" s="155">
        <f t="shared" si="86"/>
        <v>-66.199999999999989</v>
      </c>
      <c r="F296" s="155"/>
      <c r="G296" s="155"/>
      <c r="H296" s="155">
        <f t="shared" si="86"/>
        <v>0</v>
      </c>
      <c r="I296" s="155">
        <f t="shared" si="86"/>
        <v>0</v>
      </c>
      <c r="J296" s="155">
        <f t="shared" si="86"/>
        <v>0</v>
      </c>
      <c r="K296" s="155">
        <f t="shared" si="86"/>
        <v>0</v>
      </c>
      <c r="L296" s="155">
        <f t="shared" si="86"/>
        <v>-9.4</v>
      </c>
      <c r="M296" s="155">
        <f t="shared" si="86"/>
        <v>-9.4</v>
      </c>
      <c r="N296" s="155">
        <f t="shared" si="86"/>
        <v>-3.6</v>
      </c>
      <c r="O296" s="155">
        <f t="shared" si="86"/>
        <v>-3.6</v>
      </c>
      <c r="P296" s="155">
        <f t="shared" si="86"/>
        <v>-11.2</v>
      </c>
      <c r="Q296" s="155">
        <f t="shared" si="86"/>
        <v>0</v>
      </c>
      <c r="R296" s="155">
        <f t="shared" si="86"/>
        <v>-42</v>
      </c>
      <c r="S296" s="155">
        <f t="shared" si="86"/>
        <v>0</v>
      </c>
      <c r="T296" s="155">
        <f t="shared" si="86"/>
        <v>-0.7</v>
      </c>
      <c r="U296" s="155">
        <f t="shared" si="86"/>
        <v>0</v>
      </c>
      <c r="V296" s="155">
        <f t="shared" si="86"/>
        <v>-0.7</v>
      </c>
      <c r="W296" s="155">
        <f t="shared" si="86"/>
        <v>0</v>
      </c>
      <c r="X296" s="155">
        <f t="shared" si="86"/>
        <v>-13.3</v>
      </c>
      <c r="Y296" s="155">
        <f t="shared" si="86"/>
        <v>0</v>
      </c>
      <c r="Z296" s="155">
        <f t="shared" si="86"/>
        <v>-0.7</v>
      </c>
      <c r="AA296" s="155">
        <f t="shared" si="86"/>
        <v>0</v>
      </c>
      <c r="AB296" s="155">
        <f t="shared" si="86"/>
        <v>-0.7</v>
      </c>
      <c r="AC296" s="155">
        <f t="shared" si="86"/>
        <v>0</v>
      </c>
      <c r="AD296" s="155">
        <f t="shared" si="86"/>
        <v>-0.7</v>
      </c>
      <c r="AE296" s="155">
        <f t="shared" si="86"/>
        <v>0</v>
      </c>
      <c r="AG296" s="102">
        <f t="shared" si="62"/>
        <v>41.300000000000004</v>
      </c>
    </row>
    <row r="299" spans="1:33" x14ac:dyDescent="0.3">
      <c r="B299" s="155">
        <f>B275-'[1]04 "Культурное простр."'!$C$8</f>
        <v>21722.304000000062</v>
      </c>
    </row>
    <row r="301" spans="1:33" x14ac:dyDescent="0.3">
      <c r="B301" s="155">
        <f t="shared" ref="B301:AE301" si="87">B13+B19+B32+B39+B45+B51+B58+B71+B77+B83+B89+B95+B107+B113+B119+B131+B139+B152+B177+B189+B195+B201+B207+B213+B227+B233+B245+B251+B265+B271-B276</f>
        <v>0</v>
      </c>
      <c r="C301" s="155">
        <f t="shared" si="87"/>
        <v>0</v>
      </c>
      <c r="D301" s="155">
        <f t="shared" si="87"/>
        <v>0</v>
      </c>
      <c r="E301" s="155">
        <f t="shared" si="87"/>
        <v>0</v>
      </c>
      <c r="F301" s="155">
        <f t="shared" si="87"/>
        <v>0</v>
      </c>
      <c r="G301" s="155">
        <f t="shared" si="87"/>
        <v>-100.104662226451</v>
      </c>
      <c r="H301" s="155">
        <f t="shared" si="87"/>
        <v>0</v>
      </c>
      <c r="I301" s="155">
        <f t="shared" si="87"/>
        <v>0</v>
      </c>
      <c r="J301" s="155">
        <f t="shared" si="87"/>
        <v>0</v>
      </c>
      <c r="K301" s="155">
        <f t="shared" si="87"/>
        <v>0</v>
      </c>
      <c r="L301" s="155">
        <f t="shared" si="87"/>
        <v>0</v>
      </c>
      <c r="M301" s="155">
        <f t="shared" si="87"/>
        <v>0</v>
      </c>
      <c r="N301" s="155">
        <f t="shared" si="87"/>
        <v>0</v>
      </c>
      <c r="O301" s="155">
        <f t="shared" si="87"/>
        <v>0</v>
      </c>
      <c r="P301" s="155">
        <f t="shared" si="87"/>
        <v>0</v>
      </c>
      <c r="Q301" s="155">
        <f t="shared" si="87"/>
        <v>0</v>
      </c>
      <c r="R301" s="155">
        <f t="shared" si="87"/>
        <v>0</v>
      </c>
      <c r="S301" s="155">
        <f t="shared" si="87"/>
        <v>0</v>
      </c>
      <c r="T301" s="155">
        <f t="shared" si="87"/>
        <v>0</v>
      </c>
      <c r="U301" s="155">
        <f t="shared" si="87"/>
        <v>0</v>
      </c>
      <c r="V301" s="155">
        <f t="shared" si="87"/>
        <v>0</v>
      </c>
      <c r="W301" s="155">
        <f t="shared" si="87"/>
        <v>0</v>
      </c>
      <c r="X301" s="155">
        <f t="shared" si="87"/>
        <v>0</v>
      </c>
      <c r="Y301" s="155">
        <f t="shared" si="87"/>
        <v>0</v>
      </c>
      <c r="Z301" s="155">
        <f t="shared" si="87"/>
        <v>0</v>
      </c>
      <c r="AA301" s="155">
        <f t="shared" si="87"/>
        <v>0</v>
      </c>
      <c r="AB301" s="155">
        <f t="shared" si="87"/>
        <v>0</v>
      </c>
      <c r="AC301" s="155">
        <f t="shared" si="87"/>
        <v>0</v>
      </c>
      <c r="AD301" s="155">
        <f t="shared" si="87"/>
        <v>0</v>
      </c>
      <c r="AE301" s="155">
        <f t="shared" si="87"/>
        <v>0</v>
      </c>
    </row>
    <row r="302" spans="1:33" x14ac:dyDescent="0.3">
      <c r="B302" s="155">
        <f t="shared" ref="B302:AE302" si="88">B14+B20+B33+B40+B46+B52+B59+B72+B78+B84+B90+B96+B108+B114+B120+B132+B140+B153+B178+B190+B196+B202+B208+B214+B228+B234+B246+B252+B266+B272-B277</f>
        <v>0</v>
      </c>
      <c r="C302" s="155">
        <f t="shared" si="88"/>
        <v>0</v>
      </c>
      <c r="D302" s="155">
        <f t="shared" si="88"/>
        <v>0</v>
      </c>
      <c r="E302" s="155">
        <f t="shared" si="88"/>
        <v>0</v>
      </c>
      <c r="F302" s="155">
        <f t="shared" si="88"/>
        <v>88.594696884266767</v>
      </c>
      <c r="G302" s="155">
        <f t="shared" si="88"/>
        <v>-1024.0277777777778</v>
      </c>
      <c r="H302" s="155">
        <f t="shared" si="88"/>
        <v>0</v>
      </c>
      <c r="I302" s="155">
        <f t="shared" si="88"/>
        <v>0</v>
      </c>
      <c r="J302" s="155">
        <f t="shared" si="88"/>
        <v>0</v>
      </c>
      <c r="K302" s="155">
        <f t="shared" si="88"/>
        <v>0</v>
      </c>
      <c r="L302" s="155">
        <f t="shared" si="88"/>
        <v>0</v>
      </c>
      <c r="M302" s="155">
        <f t="shared" si="88"/>
        <v>0</v>
      </c>
      <c r="N302" s="155">
        <f t="shared" si="88"/>
        <v>0</v>
      </c>
      <c r="O302" s="155">
        <f t="shared" si="88"/>
        <v>0</v>
      </c>
      <c r="P302" s="155">
        <f t="shared" si="88"/>
        <v>0</v>
      </c>
      <c r="Q302" s="155">
        <f t="shared" si="88"/>
        <v>0</v>
      </c>
      <c r="R302" s="155">
        <f t="shared" si="88"/>
        <v>0</v>
      </c>
      <c r="S302" s="155">
        <f t="shared" si="88"/>
        <v>0</v>
      </c>
      <c r="T302" s="155">
        <f t="shared" si="88"/>
        <v>0</v>
      </c>
      <c r="U302" s="155">
        <f t="shared" si="88"/>
        <v>0</v>
      </c>
      <c r="V302" s="155">
        <f t="shared" si="88"/>
        <v>0</v>
      </c>
      <c r="W302" s="155">
        <f t="shared" si="88"/>
        <v>0</v>
      </c>
      <c r="X302" s="155">
        <f t="shared" si="88"/>
        <v>0</v>
      </c>
      <c r="Y302" s="155">
        <f t="shared" si="88"/>
        <v>0</v>
      </c>
      <c r="Z302" s="155">
        <f t="shared" si="88"/>
        <v>0</v>
      </c>
      <c r="AA302" s="155">
        <f t="shared" si="88"/>
        <v>0</v>
      </c>
      <c r="AB302" s="155">
        <f t="shared" si="88"/>
        <v>0</v>
      </c>
      <c r="AC302" s="155">
        <f t="shared" si="88"/>
        <v>0</v>
      </c>
      <c r="AD302" s="155">
        <f t="shared" si="88"/>
        <v>0</v>
      </c>
      <c r="AE302" s="155">
        <f t="shared" si="88"/>
        <v>0</v>
      </c>
    </row>
    <row r="303" spans="1:33" x14ac:dyDescent="0.3">
      <c r="B303" s="155">
        <f t="shared" ref="B303:AE303" si="89">B15+B21+B34+B41+B47+B53+B60+B73+B79+B85+B91+B97+B109+B115+B121+B133+B141+B154+B179+B191+B197+B203+B209+B215+B229+B235+B247+B253+B267+B273-B278</f>
        <v>0</v>
      </c>
      <c r="C303" s="155">
        <f t="shared" si="89"/>
        <v>-210.20000000001164</v>
      </c>
      <c r="D303" s="155">
        <f t="shared" si="89"/>
        <v>0</v>
      </c>
      <c r="E303" s="155">
        <f t="shared" si="89"/>
        <v>0</v>
      </c>
      <c r="F303" s="155">
        <f t="shared" si="89"/>
        <v>1307.2687542456308</v>
      </c>
      <c r="G303" s="155">
        <f t="shared" si="89"/>
        <v>2244.5271284579749</v>
      </c>
      <c r="H303" s="155">
        <f t="shared" si="89"/>
        <v>0</v>
      </c>
      <c r="I303" s="155">
        <f t="shared" si="89"/>
        <v>0</v>
      </c>
      <c r="J303" s="155">
        <f t="shared" si="89"/>
        <v>0</v>
      </c>
      <c r="K303" s="155">
        <f t="shared" si="89"/>
        <v>0</v>
      </c>
      <c r="L303" s="155">
        <f t="shared" si="89"/>
        <v>0</v>
      </c>
      <c r="M303" s="155">
        <f t="shared" si="89"/>
        <v>0</v>
      </c>
      <c r="N303" s="155">
        <f t="shared" si="89"/>
        <v>0</v>
      </c>
      <c r="O303" s="155">
        <f t="shared" si="89"/>
        <v>0</v>
      </c>
      <c r="P303" s="155">
        <f t="shared" si="89"/>
        <v>0</v>
      </c>
      <c r="Q303" s="155">
        <f t="shared" si="89"/>
        <v>0</v>
      </c>
      <c r="R303" s="155">
        <f t="shared" si="89"/>
        <v>0</v>
      </c>
      <c r="S303" s="155">
        <f t="shared" si="89"/>
        <v>0</v>
      </c>
      <c r="T303" s="155">
        <f t="shared" si="89"/>
        <v>0</v>
      </c>
      <c r="U303" s="155">
        <f t="shared" si="89"/>
        <v>0</v>
      </c>
      <c r="V303" s="155">
        <f t="shared" si="89"/>
        <v>0</v>
      </c>
      <c r="W303" s="155">
        <f t="shared" si="89"/>
        <v>0</v>
      </c>
      <c r="X303" s="155">
        <f t="shared" si="89"/>
        <v>0</v>
      </c>
      <c r="Y303" s="155">
        <f t="shared" si="89"/>
        <v>0</v>
      </c>
      <c r="Z303" s="155">
        <f t="shared" si="89"/>
        <v>0</v>
      </c>
      <c r="AA303" s="155">
        <f t="shared" si="89"/>
        <v>0</v>
      </c>
      <c r="AB303" s="155">
        <f t="shared" si="89"/>
        <v>0</v>
      </c>
      <c r="AC303" s="155">
        <f t="shared" si="89"/>
        <v>0</v>
      </c>
      <c r="AD303" s="155">
        <f t="shared" si="89"/>
        <v>0</v>
      </c>
      <c r="AE303" s="155">
        <f t="shared" si="89"/>
        <v>0</v>
      </c>
    </row>
    <row r="304" spans="1:33" x14ac:dyDescent="0.3">
      <c r="B304" s="155">
        <f t="shared" ref="B304:AE304" si="90">B16+B22+B35+B42+B48+B54+B61+B74+B80+B86+B92+B98+B110+B116+B122+B134+B142+B155+B180+B192+B198+B204+B210+B216+B230+B236+B248+B254+B268+B274-B279</f>
        <v>41.7</v>
      </c>
      <c r="C304" s="155">
        <f t="shared" si="90"/>
        <v>13</v>
      </c>
      <c r="D304" s="155">
        <f t="shared" si="90"/>
        <v>66.199999999999989</v>
      </c>
      <c r="E304" s="155">
        <f t="shared" si="90"/>
        <v>66.199999999999989</v>
      </c>
      <c r="F304" s="155">
        <f t="shared" si="90"/>
        <v>59.712230215827333</v>
      </c>
      <c r="G304" s="155">
        <f t="shared" si="90"/>
        <v>191.53846153846149</v>
      </c>
      <c r="H304" s="155">
        <f t="shared" si="90"/>
        <v>0</v>
      </c>
      <c r="I304" s="155">
        <f t="shared" si="90"/>
        <v>0</v>
      </c>
      <c r="J304" s="155">
        <f t="shared" si="90"/>
        <v>0</v>
      </c>
      <c r="K304" s="155">
        <f t="shared" si="90"/>
        <v>0</v>
      </c>
      <c r="L304" s="155">
        <f t="shared" si="90"/>
        <v>9.4</v>
      </c>
      <c r="M304" s="155">
        <f t="shared" si="90"/>
        <v>9.4</v>
      </c>
      <c r="N304" s="155">
        <f t="shared" si="90"/>
        <v>3.6</v>
      </c>
      <c r="O304" s="155">
        <f t="shared" si="90"/>
        <v>3.6</v>
      </c>
      <c r="P304" s="155">
        <f t="shared" si="90"/>
        <v>11.2</v>
      </c>
      <c r="Q304" s="155">
        <f t="shared" si="90"/>
        <v>0</v>
      </c>
      <c r="R304" s="155">
        <f t="shared" si="90"/>
        <v>42</v>
      </c>
      <c r="S304" s="155">
        <f t="shared" si="90"/>
        <v>0</v>
      </c>
      <c r="T304" s="155">
        <f t="shared" si="90"/>
        <v>0.7</v>
      </c>
      <c r="U304" s="155">
        <f t="shared" si="90"/>
        <v>0</v>
      </c>
      <c r="V304" s="155">
        <f t="shared" si="90"/>
        <v>0.7</v>
      </c>
      <c r="W304" s="155">
        <f t="shared" si="90"/>
        <v>0</v>
      </c>
      <c r="X304" s="155">
        <f t="shared" si="90"/>
        <v>13.3</v>
      </c>
      <c r="Y304" s="155">
        <f t="shared" si="90"/>
        <v>0</v>
      </c>
      <c r="Z304" s="155">
        <f t="shared" si="90"/>
        <v>0.7</v>
      </c>
      <c r="AA304" s="155">
        <f t="shared" si="90"/>
        <v>0</v>
      </c>
      <c r="AB304" s="155">
        <f t="shared" si="90"/>
        <v>0.7</v>
      </c>
      <c r="AC304" s="155">
        <f t="shared" si="90"/>
        <v>0</v>
      </c>
      <c r="AD304" s="155">
        <f t="shared" si="90"/>
        <v>0.7</v>
      </c>
      <c r="AE304" s="155">
        <f t="shared" si="90"/>
        <v>0</v>
      </c>
    </row>
  </sheetData>
  <customSheetViews>
    <customSheetView guid="{7C130984-112A-4861-AA43-E2940708E3DC}" scale="55">
      <pane xSplit="2" ySplit="11" topLeftCell="E174" activePane="bottomRight" state="frozen"/>
      <selection pane="bottomRight" activeCell="G298" sqref="G298"/>
      <pageMargins left="0.7" right="0.7" top="0.75" bottom="0.75" header="0.3" footer="0.3"/>
      <pageSetup paperSize="9" scale="50" orientation="landscape" r:id="rId1"/>
    </customSheetView>
    <customSheetView guid="{4F41B9CC-959D-442C-80B0-1F0DB2C76D27}" scale="70">
      <pane xSplit="2" ySplit="10" topLeftCell="C282" activePane="bottomRight" state="frozen"/>
      <selection pane="bottomRight" activeCell="C292" sqref="C292"/>
      <pageMargins left="0.7" right="0.7" top="0.75" bottom="0.75" header="0.3" footer="0.3"/>
      <pageSetup paperSize="9" scale="50" orientation="landscape" r:id="rId2"/>
    </customSheetView>
    <customSheetView guid="{391AB76E-B386-49C1-800F-016A48AA1A46}" scale="70">
      <pane xSplit="2" ySplit="11" topLeftCell="C282" activePane="bottomRight" state="frozen"/>
      <selection pane="bottomRight" activeCell="C292" sqref="C292"/>
      <pageMargins left="0.7" right="0.7" top="0.75" bottom="0.75" header="0.3" footer="0.3"/>
      <pageSetup paperSize="9" scale="50" orientation="landscape" r:id="rId3"/>
    </customSheetView>
    <customSheetView guid="{D01FA037-9AEC-4167-ADB8-2F327C01ECE6}" scale="70">
      <pane xSplit="2" ySplit="11" topLeftCell="C282" activePane="bottomRight" state="frozen"/>
      <selection pane="bottomRight" activeCell="C292" sqref="C292"/>
      <pageMargins left="0.7" right="0.7" top="0.75" bottom="0.75" header="0.3" footer="0.3"/>
      <pageSetup paperSize="9" scale="50" orientation="landscape" r:id="rId4"/>
    </customSheetView>
    <customSheetView guid="{6A602CB8-B24C-4ED4-B378-B27354BE0A1A}" scale="70">
      <pane xSplit="2" ySplit="11" topLeftCell="C282" activePane="bottomRight" state="frozen"/>
      <selection pane="bottomRight" activeCell="C292" sqref="C292"/>
      <pageMargins left="0.7" right="0.7" top="0.75" bottom="0.75" header="0.3" footer="0.3"/>
      <pageSetup paperSize="9" scale="50" orientation="landscape" r:id="rId5"/>
    </customSheetView>
    <customSheetView guid="{DAA8A688-7558-4B5B-8DBD-E2629BD9E9A8}" scale="70">
      <pane xSplit="2" ySplit="11" topLeftCell="C282" activePane="bottomRight" state="frozen"/>
      <selection pane="bottomRight" activeCell="C292" sqref="C292"/>
      <pageMargins left="0.7" right="0.7" top="0.75" bottom="0.75" header="0.3" footer="0.3"/>
      <pageSetup paperSize="9" scale="50" orientation="landscape" r:id="rId6"/>
    </customSheetView>
    <customSheetView guid="{0C2B9C2A-7B94-41EF-A2E6-F8AC9A67DE25}" scale="70">
      <pane xSplit="2" ySplit="11" topLeftCell="C282" activePane="bottomRight" state="frozen"/>
      <selection pane="bottomRight" activeCell="C292" sqref="C292"/>
      <pageMargins left="0.7" right="0.7" top="0.75" bottom="0.75" header="0.3" footer="0.3"/>
      <pageSetup paperSize="9" scale="50" orientation="landscape" r:id="rId7"/>
    </customSheetView>
    <customSheetView guid="{87218168-6C8E-4D5B-A5E5-DCCC26803AA3}" scale="70">
      <pane xSplit="2" ySplit="11" topLeftCell="C27" activePane="bottomRight" state="frozen"/>
      <selection pane="bottomRight" activeCell="E30" sqref="E30"/>
      <pageMargins left="0.7" right="0.7" top="0.75" bottom="0.75" header="0.3" footer="0.3"/>
      <pageSetup paperSize="9" scale="50" orientation="landscape" r:id="rId8"/>
    </customSheetView>
    <customSheetView guid="{533DC55B-6AD4-4674-9488-685EF2039F3E}" scale="70">
      <pane xSplit="2" ySplit="11" topLeftCell="C27" activePane="bottomRight" state="frozen"/>
      <selection pane="bottomRight" activeCell="E30" sqref="E30"/>
      <pageMargins left="0.7" right="0.7" top="0.75" bottom="0.75" header="0.3" footer="0.3"/>
      <pageSetup paperSize="9" scale="50" orientation="landscape" r:id="rId9"/>
    </customSheetView>
    <customSheetView guid="{69DABE6F-6182-4403-A4A2-969F10F1C13A}" scale="70">
      <pane xSplit="2" ySplit="11" topLeftCell="C27" activePane="bottomRight" state="frozen"/>
      <selection pane="bottomRight" activeCell="E30" sqref="E30"/>
      <pageMargins left="0.7" right="0.7" top="0.75" bottom="0.75" header="0.3" footer="0.3"/>
      <pageSetup paperSize="9" scale="50" orientation="landscape" r:id="rId10"/>
    </customSheetView>
    <customSheetView guid="{84867370-1F3E-4368-AF79-FBCE46FFFE92}" scale="70">
      <pane xSplit="2" ySplit="11" topLeftCell="C27" activePane="bottomRight" state="frozen"/>
      <selection pane="bottomRight" activeCell="E30" sqref="E30"/>
      <pageMargins left="0.7" right="0.7" top="0.75" bottom="0.75" header="0.3" footer="0.3"/>
      <pageSetup paperSize="9" scale="50" orientation="landscape" r:id="rId11"/>
    </customSheetView>
    <customSheetView guid="{47B983AB-FE5F-4725-860C-A2F29420596D}" scale="70">
      <pane xSplit="2" ySplit="11" topLeftCell="C45" activePane="bottomRight" state="frozen"/>
      <selection pane="bottomRight" activeCell="A56" sqref="A56"/>
      <pageMargins left="0.7" right="0.7" top="0.75" bottom="0.75" header="0.3" footer="0.3"/>
      <pageSetup paperSize="9" orientation="portrait" r:id="rId12"/>
    </customSheetView>
    <customSheetView guid="{959E901C-5DDE-42EE-AE94-AB8976B5E00B}" scale="70">
      <pane xSplit="2" ySplit="11" topLeftCell="S235" activePane="bottomRight" state="frozen"/>
      <selection pane="bottomRight" activeCell="AF56" sqref="AF56"/>
      <pageMargins left="0.7" right="0.7" top="0.75" bottom="0.75" header="0.3" footer="0.3"/>
    </customSheetView>
    <customSheetView guid="{F679EF4A-C5FD-4B86-B87B-D85968E0F2CA}" scale="70">
      <pane xSplit="2" ySplit="11" topLeftCell="C282" activePane="bottomRight" state="frozen"/>
      <selection pane="bottomRight" activeCell="E288" sqref="E288"/>
      <pageMargins left="0.7" right="0.7" top="0.75" bottom="0.75" header="0.3" footer="0.3"/>
    </customSheetView>
    <customSheetView guid="{009B3074-D8EC-4952-BF50-43CD64449612}" scale="70">
      <pane xSplit="2" ySplit="11" topLeftCell="F12" activePane="bottomRight" state="frozen"/>
      <selection pane="bottomRight" activeCell="A35" sqref="A35"/>
      <pageMargins left="0.7" right="0.7" top="0.75" bottom="0.75" header="0.3" footer="0.3"/>
    </customSheetView>
    <customSheetView guid="{770624BF-07F3-44B6-94C3-4CC447CDD45C}" scale="70">
      <pane xSplit="2" ySplit="11" topLeftCell="E12" activePane="bottomRight" state="frozen"/>
      <selection pane="bottomRight" activeCell="B13" sqref="B13"/>
      <pageMargins left="0.7" right="0.7" top="0.75" bottom="0.75" header="0.3" footer="0.3"/>
    </customSheetView>
    <customSheetView guid="{B82BA08A-1A30-4F4D-A478-74A6BD09EA97}" scale="70">
      <pane xSplit="2" ySplit="11" topLeftCell="E12" activePane="bottomRight" state="frozen"/>
      <selection pane="bottomRight" activeCell="B13" sqref="B13"/>
      <pageMargins left="0.7" right="0.7" top="0.75" bottom="0.75" header="0.3" footer="0.3"/>
    </customSheetView>
    <customSheetView guid="{874882D1-E741-4CCA-BF0D-E72FA60B771D}" scale="70">
      <pane xSplit="2" ySplit="11" topLeftCell="E12" activePane="bottomRight" state="frozen"/>
      <selection pane="bottomRight" activeCell="N25" sqref="N25"/>
      <pageMargins left="0.7" right="0.7" top="0.75" bottom="0.75" header="0.3" footer="0.3"/>
    </customSheetView>
    <customSheetView guid="{C236B307-BD63-48C4-A75F-B3F3717BF55C}" scale="70">
      <pane xSplit="2" ySplit="11" topLeftCell="C294" activePane="bottomRight" state="frozen"/>
      <selection pane="bottomRight" activeCell="J272" sqref="J272"/>
      <pageMargins left="0.7" right="0.7" top="0.75" bottom="0.75" header="0.3" footer="0.3"/>
    </customSheetView>
    <customSheetView guid="{BCD82A82-B724-4763-8580-D765356E09BA}" scale="70">
      <pane xSplit="2" ySplit="11" topLeftCell="K12" activePane="bottomRight" state="frozen"/>
      <selection pane="bottomRight" activeCell="A4" sqref="A4:AF4"/>
      <pageMargins left="0.7" right="0.7" top="0.75" bottom="0.75" header="0.3" footer="0.3"/>
    </customSheetView>
    <customSheetView guid="{B1BF08D1-D416-4B47-ADD0-4F59132DC9E8}" scale="70">
      <pane xSplit="2" ySplit="11" topLeftCell="S235" activePane="bottomRight" state="frozen"/>
      <selection pane="bottomRight" activeCell="AF56" sqref="AF56"/>
      <pageMargins left="0.7" right="0.7" top="0.75" bottom="0.75" header="0.3" footer="0.3"/>
    </customSheetView>
    <customSheetView guid="{85F4575B-DBC5-482A-9916-255D8F0BC94E}" scale="70">
      <pane xSplit="2" ySplit="11" topLeftCell="S235" activePane="bottomRight" state="frozen"/>
      <selection pane="bottomRight" activeCell="AF56" sqref="AF56"/>
      <pageMargins left="0.7" right="0.7" top="0.75" bottom="0.75" header="0.3" footer="0.3"/>
    </customSheetView>
    <customSheetView guid="{74870EE6-26B9-40F7-9DC9-260EF16D8959}" scale="70">
      <pane xSplit="2" ySplit="11" topLeftCell="C27" activePane="bottomRight" state="frozen"/>
      <selection pane="bottomRight" activeCell="E30" sqref="E30"/>
      <pageMargins left="0.7" right="0.7" top="0.75" bottom="0.75" header="0.3" footer="0.3"/>
      <pageSetup paperSize="9" scale="50" orientation="landscape" r:id="rId13"/>
    </customSheetView>
    <customSheetView guid="{E508E171-4ED9-4B07-84DF-DA28C60E1969}" scale="70">
      <pane xSplit="2" ySplit="11" topLeftCell="C282" activePane="bottomRight" state="frozen"/>
      <selection pane="bottomRight" activeCell="C292" sqref="C292"/>
      <pageMargins left="0.7" right="0.7" top="0.75" bottom="0.75" header="0.3" footer="0.3"/>
      <pageSetup paperSize="9" scale="50" orientation="landscape" r:id="rId14"/>
    </customSheetView>
    <customSheetView guid="{4D0DFB57-2CBA-42F2-9A97-C453A6851FBA}" scale="70">
      <pane xSplit="2" ySplit="11" topLeftCell="C282" activePane="bottomRight" state="frozen"/>
      <selection pane="bottomRight" activeCell="C292" sqref="C292"/>
      <pageMargins left="0.7" right="0.7" top="0.75" bottom="0.75" header="0.3" footer="0.3"/>
      <pageSetup paperSize="9" scale="50" orientation="landscape" r:id="rId15"/>
    </customSheetView>
    <customSheetView guid="{CE1CCA00-200D-4EAA-9FBE-F8EE7C5F82FE}" scale="70">
      <pane xSplit="2" ySplit="11" topLeftCell="C282" activePane="bottomRight" state="frozen"/>
      <selection pane="bottomRight" activeCell="C292" sqref="C292"/>
      <pageMargins left="0.7" right="0.7" top="0.75" bottom="0.75" header="0.3" footer="0.3"/>
      <pageSetup paperSize="9" scale="50" orientation="landscape" r:id="rId16"/>
    </customSheetView>
    <customSheetView guid="{442F2C94-DD1B-4A01-8694-513D4D6F3BD9}" scale="70">
      <pane xSplit="2" ySplit="11" topLeftCell="C282" activePane="bottomRight" state="frozen"/>
      <selection pane="bottomRight" activeCell="C292" sqref="C292"/>
      <pageMargins left="0.7" right="0.7" top="0.75" bottom="0.75" header="0.3" footer="0.3"/>
      <pageSetup paperSize="9" scale="50" orientation="landscape" r:id="rId17"/>
    </customSheetView>
    <customSheetView guid="{AC2D5927-4079-4C74-AF69-1BFAC505648F}" scale="70">
      <pane xSplit="2" ySplit="11" topLeftCell="C282" activePane="bottomRight" state="frozen"/>
      <selection pane="bottomRight" activeCell="C292" sqref="C292"/>
      <pageMargins left="0.7" right="0.7" top="0.75" bottom="0.75" header="0.3" footer="0.3"/>
      <pageSetup paperSize="9" scale="50" orientation="landscape" r:id="rId18"/>
    </customSheetView>
    <customSheetView guid="{602C8EDB-B9EF-4C85-B0D5-0558C3A0ABAB}" scale="70">
      <pane xSplit="2" ySplit="11" topLeftCell="C282" activePane="bottomRight" state="frozen"/>
      <selection pane="bottomRight" activeCell="C292" sqref="C292"/>
      <pageMargins left="0.7" right="0.7" top="0.75" bottom="0.75" header="0.3" footer="0.3"/>
      <pageSetup paperSize="9" scale="50" orientation="landscape" r:id="rId19"/>
    </customSheetView>
    <customSheetView guid="{09C3E205-981E-4A4E-BE89-8B7044192060}" scale="55">
      <pane xSplit="2" ySplit="11" topLeftCell="C81" activePane="bottomRight" state="frozen"/>
      <selection pane="bottomRight" activeCell="Q22" sqref="Q22"/>
      <pageMargins left="0.7" right="0.7" top="0.75" bottom="0.75" header="0.3" footer="0.3"/>
      <pageSetup paperSize="9" scale="50" orientation="landscape" r:id="rId20"/>
    </customSheetView>
  </customSheetViews>
  <mergeCells count="26">
    <mergeCell ref="A217:AF217"/>
    <mergeCell ref="A218:AF218"/>
    <mergeCell ref="A255:AF255"/>
    <mergeCell ref="A256:AF256"/>
    <mergeCell ref="A9:AF9"/>
    <mergeCell ref="A10:AF10"/>
    <mergeCell ref="A23:AF23"/>
    <mergeCell ref="A135:AF135"/>
    <mergeCell ref="A136:AF136"/>
    <mergeCell ref="A143:AF143"/>
    <mergeCell ref="AF6:AF7"/>
    <mergeCell ref="A4:AF4"/>
    <mergeCell ref="A6:A7"/>
    <mergeCell ref="F6:G6"/>
    <mergeCell ref="H6:I6"/>
    <mergeCell ref="J6:K6"/>
    <mergeCell ref="L6:M6"/>
    <mergeCell ref="N6:O6"/>
    <mergeCell ref="P6:Q6"/>
    <mergeCell ref="R6:S6"/>
    <mergeCell ref="T6:U6"/>
    <mergeCell ref="V6:W6"/>
    <mergeCell ref="X6:Y6"/>
    <mergeCell ref="Z6:AA6"/>
    <mergeCell ref="AB6:AC6"/>
    <mergeCell ref="AD6:AE6"/>
  </mergeCells>
  <hyperlinks>
    <hyperlink ref="A4:AF4" location="Оглавление!A1" display="Комплексный план (сетевой график) по реализации муниципальной программы  &quot;Культурное пространство города Когалыма&quot;"/>
  </hyperlinks>
  <pageMargins left="0.7" right="0.7" top="0.75" bottom="0.75" header="0.3" footer="0.3"/>
  <pageSetup paperSize="9" scale="50" orientation="landscape" r:id="rId21"/>
  <legacyDrawing r:id="rId2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46"/>
  <sheetViews>
    <sheetView zoomScale="70" zoomScaleNormal="70" zoomScaleSheetLayoutView="70" workbookViewId="0">
      <pane xSplit="2" ySplit="10" topLeftCell="C11" activePane="bottomRight" state="frozen"/>
      <selection activeCell="F284" sqref="F284:G284"/>
      <selection pane="topRight" activeCell="F284" sqref="F284:G284"/>
      <selection pane="bottomLeft" activeCell="F284" sqref="F284:G284"/>
      <selection pane="bottomRight" activeCell="A49" sqref="A49"/>
    </sheetView>
  </sheetViews>
  <sheetFormatPr defaultColWidth="9.140625" defaultRowHeight="18.75" x14ac:dyDescent="0.3"/>
  <cols>
    <col min="1" max="1" width="68.140625" style="10" customWidth="1"/>
    <col min="2" max="5" width="15.140625" style="10" customWidth="1"/>
    <col min="6" max="6" width="16.140625" style="10" customWidth="1"/>
    <col min="7" max="7" width="19.42578125" style="10" customWidth="1"/>
    <col min="8" max="31" width="13.85546875" style="10" customWidth="1"/>
    <col min="32" max="32" width="34.7109375" style="10" customWidth="1"/>
    <col min="33" max="33" width="9.140625" style="159"/>
    <col min="34" max="16384" width="9.140625" style="10"/>
  </cols>
  <sheetData>
    <row r="1" spans="1:33" ht="18.75" customHeight="1" x14ac:dyDescent="0.3">
      <c r="A1" s="1035"/>
      <c r="B1" s="1035"/>
      <c r="C1" s="1035"/>
      <c r="D1" s="1035"/>
      <c r="E1" s="1035"/>
      <c r="F1" s="1035"/>
      <c r="G1" s="1035"/>
      <c r="H1" s="1035"/>
      <c r="I1" s="1035"/>
      <c r="J1" s="1035"/>
      <c r="K1" s="1035"/>
      <c r="L1" s="1035"/>
      <c r="M1" s="1035"/>
      <c r="N1" s="1035"/>
      <c r="O1" s="1035"/>
      <c r="P1" s="1035"/>
      <c r="Q1" s="1035"/>
      <c r="R1" s="1035"/>
      <c r="S1" s="1035"/>
      <c r="T1" s="1035"/>
      <c r="U1" s="1035"/>
      <c r="V1" s="1035"/>
      <c r="W1" s="1035"/>
      <c r="X1" s="1035"/>
      <c r="Y1" s="1035"/>
      <c r="Z1" s="1035"/>
      <c r="AA1" s="1035"/>
      <c r="AB1" s="1035"/>
      <c r="AC1" s="1035"/>
      <c r="AD1" s="1035"/>
      <c r="AE1" s="157"/>
      <c r="AF1" s="158"/>
    </row>
    <row r="2" spans="1:33" ht="18.75" customHeight="1" x14ac:dyDescent="0.3">
      <c r="A2" s="1035"/>
      <c r="B2" s="1035"/>
      <c r="C2" s="1035"/>
      <c r="D2" s="1035"/>
      <c r="E2" s="1035"/>
      <c r="F2" s="1035"/>
      <c r="G2" s="1035"/>
      <c r="H2" s="1035"/>
      <c r="I2" s="1035"/>
      <c r="J2" s="1035"/>
      <c r="K2" s="1035"/>
      <c r="L2" s="1035"/>
      <c r="M2" s="1035"/>
      <c r="N2" s="1035"/>
      <c r="O2" s="1035"/>
      <c r="P2" s="1035"/>
      <c r="Q2" s="1035"/>
      <c r="R2" s="1035"/>
      <c r="S2" s="1035"/>
      <c r="T2" s="1035"/>
      <c r="U2" s="1035"/>
      <c r="V2" s="1035"/>
      <c r="W2" s="1035"/>
      <c r="X2" s="1035"/>
      <c r="Y2" s="1035"/>
      <c r="Z2" s="1035"/>
      <c r="AA2" s="1035"/>
      <c r="AB2" s="1035"/>
      <c r="AC2" s="1035"/>
      <c r="AD2" s="1035"/>
      <c r="AE2" s="157"/>
      <c r="AF2" s="158"/>
    </row>
    <row r="3" spans="1:33" ht="18.75" customHeight="1" x14ac:dyDescent="0.3">
      <c r="A3" s="1035"/>
      <c r="B3" s="1035"/>
      <c r="C3" s="1035"/>
      <c r="D3" s="1035"/>
      <c r="E3" s="1035"/>
      <c r="F3" s="1035"/>
      <c r="G3" s="1035"/>
      <c r="H3" s="1035"/>
      <c r="I3" s="1035"/>
      <c r="J3" s="1035"/>
      <c r="K3" s="1035"/>
      <c r="L3" s="1035"/>
      <c r="M3" s="1035"/>
      <c r="N3" s="1035"/>
      <c r="O3" s="1035"/>
      <c r="P3" s="1035"/>
      <c r="Q3" s="1035"/>
      <c r="R3" s="1035"/>
      <c r="S3" s="1035"/>
      <c r="T3" s="1035"/>
      <c r="U3" s="1035"/>
      <c r="V3" s="1035"/>
      <c r="W3" s="1035"/>
      <c r="X3" s="1035"/>
      <c r="Y3" s="1035"/>
      <c r="Z3" s="1035"/>
      <c r="AA3" s="1035"/>
      <c r="AB3" s="1035"/>
      <c r="AC3" s="1035"/>
      <c r="AD3" s="1035"/>
      <c r="AE3" s="157"/>
      <c r="AF3" s="158"/>
    </row>
    <row r="4" spans="1:33" s="163" customFormat="1" ht="18.75" customHeight="1" x14ac:dyDescent="0.25">
      <c r="A4" s="1036" t="s">
        <v>446</v>
      </c>
      <c r="B4" s="1036"/>
      <c r="C4" s="1036"/>
      <c r="D4" s="1036"/>
      <c r="E4" s="1036"/>
      <c r="F4" s="1036"/>
      <c r="G4" s="1036"/>
      <c r="H4" s="1036"/>
      <c r="I4" s="1036"/>
      <c r="J4" s="1036"/>
      <c r="K4" s="1036"/>
      <c r="L4" s="1036"/>
      <c r="M4" s="1036"/>
      <c r="N4" s="1036"/>
      <c r="O4" s="1036"/>
      <c r="P4" s="1036"/>
      <c r="Q4" s="1036"/>
      <c r="R4" s="1036"/>
      <c r="S4" s="1036"/>
      <c r="T4" s="1036"/>
      <c r="U4" s="1036"/>
      <c r="V4" s="1036"/>
      <c r="W4" s="1036"/>
      <c r="X4" s="1036"/>
      <c r="Y4" s="1036"/>
      <c r="Z4" s="1036"/>
      <c r="AA4" s="1036"/>
      <c r="AB4" s="1036"/>
      <c r="AC4" s="1036"/>
      <c r="AD4" s="1036"/>
      <c r="AE4" s="160"/>
      <c r="AF4" s="161"/>
      <c r="AG4" s="162"/>
    </row>
    <row r="5" spans="1:33" ht="18.75" customHeight="1" x14ac:dyDescent="0.3">
      <c r="A5" s="164"/>
      <c r="B5" s="160"/>
      <c r="C5" s="160"/>
      <c r="D5" s="160"/>
      <c r="E5" s="160"/>
      <c r="F5" s="160"/>
      <c r="G5" s="160"/>
      <c r="H5" s="160"/>
      <c r="I5" s="160"/>
      <c r="J5" s="160"/>
      <c r="K5" s="160"/>
      <c r="L5" s="160"/>
      <c r="M5" s="160"/>
      <c r="N5" s="160"/>
      <c r="O5" s="160"/>
      <c r="P5" s="160"/>
      <c r="Q5" s="160"/>
      <c r="R5" s="160"/>
      <c r="S5" s="160"/>
      <c r="T5" s="160"/>
      <c r="U5" s="160"/>
      <c r="V5" s="160"/>
      <c r="W5" s="160"/>
      <c r="X5" s="160"/>
      <c r="Y5" s="160"/>
      <c r="Z5" s="160"/>
      <c r="AA5" s="160"/>
      <c r="AB5" s="1037"/>
      <c r="AC5" s="1037"/>
      <c r="AD5" s="1037"/>
      <c r="AE5" s="165"/>
      <c r="AF5" s="166"/>
    </row>
    <row r="6" spans="1:33" ht="37.5" customHeight="1" x14ac:dyDescent="0.3">
      <c r="A6" s="1027" t="s">
        <v>163</v>
      </c>
      <c r="B6" s="95" t="s">
        <v>3</v>
      </c>
      <c r="C6" s="95" t="s">
        <v>3</v>
      </c>
      <c r="D6" s="95" t="s">
        <v>4</v>
      </c>
      <c r="E6" s="95" t="s">
        <v>5</v>
      </c>
      <c r="F6" s="1028" t="s">
        <v>6</v>
      </c>
      <c r="G6" s="1029"/>
      <c r="H6" s="1028" t="s">
        <v>7</v>
      </c>
      <c r="I6" s="1030"/>
      <c r="J6" s="1028" t="s">
        <v>8</v>
      </c>
      <c r="K6" s="1030"/>
      <c r="L6" s="1028" t="s">
        <v>9</v>
      </c>
      <c r="M6" s="1030"/>
      <c r="N6" s="1028" t="s">
        <v>10</v>
      </c>
      <c r="O6" s="1030"/>
      <c r="P6" s="1028" t="s">
        <v>11</v>
      </c>
      <c r="Q6" s="1030"/>
      <c r="R6" s="1028" t="s">
        <v>12</v>
      </c>
      <c r="S6" s="1030"/>
      <c r="T6" s="1028" t="s">
        <v>13</v>
      </c>
      <c r="U6" s="1030"/>
      <c r="V6" s="1028" t="s">
        <v>14</v>
      </c>
      <c r="W6" s="1030"/>
      <c r="X6" s="1028" t="s">
        <v>15</v>
      </c>
      <c r="Y6" s="1030"/>
      <c r="Z6" s="1028" t="s">
        <v>16</v>
      </c>
      <c r="AA6" s="1030"/>
      <c r="AB6" s="1028" t="s">
        <v>17</v>
      </c>
      <c r="AC6" s="1030"/>
      <c r="AD6" s="1031" t="s">
        <v>18</v>
      </c>
      <c r="AE6" s="1031"/>
      <c r="AF6" s="1019" t="s">
        <v>19</v>
      </c>
    </row>
    <row r="7" spans="1:33" ht="37.5" x14ac:dyDescent="0.3">
      <c r="A7" s="1027"/>
      <c r="B7" s="3">
        <v>2024</v>
      </c>
      <c r="C7" s="4">
        <v>45352</v>
      </c>
      <c r="D7" s="4">
        <v>45352</v>
      </c>
      <c r="E7" s="4">
        <v>45352</v>
      </c>
      <c r="F7" s="5" t="s">
        <v>20</v>
      </c>
      <c r="G7" s="5" t="s">
        <v>21</v>
      </c>
      <c r="H7" s="5" t="s">
        <v>22</v>
      </c>
      <c r="I7" s="96" t="s">
        <v>164</v>
      </c>
      <c r="J7" s="5" t="s">
        <v>22</v>
      </c>
      <c r="K7" s="96" t="s">
        <v>164</v>
      </c>
      <c r="L7" s="5" t="s">
        <v>22</v>
      </c>
      <c r="M7" s="96" t="s">
        <v>164</v>
      </c>
      <c r="N7" s="5" t="s">
        <v>22</v>
      </c>
      <c r="O7" s="96" t="s">
        <v>164</v>
      </c>
      <c r="P7" s="5" t="s">
        <v>22</v>
      </c>
      <c r="Q7" s="96" t="s">
        <v>164</v>
      </c>
      <c r="R7" s="5" t="s">
        <v>22</v>
      </c>
      <c r="S7" s="96" t="s">
        <v>164</v>
      </c>
      <c r="T7" s="5" t="s">
        <v>22</v>
      </c>
      <c r="U7" s="96" t="s">
        <v>164</v>
      </c>
      <c r="V7" s="5" t="s">
        <v>22</v>
      </c>
      <c r="W7" s="96" t="s">
        <v>164</v>
      </c>
      <c r="X7" s="5" t="s">
        <v>22</v>
      </c>
      <c r="Y7" s="96" t="s">
        <v>164</v>
      </c>
      <c r="Z7" s="5" t="s">
        <v>22</v>
      </c>
      <c r="AA7" s="96" t="s">
        <v>164</v>
      </c>
      <c r="AB7" s="5" t="s">
        <v>22</v>
      </c>
      <c r="AC7" s="96" t="s">
        <v>164</v>
      </c>
      <c r="AD7" s="5" t="s">
        <v>22</v>
      </c>
      <c r="AE7" s="96" t="s">
        <v>164</v>
      </c>
      <c r="AF7" s="1020"/>
    </row>
    <row r="8" spans="1:33" x14ac:dyDescent="0.3">
      <c r="A8" s="167">
        <v>1</v>
      </c>
      <c r="B8" s="6">
        <v>2</v>
      </c>
      <c r="C8" s="6">
        <v>3</v>
      </c>
      <c r="D8" s="6">
        <v>4</v>
      </c>
      <c r="E8" s="6">
        <v>5</v>
      </c>
      <c r="F8" s="6">
        <v>6</v>
      </c>
      <c r="G8" s="6">
        <v>7</v>
      </c>
      <c r="H8" s="6">
        <v>8</v>
      </c>
      <c r="I8" s="6">
        <v>9</v>
      </c>
      <c r="J8" s="6">
        <v>10</v>
      </c>
      <c r="K8" s="6">
        <v>11</v>
      </c>
      <c r="L8" s="6">
        <v>12</v>
      </c>
      <c r="M8" s="6">
        <v>13</v>
      </c>
      <c r="N8" s="6">
        <v>14</v>
      </c>
      <c r="O8" s="6">
        <v>15</v>
      </c>
      <c r="P8" s="6">
        <v>16</v>
      </c>
      <c r="Q8" s="6">
        <v>17</v>
      </c>
      <c r="R8" s="6">
        <v>18</v>
      </c>
      <c r="S8" s="6">
        <v>19</v>
      </c>
      <c r="T8" s="6">
        <v>20</v>
      </c>
      <c r="U8" s="6">
        <v>21</v>
      </c>
      <c r="V8" s="6">
        <v>22</v>
      </c>
      <c r="W8" s="6">
        <v>23</v>
      </c>
      <c r="X8" s="6">
        <v>24</v>
      </c>
      <c r="Y8" s="6">
        <v>25</v>
      </c>
      <c r="Z8" s="6">
        <v>26</v>
      </c>
      <c r="AA8" s="6">
        <v>27</v>
      </c>
      <c r="AB8" s="6">
        <v>28</v>
      </c>
      <c r="AC8" s="6">
        <v>29</v>
      </c>
      <c r="AD8" s="6">
        <v>30</v>
      </c>
      <c r="AE8" s="6">
        <v>31</v>
      </c>
      <c r="AF8" s="6">
        <v>32</v>
      </c>
    </row>
    <row r="9" spans="1:33" s="168" customFormat="1" x14ac:dyDescent="0.3">
      <c r="A9" s="1041" t="s">
        <v>220</v>
      </c>
      <c r="B9" s="1042"/>
      <c r="C9" s="1042"/>
      <c r="D9" s="1042"/>
      <c r="E9" s="1042"/>
      <c r="F9" s="1042"/>
      <c r="G9" s="1042"/>
      <c r="H9" s="1042"/>
      <c r="I9" s="1042"/>
      <c r="J9" s="1042"/>
      <c r="K9" s="1042"/>
      <c r="L9" s="1042"/>
      <c r="M9" s="1042"/>
      <c r="N9" s="1042"/>
      <c r="O9" s="1042"/>
      <c r="P9" s="1042"/>
      <c r="Q9" s="1042"/>
      <c r="R9" s="1042"/>
      <c r="S9" s="1042"/>
      <c r="T9" s="1042"/>
      <c r="U9" s="1042"/>
      <c r="V9" s="1042"/>
      <c r="W9" s="1042"/>
      <c r="X9" s="1042"/>
      <c r="Y9" s="1042"/>
      <c r="Z9" s="1042"/>
      <c r="AA9" s="1042"/>
      <c r="AB9" s="1042"/>
      <c r="AC9" s="1042"/>
      <c r="AD9" s="1042"/>
      <c r="AE9" s="1042"/>
      <c r="AF9" s="1043"/>
    </row>
    <row r="10" spans="1:33" s="168" customFormat="1" x14ac:dyDescent="0.3">
      <c r="A10" s="1041" t="s">
        <v>54</v>
      </c>
      <c r="B10" s="1042"/>
      <c r="C10" s="1042"/>
      <c r="D10" s="1042"/>
      <c r="E10" s="1042"/>
      <c r="F10" s="1042"/>
      <c r="G10" s="1042"/>
      <c r="H10" s="1042"/>
      <c r="I10" s="1042"/>
      <c r="J10" s="1042"/>
      <c r="K10" s="1042"/>
      <c r="L10" s="1042"/>
      <c r="M10" s="1042"/>
      <c r="N10" s="1042"/>
      <c r="O10" s="1042"/>
      <c r="P10" s="1042"/>
      <c r="Q10" s="1042"/>
      <c r="R10" s="1042"/>
      <c r="S10" s="1042"/>
      <c r="T10" s="1042"/>
      <c r="U10" s="1042"/>
      <c r="V10" s="1042"/>
      <c r="W10" s="1042"/>
      <c r="X10" s="1042"/>
      <c r="Y10" s="1042"/>
      <c r="Z10" s="1042"/>
      <c r="AA10" s="1042"/>
      <c r="AB10" s="1042"/>
      <c r="AC10" s="1042"/>
      <c r="AD10" s="1042"/>
      <c r="AE10" s="1042"/>
      <c r="AF10" s="1043"/>
    </row>
    <row r="11" spans="1:33" ht="93.75" x14ac:dyDescent="0.3">
      <c r="A11" s="169" t="s">
        <v>520</v>
      </c>
      <c r="B11" s="977">
        <f t="shared" ref="B11:T11" si="0">B12</f>
        <v>362.5</v>
      </c>
      <c r="C11" s="978">
        <f t="shared" si="0"/>
        <v>140</v>
      </c>
      <c r="D11" s="978">
        <f t="shared" si="0"/>
        <v>0</v>
      </c>
      <c r="E11" s="977">
        <f t="shared" si="0"/>
        <v>0</v>
      </c>
      <c r="F11" s="979">
        <f t="shared" si="0"/>
        <v>0</v>
      </c>
      <c r="G11" s="979">
        <f t="shared" si="0"/>
        <v>0</v>
      </c>
      <c r="H11" s="977">
        <f t="shared" si="0"/>
        <v>0</v>
      </c>
      <c r="I11" s="977">
        <f t="shared" si="0"/>
        <v>0</v>
      </c>
      <c r="J11" s="977">
        <f t="shared" si="0"/>
        <v>0</v>
      </c>
      <c r="K11" s="980">
        <f t="shared" si="0"/>
        <v>0</v>
      </c>
      <c r="L11" s="977">
        <f t="shared" si="0"/>
        <v>140</v>
      </c>
      <c r="M11" s="980">
        <f t="shared" si="0"/>
        <v>0</v>
      </c>
      <c r="N11" s="977">
        <f t="shared" si="0"/>
        <v>0</v>
      </c>
      <c r="O11" s="980">
        <f t="shared" si="0"/>
        <v>0</v>
      </c>
      <c r="P11" s="977">
        <f t="shared" si="0"/>
        <v>0</v>
      </c>
      <c r="Q11" s="980">
        <f t="shared" si="0"/>
        <v>0</v>
      </c>
      <c r="R11" s="977">
        <f t="shared" si="0"/>
        <v>0</v>
      </c>
      <c r="S11" s="980">
        <f t="shared" si="0"/>
        <v>0</v>
      </c>
      <c r="T11" s="977">
        <f t="shared" si="0"/>
        <v>0</v>
      </c>
      <c r="U11" s="981"/>
      <c r="V11" s="977">
        <f>V12</f>
        <v>0</v>
      </c>
      <c r="W11" s="981"/>
      <c r="X11" s="977">
        <f>X12</f>
        <v>0</v>
      </c>
      <c r="Y11" s="981"/>
      <c r="Z11" s="977">
        <f>Z12</f>
        <v>0</v>
      </c>
      <c r="AA11" s="981"/>
      <c r="AB11" s="977">
        <f>AB12</f>
        <v>222.5</v>
      </c>
      <c r="AC11" s="981"/>
      <c r="AD11" s="977">
        <f>AD12</f>
        <v>0</v>
      </c>
      <c r="AE11" s="982"/>
      <c r="AF11" s="174"/>
      <c r="AG11" s="175">
        <f>AD11+AB11+Z11+X11+V11+T11+R11+P11+N11+L11+J11+H11-B11</f>
        <v>0</v>
      </c>
    </row>
    <row r="12" spans="1:33" s="177" customFormat="1" x14ac:dyDescent="0.3">
      <c r="A12" s="176" t="s">
        <v>31</v>
      </c>
      <c r="B12" s="977">
        <f t="shared" ref="B12:T12" si="1">B13+B14+B15+B16</f>
        <v>362.5</v>
      </c>
      <c r="C12" s="977">
        <f t="shared" si="1"/>
        <v>140</v>
      </c>
      <c r="D12" s="977">
        <f t="shared" si="1"/>
        <v>0</v>
      </c>
      <c r="E12" s="977">
        <f t="shared" si="1"/>
        <v>0</v>
      </c>
      <c r="F12" s="983">
        <f t="shared" si="1"/>
        <v>0</v>
      </c>
      <c r="G12" s="983">
        <f t="shared" si="1"/>
        <v>0</v>
      </c>
      <c r="H12" s="977">
        <f t="shared" si="1"/>
        <v>0</v>
      </c>
      <c r="I12" s="977">
        <f t="shared" si="1"/>
        <v>0</v>
      </c>
      <c r="J12" s="977">
        <f t="shared" si="1"/>
        <v>0</v>
      </c>
      <c r="K12" s="977">
        <f t="shared" si="1"/>
        <v>0</v>
      </c>
      <c r="L12" s="977">
        <f t="shared" si="1"/>
        <v>140</v>
      </c>
      <c r="M12" s="977">
        <f t="shared" si="1"/>
        <v>0</v>
      </c>
      <c r="N12" s="977">
        <f t="shared" si="1"/>
        <v>0</v>
      </c>
      <c r="O12" s="977">
        <f t="shared" si="1"/>
        <v>0</v>
      </c>
      <c r="P12" s="977">
        <f t="shared" si="1"/>
        <v>0</v>
      </c>
      <c r="Q12" s="977">
        <f t="shared" si="1"/>
        <v>0</v>
      </c>
      <c r="R12" s="977">
        <f t="shared" si="1"/>
        <v>0</v>
      </c>
      <c r="S12" s="977">
        <f t="shared" si="1"/>
        <v>0</v>
      </c>
      <c r="T12" s="977">
        <f t="shared" si="1"/>
        <v>0</v>
      </c>
      <c r="U12" s="977"/>
      <c r="V12" s="977">
        <f>V13+V14+V15+V16</f>
        <v>0</v>
      </c>
      <c r="W12" s="977"/>
      <c r="X12" s="977">
        <f>X13+X14+X15+X16</f>
        <v>0</v>
      </c>
      <c r="Y12" s="977"/>
      <c r="Z12" s="977">
        <f>Z13+Z14+Z15+Z16</f>
        <v>0</v>
      </c>
      <c r="AA12" s="977"/>
      <c r="AB12" s="977">
        <f>AB13+AB14+AB15+AB16</f>
        <v>222.5</v>
      </c>
      <c r="AC12" s="977"/>
      <c r="AD12" s="977">
        <f>AD13+AD14+AD15+AD16</f>
        <v>0</v>
      </c>
      <c r="AE12" s="977"/>
      <c r="AF12" s="174"/>
      <c r="AG12" s="175">
        <f t="shared" ref="AG12:AG75" si="2">AD12+AB12+Z12+X12+V12+T12+R12+P12+N12+L12+J12+H12-B12</f>
        <v>0</v>
      </c>
    </row>
    <row r="13" spans="1:33" x14ac:dyDescent="0.3">
      <c r="A13" s="178" t="s">
        <v>169</v>
      </c>
      <c r="B13" s="977">
        <f>H13+J13+L13+N13+P13+R13+T13+V13+X13+Z13+AB13+AD13</f>
        <v>0</v>
      </c>
      <c r="C13" s="978">
        <f>H13</f>
        <v>0</v>
      </c>
      <c r="D13" s="978">
        <f>I13</f>
        <v>0</v>
      </c>
      <c r="E13" s="977">
        <v>0</v>
      </c>
      <c r="F13" s="979">
        <v>0</v>
      </c>
      <c r="G13" s="983">
        <v>0</v>
      </c>
      <c r="H13" s="977">
        <v>0</v>
      </c>
      <c r="I13" s="977">
        <v>0</v>
      </c>
      <c r="J13" s="977">
        <v>0</v>
      </c>
      <c r="K13" s="977">
        <v>0</v>
      </c>
      <c r="L13" s="977">
        <v>0</v>
      </c>
      <c r="M13" s="977">
        <v>0</v>
      </c>
      <c r="N13" s="977">
        <v>0</v>
      </c>
      <c r="O13" s="977">
        <v>0</v>
      </c>
      <c r="P13" s="977">
        <v>0</v>
      </c>
      <c r="Q13" s="977">
        <v>0</v>
      </c>
      <c r="R13" s="977">
        <v>0</v>
      </c>
      <c r="S13" s="977">
        <v>0</v>
      </c>
      <c r="T13" s="977">
        <v>0</v>
      </c>
      <c r="U13" s="977"/>
      <c r="V13" s="977">
        <v>0</v>
      </c>
      <c r="W13" s="977"/>
      <c r="X13" s="977">
        <v>0</v>
      </c>
      <c r="Y13" s="977"/>
      <c r="Z13" s="977">
        <v>0</v>
      </c>
      <c r="AA13" s="977"/>
      <c r="AB13" s="977">
        <v>0</v>
      </c>
      <c r="AC13" s="977"/>
      <c r="AD13" s="977">
        <v>0</v>
      </c>
      <c r="AE13" s="977"/>
      <c r="AF13" s="182"/>
      <c r="AG13" s="175">
        <f t="shared" si="2"/>
        <v>0</v>
      </c>
    </row>
    <row r="14" spans="1:33" x14ac:dyDescent="0.3">
      <c r="A14" s="178" t="s">
        <v>32</v>
      </c>
      <c r="B14" s="977">
        <f>H14+J14+L14+N14+P14+R14+T14+V14+X14+Z14+AB14+AD14</f>
        <v>0</v>
      </c>
      <c r="C14" s="978">
        <f>H14</f>
        <v>0</v>
      </c>
      <c r="D14" s="978">
        <f>I14</f>
        <v>0</v>
      </c>
      <c r="E14" s="977">
        <v>0</v>
      </c>
      <c r="F14" s="979">
        <v>0</v>
      </c>
      <c r="G14" s="983">
        <v>0</v>
      </c>
      <c r="H14" s="977">
        <v>0</v>
      </c>
      <c r="I14" s="977">
        <v>0</v>
      </c>
      <c r="J14" s="977">
        <v>0</v>
      </c>
      <c r="K14" s="977">
        <v>0</v>
      </c>
      <c r="L14" s="977">
        <v>0</v>
      </c>
      <c r="M14" s="977">
        <v>0</v>
      </c>
      <c r="N14" s="977">
        <v>0</v>
      </c>
      <c r="O14" s="977">
        <v>0</v>
      </c>
      <c r="P14" s="977">
        <v>0</v>
      </c>
      <c r="Q14" s="977">
        <v>0</v>
      </c>
      <c r="R14" s="977">
        <v>0</v>
      </c>
      <c r="S14" s="977">
        <v>0</v>
      </c>
      <c r="T14" s="977">
        <v>0</v>
      </c>
      <c r="U14" s="977"/>
      <c r="V14" s="977">
        <v>0</v>
      </c>
      <c r="W14" s="977"/>
      <c r="X14" s="977">
        <v>0</v>
      </c>
      <c r="Y14" s="977"/>
      <c r="Z14" s="977">
        <v>0</v>
      </c>
      <c r="AA14" s="977"/>
      <c r="AB14" s="977">
        <v>0</v>
      </c>
      <c r="AC14" s="977"/>
      <c r="AD14" s="977">
        <v>0</v>
      </c>
      <c r="AE14" s="977"/>
      <c r="AF14" s="182"/>
      <c r="AG14" s="175">
        <f t="shared" si="2"/>
        <v>0</v>
      </c>
    </row>
    <row r="15" spans="1:33" x14ac:dyDescent="0.3">
      <c r="A15" s="178" t="s">
        <v>33</v>
      </c>
      <c r="B15" s="977">
        <f>H15+J15+L15+N15+P15+R15+T15+V15+X15+Z15+AB15+AD15</f>
        <v>362.5</v>
      </c>
      <c r="C15" s="978">
        <f>H15+J15+L15+N15+P15+R15</f>
        <v>140</v>
      </c>
      <c r="D15" s="978">
        <f>E15</f>
        <v>0</v>
      </c>
      <c r="E15" s="981">
        <f>I15+K15+M15+O15+Q15+S15</f>
        <v>0</v>
      </c>
      <c r="F15" s="979">
        <v>0</v>
      </c>
      <c r="G15" s="979">
        <v>0</v>
      </c>
      <c r="H15" s="981">
        <v>0</v>
      </c>
      <c r="I15" s="981">
        <v>0</v>
      </c>
      <c r="J15" s="981">
        <v>0</v>
      </c>
      <c r="K15" s="981">
        <v>0</v>
      </c>
      <c r="L15" s="981">
        <v>140</v>
      </c>
      <c r="M15" s="981">
        <v>0</v>
      </c>
      <c r="N15" s="981">
        <v>0</v>
      </c>
      <c r="O15" s="981">
        <v>0</v>
      </c>
      <c r="P15" s="981">
        <v>0</v>
      </c>
      <c r="Q15" s="981">
        <v>0</v>
      </c>
      <c r="R15" s="981">
        <v>0</v>
      </c>
      <c r="S15" s="981">
        <v>0</v>
      </c>
      <c r="T15" s="981">
        <v>0</v>
      </c>
      <c r="U15" s="981"/>
      <c r="V15" s="981">
        <v>0</v>
      </c>
      <c r="W15" s="981"/>
      <c r="X15" s="982">
        <v>0</v>
      </c>
      <c r="Y15" s="981"/>
      <c r="Z15" s="981">
        <v>0</v>
      </c>
      <c r="AA15" s="981"/>
      <c r="AB15" s="981">
        <v>222.5</v>
      </c>
      <c r="AC15" s="981"/>
      <c r="AD15" s="982">
        <v>0</v>
      </c>
      <c r="AE15" s="982"/>
      <c r="AF15" s="182"/>
      <c r="AG15" s="175">
        <f t="shared" si="2"/>
        <v>0</v>
      </c>
    </row>
    <row r="16" spans="1:33" x14ac:dyDescent="0.3">
      <c r="A16" s="178" t="s">
        <v>221</v>
      </c>
      <c r="B16" s="977">
        <f>H16+J16+L16+N16+P16+R16+T16+V16+X16+Z16+AB16+AD16</f>
        <v>0</v>
      </c>
      <c r="C16" s="978">
        <f>H16</f>
        <v>0</v>
      </c>
      <c r="D16" s="978">
        <f>I16</f>
        <v>0</v>
      </c>
      <c r="E16" s="977">
        <v>0</v>
      </c>
      <c r="F16" s="979">
        <v>0</v>
      </c>
      <c r="G16" s="983">
        <v>0</v>
      </c>
      <c r="H16" s="977">
        <v>0</v>
      </c>
      <c r="I16" s="977">
        <v>0</v>
      </c>
      <c r="J16" s="977">
        <v>0</v>
      </c>
      <c r="K16" s="977">
        <v>0</v>
      </c>
      <c r="L16" s="977">
        <v>0</v>
      </c>
      <c r="M16" s="977">
        <v>0</v>
      </c>
      <c r="N16" s="977">
        <v>0</v>
      </c>
      <c r="O16" s="977">
        <v>0</v>
      </c>
      <c r="P16" s="977">
        <v>0</v>
      </c>
      <c r="Q16" s="977">
        <v>0</v>
      </c>
      <c r="R16" s="977">
        <v>0</v>
      </c>
      <c r="S16" s="977">
        <v>0</v>
      </c>
      <c r="T16" s="977">
        <v>0</v>
      </c>
      <c r="U16" s="977"/>
      <c r="V16" s="977">
        <v>0</v>
      </c>
      <c r="W16" s="977"/>
      <c r="X16" s="977">
        <v>0</v>
      </c>
      <c r="Y16" s="977"/>
      <c r="Z16" s="977">
        <v>0</v>
      </c>
      <c r="AA16" s="977"/>
      <c r="AB16" s="977">
        <v>0</v>
      </c>
      <c r="AC16" s="977"/>
      <c r="AD16" s="977">
        <v>0</v>
      </c>
      <c r="AE16" s="977"/>
      <c r="AF16" s="182"/>
      <c r="AG16" s="175">
        <f t="shared" si="2"/>
        <v>0</v>
      </c>
    </row>
    <row r="17" spans="1:33" s="177" customFormat="1" ht="23.25" customHeight="1" x14ac:dyDescent="0.3">
      <c r="A17" s="1038" t="s">
        <v>222</v>
      </c>
      <c r="B17" s="1039"/>
      <c r="C17" s="1039"/>
      <c r="D17" s="1039"/>
      <c r="E17" s="1039"/>
      <c r="F17" s="1039"/>
      <c r="G17" s="1039"/>
      <c r="H17" s="1039"/>
      <c r="I17" s="1039"/>
      <c r="J17" s="1039"/>
      <c r="K17" s="1039"/>
      <c r="L17" s="1039"/>
      <c r="M17" s="1039"/>
      <c r="N17" s="1039"/>
      <c r="O17" s="1039"/>
      <c r="P17" s="1039"/>
      <c r="Q17" s="1039"/>
      <c r="R17" s="1039"/>
      <c r="S17" s="1039"/>
      <c r="T17" s="1039"/>
      <c r="U17" s="1039"/>
      <c r="V17" s="1039"/>
      <c r="W17" s="1039"/>
      <c r="X17" s="1039"/>
      <c r="Y17" s="1039"/>
      <c r="Z17" s="1039"/>
      <c r="AA17" s="1039"/>
      <c r="AB17" s="1039"/>
      <c r="AC17" s="1039"/>
      <c r="AD17" s="1039"/>
      <c r="AE17" s="1039"/>
      <c r="AF17" s="1040"/>
      <c r="AG17" s="175">
        <f t="shared" si="2"/>
        <v>0</v>
      </c>
    </row>
    <row r="18" spans="1:33" s="168" customFormat="1" x14ac:dyDescent="0.3">
      <c r="A18" s="1041" t="s">
        <v>54</v>
      </c>
      <c r="B18" s="1042"/>
      <c r="C18" s="1042"/>
      <c r="D18" s="1042"/>
      <c r="E18" s="1042"/>
      <c r="F18" s="1042"/>
      <c r="G18" s="1042"/>
      <c r="H18" s="1042"/>
      <c r="I18" s="1042"/>
      <c r="J18" s="1042"/>
      <c r="K18" s="1042"/>
      <c r="L18" s="1042"/>
      <c r="M18" s="1042"/>
      <c r="N18" s="1042"/>
      <c r="O18" s="1042"/>
      <c r="P18" s="1042"/>
      <c r="Q18" s="1042"/>
      <c r="R18" s="1042"/>
      <c r="S18" s="1042"/>
      <c r="T18" s="1042"/>
      <c r="U18" s="1042"/>
      <c r="V18" s="1042"/>
      <c r="W18" s="1042"/>
      <c r="X18" s="1042"/>
      <c r="Y18" s="1042"/>
      <c r="Z18" s="1042"/>
      <c r="AA18" s="1042"/>
      <c r="AB18" s="1042"/>
      <c r="AC18" s="1042"/>
      <c r="AD18" s="1042"/>
      <c r="AE18" s="1042"/>
      <c r="AF18" s="1043"/>
      <c r="AG18" s="175">
        <f t="shared" si="2"/>
        <v>0</v>
      </c>
    </row>
    <row r="19" spans="1:33" ht="75" x14ac:dyDescent="0.3">
      <c r="A19" s="184" t="s">
        <v>223</v>
      </c>
      <c r="B19" s="977">
        <f t="shared" ref="B19:T19" si="3">B20</f>
        <v>0</v>
      </c>
      <c r="C19" s="978">
        <f t="shared" si="3"/>
        <v>0</v>
      </c>
      <c r="D19" s="978">
        <f t="shared" si="3"/>
        <v>0</v>
      </c>
      <c r="E19" s="981">
        <f t="shared" si="3"/>
        <v>0</v>
      </c>
      <c r="F19" s="984">
        <f t="shared" si="3"/>
        <v>0</v>
      </c>
      <c r="G19" s="984">
        <f t="shared" si="3"/>
        <v>0</v>
      </c>
      <c r="H19" s="977">
        <f t="shared" si="3"/>
        <v>0</v>
      </c>
      <c r="I19" s="981">
        <f t="shared" si="3"/>
        <v>0</v>
      </c>
      <c r="J19" s="977">
        <f t="shared" si="3"/>
        <v>0</v>
      </c>
      <c r="K19" s="980">
        <f t="shared" si="3"/>
        <v>0</v>
      </c>
      <c r="L19" s="977">
        <f t="shared" si="3"/>
        <v>0</v>
      </c>
      <c r="M19" s="980">
        <f t="shared" si="3"/>
        <v>0</v>
      </c>
      <c r="N19" s="977">
        <f t="shared" si="3"/>
        <v>0</v>
      </c>
      <c r="O19" s="980">
        <f t="shared" si="3"/>
        <v>0</v>
      </c>
      <c r="P19" s="977">
        <f t="shared" si="3"/>
        <v>0</v>
      </c>
      <c r="Q19" s="980">
        <f t="shared" si="3"/>
        <v>0</v>
      </c>
      <c r="R19" s="977">
        <f t="shared" si="3"/>
        <v>0</v>
      </c>
      <c r="S19" s="980">
        <f t="shared" si="3"/>
        <v>0</v>
      </c>
      <c r="T19" s="977">
        <f t="shared" si="3"/>
        <v>0</v>
      </c>
      <c r="U19" s="981"/>
      <c r="V19" s="977">
        <f>V20</f>
        <v>0</v>
      </c>
      <c r="W19" s="981"/>
      <c r="X19" s="977">
        <f>X20</f>
        <v>0</v>
      </c>
      <c r="Y19" s="981"/>
      <c r="Z19" s="977">
        <f>Z20</f>
        <v>0</v>
      </c>
      <c r="AA19" s="981"/>
      <c r="AB19" s="977">
        <f>AB20</f>
        <v>0</v>
      </c>
      <c r="AC19" s="981"/>
      <c r="AD19" s="977">
        <f>AD20</f>
        <v>0</v>
      </c>
      <c r="AE19" s="982"/>
      <c r="AF19" s="174"/>
      <c r="AG19" s="175">
        <f t="shared" si="2"/>
        <v>0</v>
      </c>
    </row>
    <row r="20" spans="1:33" s="177" customFormat="1" x14ac:dyDescent="0.3">
      <c r="A20" s="176" t="s">
        <v>31</v>
      </c>
      <c r="B20" s="977">
        <f t="shared" ref="B20:T20" si="4">B21+B22+B23+B24</f>
        <v>0</v>
      </c>
      <c r="C20" s="977">
        <f t="shared" si="4"/>
        <v>0</v>
      </c>
      <c r="D20" s="977">
        <f t="shared" si="4"/>
        <v>0</v>
      </c>
      <c r="E20" s="977">
        <f t="shared" si="4"/>
        <v>0</v>
      </c>
      <c r="F20" s="983">
        <f t="shared" si="4"/>
        <v>0</v>
      </c>
      <c r="G20" s="983">
        <f t="shared" si="4"/>
        <v>0</v>
      </c>
      <c r="H20" s="977">
        <f t="shared" si="4"/>
        <v>0</v>
      </c>
      <c r="I20" s="977">
        <f t="shared" si="4"/>
        <v>0</v>
      </c>
      <c r="J20" s="977">
        <f t="shared" si="4"/>
        <v>0</v>
      </c>
      <c r="K20" s="977">
        <f t="shared" si="4"/>
        <v>0</v>
      </c>
      <c r="L20" s="977">
        <f t="shared" si="4"/>
        <v>0</v>
      </c>
      <c r="M20" s="977">
        <f t="shared" si="4"/>
        <v>0</v>
      </c>
      <c r="N20" s="977">
        <f t="shared" si="4"/>
        <v>0</v>
      </c>
      <c r="O20" s="977">
        <f t="shared" si="4"/>
        <v>0</v>
      </c>
      <c r="P20" s="977">
        <f t="shared" si="4"/>
        <v>0</v>
      </c>
      <c r="Q20" s="977">
        <f t="shared" si="4"/>
        <v>0</v>
      </c>
      <c r="R20" s="977">
        <f t="shared" si="4"/>
        <v>0</v>
      </c>
      <c r="S20" s="977">
        <f t="shared" si="4"/>
        <v>0</v>
      </c>
      <c r="T20" s="977">
        <f t="shared" si="4"/>
        <v>0</v>
      </c>
      <c r="U20" s="977"/>
      <c r="V20" s="977">
        <f>V21+V22+V23+V24</f>
        <v>0</v>
      </c>
      <c r="W20" s="977"/>
      <c r="X20" s="977">
        <f>X21+X22+X23+X24</f>
        <v>0</v>
      </c>
      <c r="Y20" s="977"/>
      <c r="Z20" s="977">
        <f>Z21+Z22+Z23+Z24</f>
        <v>0</v>
      </c>
      <c r="AA20" s="977"/>
      <c r="AB20" s="977">
        <f>AB21+AB22+AB23+AB24</f>
        <v>0</v>
      </c>
      <c r="AC20" s="977"/>
      <c r="AD20" s="977">
        <f>AD21+AD22+AD23+AD24</f>
        <v>0</v>
      </c>
      <c r="AE20" s="977"/>
      <c r="AF20" s="174"/>
      <c r="AG20" s="175">
        <f t="shared" si="2"/>
        <v>0</v>
      </c>
    </row>
    <row r="21" spans="1:33" x14ac:dyDescent="0.3">
      <c r="A21" s="178" t="s">
        <v>169</v>
      </c>
      <c r="B21" s="977">
        <f>H21+J21+L21+N21+P21+R21+T21+V21+X21+Z21+AB21+AD21</f>
        <v>0</v>
      </c>
      <c r="C21" s="985">
        <v>0</v>
      </c>
      <c r="D21" s="985">
        <f>I21</f>
        <v>0</v>
      </c>
      <c r="E21" s="977">
        <v>0</v>
      </c>
      <c r="F21" s="983">
        <v>0</v>
      </c>
      <c r="G21" s="983">
        <v>0</v>
      </c>
      <c r="H21" s="977">
        <v>0</v>
      </c>
      <c r="I21" s="977">
        <v>0</v>
      </c>
      <c r="J21" s="977">
        <v>0</v>
      </c>
      <c r="K21" s="977">
        <v>0</v>
      </c>
      <c r="L21" s="977">
        <v>0</v>
      </c>
      <c r="M21" s="977">
        <v>0</v>
      </c>
      <c r="N21" s="977">
        <v>0</v>
      </c>
      <c r="O21" s="977">
        <v>0</v>
      </c>
      <c r="P21" s="977">
        <v>0</v>
      </c>
      <c r="Q21" s="977">
        <v>0</v>
      </c>
      <c r="R21" s="977">
        <v>0</v>
      </c>
      <c r="S21" s="977">
        <v>0</v>
      </c>
      <c r="T21" s="977">
        <v>0</v>
      </c>
      <c r="U21" s="977"/>
      <c r="V21" s="977">
        <v>0</v>
      </c>
      <c r="W21" s="977"/>
      <c r="X21" s="977">
        <v>0</v>
      </c>
      <c r="Y21" s="977"/>
      <c r="Z21" s="977">
        <v>0</v>
      </c>
      <c r="AA21" s="977"/>
      <c r="AB21" s="977">
        <v>0</v>
      </c>
      <c r="AC21" s="977"/>
      <c r="AD21" s="977">
        <v>0</v>
      </c>
      <c r="AE21" s="977"/>
      <c r="AF21" s="182"/>
      <c r="AG21" s="175">
        <f t="shared" si="2"/>
        <v>0</v>
      </c>
    </row>
    <row r="22" spans="1:33" x14ac:dyDescent="0.3">
      <c r="A22" s="178" t="s">
        <v>32</v>
      </c>
      <c r="B22" s="977">
        <f>H22+J22+L22+N22+P22+R22+T22+V22+X22+Z22+AB22+AD22</f>
        <v>0</v>
      </c>
      <c r="C22" s="985">
        <v>0</v>
      </c>
      <c r="D22" s="985">
        <f>I22</f>
        <v>0</v>
      </c>
      <c r="E22" s="977">
        <v>0</v>
      </c>
      <c r="F22" s="983">
        <v>0</v>
      </c>
      <c r="G22" s="983">
        <v>0</v>
      </c>
      <c r="H22" s="977">
        <v>0</v>
      </c>
      <c r="I22" s="977">
        <v>0</v>
      </c>
      <c r="J22" s="977">
        <v>0</v>
      </c>
      <c r="K22" s="977">
        <v>0</v>
      </c>
      <c r="L22" s="977">
        <v>0</v>
      </c>
      <c r="M22" s="977">
        <v>0</v>
      </c>
      <c r="N22" s="977">
        <v>0</v>
      </c>
      <c r="O22" s="977">
        <v>0</v>
      </c>
      <c r="P22" s="977">
        <v>0</v>
      </c>
      <c r="Q22" s="977">
        <v>0</v>
      </c>
      <c r="R22" s="977">
        <v>0</v>
      </c>
      <c r="S22" s="977">
        <v>0</v>
      </c>
      <c r="T22" s="977">
        <v>0</v>
      </c>
      <c r="U22" s="977"/>
      <c r="V22" s="977">
        <v>0</v>
      </c>
      <c r="W22" s="977"/>
      <c r="X22" s="977">
        <v>0</v>
      </c>
      <c r="Y22" s="977"/>
      <c r="Z22" s="977">
        <v>0</v>
      </c>
      <c r="AA22" s="977"/>
      <c r="AB22" s="977">
        <v>0</v>
      </c>
      <c r="AC22" s="977"/>
      <c r="AD22" s="977">
        <v>0</v>
      </c>
      <c r="AE22" s="977"/>
      <c r="AF22" s="182"/>
      <c r="AG22" s="175">
        <f t="shared" si="2"/>
        <v>0</v>
      </c>
    </row>
    <row r="23" spans="1:33" x14ac:dyDescent="0.3">
      <c r="A23" s="178" t="s">
        <v>33</v>
      </c>
      <c r="B23" s="977">
        <f>H23+J23+L23+N23+P23+R23+T23+V23+X23+Z23+AB23+AD23</f>
        <v>0</v>
      </c>
      <c r="C23" s="978">
        <f>H23+J23+L23+N23+P23+R23</f>
        <v>0</v>
      </c>
      <c r="D23" s="978">
        <f>E23</f>
        <v>0</v>
      </c>
      <c r="E23" s="981">
        <f>I23+K23+M23+O23+Q23+S23</f>
        <v>0</v>
      </c>
      <c r="F23" s="979">
        <v>0</v>
      </c>
      <c r="G23" s="979">
        <v>0</v>
      </c>
      <c r="H23" s="981">
        <v>0</v>
      </c>
      <c r="I23" s="981">
        <v>0</v>
      </c>
      <c r="J23" s="981">
        <v>0</v>
      </c>
      <c r="K23" s="981">
        <v>0</v>
      </c>
      <c r="L23" s="981">
        <v>0</v>
      </c>
      <c r="M23" s="981">
        <v>0</v>
      </c>
      <c r="N23" s="981">
        <v>0</v>
      </c>
      <c r="O23" s="981">
        <v>0</v>
      </c>
      <c r="P23" s="981">
        <v>0</v>
      </c>
      <c r="Q23" s="981">
        <v>0</v>
      </c>
      <c r="R23" s="981">
        <v>0</v>
      </c>
      <c r="S23" s="981">
        <v>0</v>
      </c>
      <c r="T23" s="981">
        <v>0</v>
      </c>
      <c r="U23" s="981"/>
      <c r="V23" s="981">
        <v>0</v>
      </c>
      <c r="W23" s="981"/>
      <c r="X23" s="981">
        <v>0</v>
      </c>
      <c r="Y23" s="981"/>
      <c r="Z23" s="981">
        <v>0</v>
      </c>
      <c r="AA23" s="981"/>
      <c r="AB23" s="981">
        <v>0</v>
      </c>
      <c r="AC23" s="981"/>
      <c r="AD23" s="981">
        <v>0</v>
      </c>
      <c r="AE23" s="982"/>
      <c r="AF23" s="182"/>
      <c r="AG23" s="175">
        <f t="shared" si="2"/>
        <v>0</v>
      </c>
    </row>
    <row r="24" spans="1:33" x14ac:dyDescent="0.3">
      <c r="A24" s="178" t="s">
        <v>221</v>
      </c>
      <c r="B24" s="977">
        <f>H24+J24+L24+N24+P24+R24+T24+V24+X24+Z24+AB24+AD24</f>
        <v>0</v>
      </c>
      <c r="C24" s="985">
        <v>0</v>
      </c>
      <c r="D24" s="985">
        <f>I24</f>
        <v>0</v>
      </c>
      <c r="E24" s="977">
        <v>0</v>
      </c>
      <c r="F24" s="983">
        <v>0</v>
      </c>
      <c r="G24" s="983">
        <v>0</v>
      </c>
      <c r="H24" s="977">
        <v>0</v>
      </c>
      <c r="I24" s="977">
        <v>0</v>
      </c>
      <c r="J24" s="977">
        <v>0</v>
      </c>
      <c r="K24" s="977">
        <v>0</v>
      </c>
      <c r="L24" s="977">
        <v>0</v>
      </c>
      <c r="M24" s="977">
        <v>0</v>
      </c>
      <c r="N24" s="977">
        <v>0</v>
      </c>
      <c r="O24" s="977">
        <v>0</v>
      </c>
      <c r="P24" s="977">
        <v>0</v>
      </c>
      <c r="Q24" s="977">
        <v>0</v>
      </c>
      <c r="R24" s="977">
        <v>0</v>
      </c>
      <c r="S24" s="977">
        <v>0</v>
      </c>
      <c r="T24" s="977">
        <v>0</v>
      </c>
      <c r="U24" s="977"/>
      <c r="V24" s="977">
        <v>0</v>
      </c>
      <c r="W24" s="977"/>
      <c r="X24" s="977">
        <v>0</v>
      </c>
      <c r="Y24" s="977"/>
      <c r="Z24" s="977">
        <v>0</v>
      </c>
      <c r="AA24" s="977"/>
      <c r="AB24" s="977">
        <v>0</v>
      </c>
      <c r="AC24" s="977"/>
      <c r="AD24" s="977">
        <v>0</v>
      </c>
      <c r="AE24" s="977"/>
      <c r="AF24" s="182"/>
      <c r="AG24" s="175">
        <f t="shared" si="2"/>
        <v>0</v>
      </c>
    </row>
    <row r="25" spans="1:33" s="177" customFormat="1" ht="120.75" customHeight="1" x14ac:dyDescent="0.3">
      <c r="A25" s="184" t="s">
        <v>224</v>
      </c>
      <c r="B25" s="977">
        <f>B26</f>
        <v>0</v>
      </c>
      <c r="C25" s="978">
        <f>C26</f>
        <v>0</v>
      </c>
      <c r="D25" s="978">
        <f>D26</f>
        <v>0</v>
      </c>
      <c r="E25" s="977">
        <f>E26</f>
        <v>0</v>
      </c>
      <c r="F25" s="984">
        <f>F26</f>
        <v>0</v>
      </c>
      <c r="G25" s="979">
        <v>0</v>
      </c>
      <c r="H25" s="977">
        <f t="shared" ref="H25:T25" si="5">H26</f>
        <v>0</v>
      </c>
      <c r="I25" s="977">
        <f t="shared" si="5"/>
        <v>0</v>
      </c>
      <c r="J25" s="977">
        <f t="shared" si="5"/>
        <v>0</v>
      </c>
      <c r="K25" s="977">
        <f t="shared" si="5"/>
        <v>0</v>
      </c>
      <c r="L25" s="977">
        <f t="shared" si="5"/>
        <v>0</v>
      </c>
      <c r="M25" s="980">
        <f t="shared" si="5"/>
        <v>0</v>
      </c>
      <c r="N25" s="977">
        <f t="shared" si="5"/>
        <v>0</v>
      </c>
      <c r="O25" s="980">
        <f t="shared" si="5"/>
        <v>0</v>
      </c>
      <c r="P25" s="977">
        <f t="shared" si="5"/>
        <v>0</v>
      </c>
      <c r="Q25" s="980">
        <f t="shared" si="5"/>
        <v>0</v>
      </c>
      <c r="R25" s="977">
        <f t="shared" si="5"/>
        <v>0</v>
      </c>
      <c r="S25" s="980">
        <f t="shared" si="5"/>
        <v>0</v>
      </c>
      <c r="T25" s="977">
        <f t="shared" si="5"/>
        <v>0</v>
      </c>
      <c r="U25" s="981"/>
      <c r="V25" s="977">
        <f>V26</f>
        <v>0</v>
      </c>
      <c r="W25" s="981"/>
      <c r="X25" s="977">
        <f>X26</f>
        <v>0</v>
      </c>
      <c r="Y25" s="981"/>
      <c r="Z25" s="977">
        <f>Z26</f>
        <v>0</v>
      </c>
      <c r="AA25" s="981"/>
      <c r="AB25" s="977">
        <f>AB26</f>
        <v>0</v>
      </c>
      <c r="AC25" s="981"/>
      <c r="AD25" s="977">
        <f>AD26</f>
        <v>0</v>
      </c>
      <c r="AE25" s="982"/>
      <c r="AF25" s="174"/>
      <c r="AG25" s="175">
        <f t="shared" si="2"/>
        <v>0</v>
      </c>
    </row>
    <row r="26" spans="1:33" s="177" customFormat="1" x14ac:dyDescent="0.3">
      <c r="A26" s="176" t="s">
        <v>31</v>
      </c>
      <c r="B26" s="977">
        <f t="shared" ref="B26:T26" si="6">B27+B28+B29+B30</f>
        <v>0</v>
      </c>
      <c r="C26" s="977">
        <f t="shared" si="6"/>
        <v>0</v>
      </c>
      <c r="D26" s="977">
        <f t="shared" si="6"/>
        <v>0</v>
      </c>
      <c r="E26" s="977">
        <f t="shared" si="6"/>
        <v>0</v>
      </c>
      <c r="F26" s="983">
        <f t="shared" si="6"/>
        <v>0</v>
      </c>
      <c r="G26" s="983">
        <f t="shared" si="6"/>
        <v>0</v>
      </c>
      <c r="H26" s="977">
        <f t="shared" si="6"/>
        <v>0</v>
      </c>
      <c r="I26" s="977">
        <f t="shared" si="6"/>
        <v>0</v>
      </c>
      <c r="J26" s="977">
        <f t="shared" si="6"/>
        <v>0</v>
      </c>
      <c r="K26" s="977">
        <f t="shared" si="6"/>
        <v>0</v>
      </c>
      <c r="L26" s="977">
        <f t="shared" si="6"/>
        <v>0</v>
      </c>
      <c r="M26" s="977">
        <f t="shared" si="6"/>
        <v>0</v>
      </c>
      <c r="N26" s="977">
        <f t="shared" si="6"/>
        <v>0</v>
      </c>
      <c r="O26" s="977">
        <f t="shared" si="6"/>
        <v>0</v>
      </c>
      <c r="P26" s="977">
        <f t="shared" si="6"/>
        <v>0</v>
      </c>
      <c r="Q26" s="977">
        <f t="shared" si="6"/>
        <v>0</v>
      </c>
      <c r="R26" s="977">
        <f t="shared" si="6"/>
        <v>0</v>
      </c>
      <c r="S26" s="977">
        <f t="shared" si="6"/>
        <v>0</v>
      </c>
      <c r="T26" s="977">
        <f t="shared" si="6"/>
        <v>0</v>
      </c>
      <c r="U26" s="977"/>
      <c r="V26" s="977">
        <f>V27+V28+V29+V30</f>
        <v>0</v>
      </c>
      <c r="W26" s="977"/>
      <c r="X26" s="977">
        <f>X27+X28+X29+X30</f>
        <v>0</v>
      </c>
      <c r="Y26" s="977"/>
      <c r="Z26" s="977">
        <f>Z27+Z28+Z29+Z30</f>
        <v>0</v>
      </c>
      <c r="AA26" s="977"/>
      <c r="AB26" s="977">
        <f>AB27+AB28+AB29+AB30</f>
        <v>0</v>
      </c>
      <c r="AC26" s="977"/>
      <c r="AD26" s="977">
        <f>AD27+AD28+AD29+AD30</f>
        <v>0</v>
      </c>
      <c r="AE26" s="977"/>
      <c r="AF26" s="174"/>
      <c r="AG26" s="175">
        <f t="shared" si="2"/>
        <v>0</v>
      </c>
    </row>
    <row r="27" spans="1:33" x14ac:dyDescent="0.3">
      <c r="A27" s="178" t="s">
        <v>169</v>
      </c>
      <c r="B27" s="977">
        <f>H27+J27+L27+N27+P27+R27+T27+V27+X27+Z27+AB27+AD27</f>
        <v>0</v>
      </c>
      <c r="C27" s="985">
        <v>0</v>
      </c>
      <c r="D27" s="985">
        <f>I27</f>
        <v>0</v>
      </c>
      <c r="E27" s="977">
        <v>0</v>
      </c>
      <c r="F27" s="983">
        <v>0</v>
      </c>
      <c r="G27" s="983">
        <v>0</v>
      </c>
      <c r="H27" s="977">
        <v>0</v>
      </c>
      <c r="I27" s="977">
        <v>0</v>
      </c>
      <c r="J27" s="977">
        <v>0</v>
      </c>
      <c r="K27" s="977">
        <v>0</v>
      </c>
      <c r="L27" s="977">
        <v>0</v>
      </c>
      <c r="M27" s="977">
        <v>0</v>
      </c>
      <c r="N27" s="977">
        <v>0</v>
      </c>
      <c r="O27" s="977">
        <v>0</v>
      </c>
      <c r="P27" s="977">
        <v>0</v>
      </c>
      <c r="Q27" s="977">
        <v>0</v>
      </c>
      <c r="R27" s="977">
        <v>0</v>
      </c>
      <c r="S27" s="977">
        <v>0</v>
      </c>
      <c r="T27" s="977">
        <v>0</v>
      </c>
      <c r="U27" s="977"/>
      <c r="V27" s="977">
        <v>0</v>
      </c>
      <c r="W27" s="977"/>
      <c r="X27" s="977">
        <v>0</v>
      </c>
      <c r="Y27" s="977"/>
      <c r="Z27" s="977">
        <v>0</v>
      </c>
      <c r="AA27" s="977"/>
      <c r="AB27" s="977">
        <v>0</v>
      </c>
      <c r="AC27" s="977"/>
      <c r="AD27" s="977">
        <v>0</v>
      </c>
      <c r="AE27" s="977"/>
      <c r="AF27" s="182"/>
      <c r="AG27" s="175">
        <f t="shared" si="2"/>
        <v>0</v>
      </c>
    </row>
    <row r="28" spans="1:33" x14ac:dyDescent="0.3">
      <c r="A28" s="178" t="s">
        <v>32</v>
      </c>
      <c r="B28" s="977">
        <f>H28+J28+L28+N28+P28+R28+T28+V28+X28+Z28+AB28+AD28</f>
        <v>0</v>
      </c>
      <c r="C28" s="985">
        <v>0</v>
      </c>
      <c r="D28" s="985">
        <f>I28</f>
        <v>0</v>
      </c>
      <c r="E28" s="977">
        <v>0</v>
      </c>
      <c r="F28" s="983">
        <v>0</v>
      </c>
      <c r="G28" s="983">
        <v>0</v>
      </c>
      <c r="H28" s="977">
        <v>0</v>
      </c>
      <c r="I28" s="977">
        <v>0</v>
      </c>
      <c r="J28" s="977">
        <v>0</v>
      </c>
      <c r="K28" s="977">
        <v>0</v>
      </c>
      <c r="L28" s="977">
        <v>0</v>
      </c>
      <c r="M28" s="977">
        <v>0</v>
      </c>
      <c r="N28" s="977">
        <v>0</v>
      </c>
      <c r="O28" s="977">
        <v>0</v>
      </c>
      <c r="P28" s="977">
        <v>0</v>
      </c>
      <c r="Q28" s="977">
        <v>0</v>
      </c>
      <c r="R28" s="977">
        <v>0</v>
      </c>
      <c r="S28" s="977">
        <v>0</v>
      </c>
      <c r="T28" s="977">
        <v>0</v>
      </c>
      <c r="U28" s="977"/>
      <c r="V28" s="977">
        <v>0</v>
      </c>
      <c r="W28" s="977"/>
      <c r="X28" s="977">
        <v>0</v>
      </c>
      <c r="Y28" s="977"/>
      <c r="Z28" s="977">
        <v>0</v>
      </c>
      <c r="AA28" s="977"/>
      <c r="AB28" s="977">
        <v>0</v>
      </c>
      <c r="AC28" s="977"/>
      <c r="AD28" s="977">
        <v>0</v>
      </c>
      <c r="AE28" s="977"/>
      <c r="AF28" s="182"/>
      <c r="AG28" s="175">
        <f t="shared" si="2"/>
        <v>0</v>
      </c>
    </row>
    <row r="29" spans="1:33" x14ac:dyDescent="0.3">
      <c r="A29" s="178" t="s">
        <v>33</v>
      </c>
      <c r="B29" s="977">
        <f>H29+J29+L29+N29+P29+R29+T29+V29+X29+Z29+AB29+AD29</f>
        <v>0</v>
      </c>
      <c r="C29" s="978">
        <f>H29+J29+L29+N29+P29+R29</f>
        <v>0</v>
      </c>
      <c r="D29" s="978">
        <f>E29</f>
        <v>0</v>
      </c>
      <c r="E29" s="981">
        <f>I29+K29+M29+O29+Q29+S29</f>
        <v>0</v>
      </c>
      <c r="F29" s="979">
        <v>0</v>
      </c>
      <c r="G29" s="979">
        <v>0</v>
      </c>
      <c r="H29" s="981">
        <v>0</v>
      </c>
      <c r="I29" s="981">
        <v>0</v>
      </c>
      <c r="J29" s="981">
        <v>0</v>
      </c>
      <c r="K29" s="981">
        <v>0</v>
      </c>
      <c r="L29" s="981">
        <v>0</v>
      </c>
      <c r="M29" s="981">
        <v>0</v>
      </c>
      <c r="N29" s="981">
        <v>0</v>
      </c>
      <c r="O29" s="981">
        <v>0</v>
      </c>
      <c r="P29" s="981">
        <v>0</v>
      </c>
      <c r="Q29" s="981">
        <v>0</v>
      </c>
      <c r="R29" s="981">
        <v>0</v>
      </c>
      <c r="S29" s="981">
        <v>0</v>
      </c>
      <c r="T29" s="981">
        <v>0</v>
      </c>
      <c r="U29" s="981"/>
      <c r="V29" s="981">
        <v>0</v>
      </c>
      <c r="W29" s="981"/>
      <c r="X29" s="981">
        <v>0</v>
      </c>
      <c r="Y29" s="981"/>
      <c r="Z29" s="981">
        <v>0</v>
      </c>
      <c r="AA29" s="981"/>
      <c r="AB29" s="981">
        <v>0</v>
      </c>
      <c r="AC29" s="981"/>
      <c r="AD29" s="981">
        <v>0</v>
      </c>
      <c r="AE29" s="982"/>
      <c r="AF29" s="182"/>
      <c r="AG29" s="175">
        <f t="shared" si="2"/>
        <v>0</v>
      </c>
    </row>
    <row r="30" spans="1:33" x14ac:dyDescent="0.3">
      <c r="A30" s="178" t="s">
        <v>221</v>
      </c>
      <c r="B30" s="977">
        <f>H30+J30+L30+N30+P30+R30+T30+V30+X30+Z30+AB30+AD30</f>
        <v>0</v>
      </c>
      <c r="C30" s="985">
        <v>0</v>
      </c>
      <c r="D30" s="985">
        <f>I30</f>
        <v>0</v>
      </c>
      <c r="E30" s="977">
        <v>0</v>
      </c>
      <c r="F30" s="983">
        <v>0</v>
      </c>
      <c r="G30" s="983">
        <v>0</v>
      </c>
      <c r="H30" s="977">
        <v>0</v>
      </c>
      <c r="I30" s="977">
        <v>0</v>
      </c>
      <c r="J30" s="977">
        <v>0</v>
      </c>
      <c r="K30" s="977">
        <v>0</v>
      </c>
      <c r="L30" s="977">
        <v>0</v>
      </c>
      <c r="M30" s="977">
        <v>0</v>
      </c>
      <c r="N30" s="977">
        <v>0</v>
      </c>
      <c r="O30" s="977">
        <v>0</v>
      </c>
      <c r="P30" s="977">
        <v>0</v>
      </c>
      <c r="Q30" s="977">
        <v>0</v>
      </c>
      <c r="R30" s="977">
        <v>0</v>
      </c>
      <c r="S30" s="977">
        <v>0</v>
      </c>
      <c r="T30" s="977">
        <v>0</v>
      </c>
      <c r="U30" s="977"/>
      <c r="V30" s="977">
        <v>0</v>
      </c>
      <c r="W30" s="977"/>
      <c r="X30" s="977">
        <v>0</v>
      </c>
      <c r="Y30" s="977"/>
      <c r="Z30" s="977">
        <v>0</v>
      </c>
      <c r="AA30" s="977"/>
      <c r="AB30" s="977">
        <v>0</v>
      </c>
      <c r="AC30" s="977"/>
      <c r="AD30" s="977">
        <v>0</v>
      </c>
      <c r="AE30" s="977"/>
      <c r="AF30" s="182"/>
      <c r="AG30" s="175">
        <f t="shared" si="2"/>
        <v>0</v>
      </c>
    </row>
    <row r="31" spans="1:33" s="177" customFormat="1" ht="75" x14ac:dyDescent="0.3">
      <c r="A31" s="98" t="s">
        <v>225</v>
      </c>
      <c r="B31" s="986">
        <f>B32</f>
        <v>29265.200000000004</v>
      </c>
      <c r="C31" s="986">
        <f>C32</f>
        <v>14238.017289999998</v>
      </c>
      <c r="D31" s="986">
        <f t="shared" ref="D31:D69" si="7">E31</f>
        <v>10010.736859999999</v>
      </c>
      <c r="E31" s="986">
        <f t="shared" ref="E31:T31" si="8">E32</f>
        <v>10010.736859999999</v>
      </c>
      <c r="F31" s="987">
        <f t="shared" si="8"/>
        <v>34.206965474351783</v>
      </c>
      <c r="G31" s="987">
        <f t="shared" si="8"/>
        <v>70.309908016694095</v>
      </c>
      <c r="H31" s="986">
        <f t="shared" si="8"/>
        <v>3073.6245900000004</v>
      </c>
      <c r="I31" s="986">
        <f t="shared" si="8"/>
        <v>1817.1268499999999</v>
      </c>
      <c r="J31" s="986">
        <f t="shared" si="8"/>
        <v>2315.8159999999998</v>
      </c>
      <c r="K31" s="986">
        <f t="shared" si="8"/>
        <v>929.90039000000002</v>
      </c>
      <c r="L31" s="986">
        <f t="shared" si="8"/>
        <v>1084.066</v>
      </c>
      <c r="M31" s="986">
        <f t="shared" si="8"/>
        <v>1133.05394</v>
      </c>
      <c r="N31" s="986">
        <f t="shared" si="8"/>
        <v>4989.3769999999995</v>
      </c>
      <c r="O31" s="986">
        <f t="shared" si="8"/>
        <v>2345.4966799999997</v>
      </c>
      <c r="P31" s="986">
        <f t="shared" si="8"/>
        <v>1006.87754</v>
      </c>
      <c r="Q31" s="986">
        <f t="shared" si="8"/>
        <v>1731.4560100000001</v>
      </c>
      <c r="R31" s="986">
        <f t="shared" si="8"/>
        <v>1768.2561600000001</v>
      </c>
      <c r="S31" s="986">
        <f t="shared" si="8"/>
        <v>2053.7029899999998</v>
      </c>
      <c r="T31" s="986">
        <f t="shared" si="8"/>
        <v>5180.6328299999996</v>
      </c>
      <c r="U31" s="986"/>
      <c r="V31" s="986">
        <f>V32</f>
        <v>748.96600000000001</v>
      </c>
      <c r="W31" s="986"/>
      <c r="X31" s="986">
        <f>X32</f>
        <v>838.96600000000001</v>
      </c>
      <c r="Y31" s="986"/>
      <c r="Z31" s="986">
        <f>Z32</f>
        <v>2460.9410000000003</v>
      </c>
      <c r="AA31" s="986"/>
      <c r="AB31" s="986">
        <f>AB32</f>
        <v>784.96600000000001</v>
      </c>
      <c r="AC31" s="986"/>
      <c r="AD31" s="986">
        <f>AD32</f>
        <v>5012.7108799999996</v>
      </c>
      <c r="AE31" s="986"/>
      <c r="AF31" s="186"/>
      <c r="AG31" s="175">
        <f t="shared" si="2"/>
        <v>0</v>
      </c>
    </row>
    <row r="32" spans="1:33" s="177" customFormat="1" x14ac:dyDescent="0.3">
      <c r="A32" s="187" t="s">
        <v>31</v>
      </c>
      <c r="B32" s="986">
        <f>B33+B34+B35+B36</f>
        <v>29265.200000000004</v>
      </c>
      <c r="C32" s="986">
        <f>C33+C34+C35+C36</f>
        <v>14238.017289999998</v>
      </c>
      <c r="D32" s="986">
        <f t="shared" si="7"/>
        <v>10010.736859999999</v>
      </c>
      <c r="E32" s="986">
        <f>E33+E34+E35+E36</f>
        <v>10010.736859999999</v>
      </c>
      <c r="F32" s="983">
        <f>F33+F34+F35+F36</f>
        <v>34.206965474351783</v>
      </c>
      <c r="G32" s="983">
        <f>E32/C32*100</f>
        <v>70.309908016694095</v>
      </c>
      <c r="H32" s="986">
        <f t="shared" ref="H32:T32" si="9">H33+H34+H35+H36</f>
        <v>3073.6245900000004</v>
      </c>
      <c r="I32" s="986">
        <f t="shared" si="9"/>
        <v>1817.1268499999999</v>
      </c>
      <c r="J32" s="986">
        <f t="shared" si="9"/>
        <v>2315.8159999999998</v>
      </c>
      <c r="K32" s="986">
        <f t="shared" si="9"/>
        <v>929.90039000000002</v>
      </c>
      <c r="L32" s="986">
        <f t="shared" si="9"/>
        <v>1084.066</v>
      </c>
      <c r="M32" s="986">
        <f t="shared" si="9"/>
        <v>1133.05394</v>
      </c>
      <c r="N32" s="986">
        <f t="shared" si="9"/>
        <v>4989.3769999999995</v>
      </c>
      <c r="O32" s="986">
        <f t="shared" si="9"/>
        <v>2345.4966799999997</v>
      </c>
      <c r="P32" s="986">
        <f t="shared" si="9"/>
        <v>1006.87754</v>
      </c>
      <c r="Q32" s="986">
        <f t="shared" si="9"/>
        <v>1731.4560100000001</v>
      </c>
      <c r="R32" s="986">
        <f t="shared" si="9"/>
        <v>1768.2561600000001</v>
      </c>
      <c r="S32" s="986">
        <f t="shared" si="9"/>
        <v>2053.7029899999998</v>
      </c>
      <c r="T32" s="986">
        <f t="shared" si="9"/>
        <v>5180.6328299999996</v>
      </c>
      <c r="U32" s="986"/>
      <c r="V32" s="986">
        <f>V33+V34+V35+V36</f>
        <v>748.96600000000001</v>
      </c>
      <c r="W32" s="986"/>
      <c r="X32" s="986">
        <f>X33+X34+X35+X36</f>
        <v>838.96600000000001</v>
      </c>
      <c r="Y32" s="986"/>
      <c r="Z32" s="986">
        <f>Z33+Z34+Z35+Z36</f>
        <v>2460.9410000000003</v>
      </c>
      <c r="AA32" s="986"/>
      <c r="AB32" s="986">
        <f>AB33+AB34+AB35+AB36</f>
        <v>784.96600000000001</v>
      </c>
      <c r="AC32" s="986"/>
      <c r="AD32" s="986">
        <f>AD33+AD34+AD35+AD36</f>
        <v>5012.7108799999996</v>
      </c>
      <c r="AE32" s="986"/>
      <c r="AF32" s="188"/>
      <c r="AG32" s="175">
        <f t="shared" si="2"/>
        <v>0</v>
      </c>
    </row>
    <row r="33" spans="1:33" x14ac:dyDescent="0.3">
      <c r="A33" s="178" t="s">
        <v>169</v>
      </c>
      <c r="B33" s="986">
        <f t="shared" ref="B33:C36" si="10">B39+B45+B51+B57</f>
        <v>0</v>
      </c>
      <c r="C33" s="986">
        <f t="shared" si="10"/>
        <v>0</v>
      </c>
      <c r="D33" s="986">
        <f t="shared" si="7"/>
        <v>0</v>
      </c>
      <c r="E33" s="986">
        <f>E39+E45+E51+E57</f>
        <v>0</v>
      </c>
      <c r="F33" s="983">
        <v>0</v>
      </c>
      <c r="G33" s="983">
        <v>0</v>
      </c>
      <c r="H33" s="986">
        <f t="shared" ref="H33:T33" si="11">H39+H45+H51+H57</f>
        <v>0</v>
      </c>
      <c r="I33" s="986">
        <f t="shared" si="11"/>
        <v>0</v>
      </c>
      <c r="J33" s="986">
        <f t="shared" si="11"/>
        <v>0</v>
      </c>
      <c r="K33" s="986">
        <f t="shared" si="11"/>
        <v>0</v>
      </c>
      <c r="L33" s="986">
        <f t="shared" si="11"/>
        <v>0</v>
      </c>
      <c r="M33" s="986">
        <f t="shared" si="11"/>
        <v>0</v>
      </c>
      <c r="N33" s="986">
        <f t="shared" si="11"/>
        <v>0</v>
      </c>
      <c r="O33" s="986">
        <f t="shared" si="11"/>
        <v>0</v>
      </c>
      <c r="P33" s="986">
        <f t="shared" si="11"/>
        <v>0</v>
      </c>
      <c r="Q33" s="986">
        <f t="shared" si="11"/>
        <v>0</v>
      </c>
      <c r="R33" s="986">
        <f t="shared" si="11"/>
        <v>0</v>
      </c>
      <c r="S33" s="986">
        <f t="shared" si="11"/>
        <v>0</v>
      </c>
      <c r="T33" s="986">
        <f t="shared" si="11"/>
        <v>0</v>
      </c>
      <c r="U33" s="986"/>
      <c r="V33" s="986">
        <f>V39+V45+V51+V57</f>
        <v>0</v>
      </c>
      <c r="W33" s="986"/>
      <c r="X33" s="986">
        <f>X39+X45+X51+X57</f>
        <v>0</v>
      </c>
      <c r="Y33" s="986"/>
      <c r="Z33" s="986">
        <f>Z39+Z45+Z51+Z57</f>
        <v>0</v>
      </c>
      <c r="AA33" s="986"/>
      <c r="AB33" s="986">
        <f>AB39+AB45+AB51+AB57</f>
        <v>0</v>
      </c>
      <c r="AC33" s="986"/>
      <c r="AD33" s="986">
        <f>AD39+AD45+AD51+AD57</f>
        <v>0</v>
      </c>
      <c r="AE33" s="986"/>
      <c r="AF33" s="189"/>
      <c r="AG33" s="175">
        <f t="shared" si="2"/>
        <v>0</v>
      </c>
    </row>
    <row r="34" spans="1:33" x14ac:dyDescent="0.3">
      <c r="A34" s="178" t="s">
        <v>32</v>
      </c>
      <c r="B34" s="986">
        <f t="shared" si="10"/>
        <v>0</v>
      </c>
      <c r="C34" s="986">
        <f t="shared" si="10"/>
        <v>0</v>
      </c>
      <c r="D34" s="986">
        <f t="shared" si="7"/>
        <v>0</v>
      </c>
      <c r="E34" s="986">
        <f>E40+E46+E52+E58</f>
        <v>0</v>
      </c>
      <c r="F34" s="983">
        <v>0</v>
      </c>
      <c r="G34" s="983">
        <v>0</v>
      </c>
      <c r="H34" s="986">
        <f t="shared" ref="H34:T34" si="12">H40+H46+H52+H58</f>
        <v>0</v>
      </c>
      <c r="I34" s="986">
        <f t="shared" si="12"/>
        <v>0</v>
      </c>
      <c r="J34" s="986">
        <f t="shared" si="12"/>
        <v>0</v>
      </c>
      <c r="K34" s="986">
        <f t="shared" si="12"/>
        <v>0</v>
      </c>
      <c r="L34" s="986">
        <f t="shared" si="12"/>
        <v>0</v>
      </c>
      <c r="M34" s="986">
        <f t="shared" si="12"/>
        <v>0</v>
      </c>
      <c r="N34" s="986">
        <f t="shared" si="12"/>
        <v>0</v>
      </c>
      <c r="O34" s="986">
        <f t="shared" si="12"/>
        <v>0</v>
      </c>
      <c r="P34" s="986">
        <f t="shared" si="12"/>
        <v>0</v>
      </c>
      <c r="Q34" s="986">
        <f t="shared" si="12"/>
        <v>0</v>
      </c>
      <c r="R34" s="986">
        <f t="shared" si="12"/>
        <v>0</v>
      </c>
      <c r="S34" s="986">
        <f t="shared" si="12"/>
        <v>0</v>
      </c>
      <c r="T34" s="986">
        <f t="shared" si="12"/>
        <v>0</v>
      </c>
      <c r="U34" s="986"/>
      <c r="V34" s="986">
        <f>V40+V46+V52+V58</f>
        <v>0</v>
      </c>
      <c r="W34" s="986"/>
      <c r="X34" s="986">
        <f>X40+X46+X52+X58</f>
        <v>0</v>
      </c>
      <c r="Y34" s="986"/>
      <c r="Z34" s="986">
        <f>Z40+Z46+Z52+Z58</f>
        <v>0</v>
      </c>
      <c r="AA34" s="986"/>
      <c r="AB34" s="986">
        <f>AB40+AB46+AB52+AB58</f>
        <v>0</v>
      </c>
      <c r="AC34" s="986"/>
      <c r="AD34" s="986">
        <f>AD40+AD46+AD52+AD58</f>
        <v>0</v>
      </c>
      <c r="AE34" s="986"/>
      <c r="AF34" s="189"/>
      <c r="AG34" s="175">
        <f t="shared" si="2"/>
        <v>0</v>
      </c>
    </row>
    <row r="35" spans="1:33" x14ac:dyDescent="0.3">
      <c r="A35" s="178" t="s">
        <v>33</v>
      </c>
      <c r="B35" s="986">
        <f t="shared" si="10"/>
        <v>29265.200000000004</v>
      </c>
      <c r="C35" s="986">
        <f t="shared" si="10"/>
        <v>14238.017289999998</v>
      </c>
      <c r="D35" s="986">
        <f t="shared" si="7"/>
        <v>10010.736859999999</v>
      </c>
      <c r="E35" s="986">
        <f>E41+E47+E53+E59</f>
        <v>10010.736859999999</v>
      </c>
      <c r="F35" s="983">
        <f>E35/B35*100</f>
        <v>34.206965474351783</v>
      </c>
      <c r="G35" s="983">
        <f>E35/C35*100</f>
        <v>70.309908016694095</v>
      </c>
      <c r="H35" s="986">
        <f t="shared" ref="H35:T35" si="13">H41+H47+H53+H59</f>
        <v>3073.6245900000004</v>
      </c>
      <c r="I35" s="986">
        <f t="shared" si="13"/>
        <v>1817.1268499999999</v>
      </c>
      <c r="J35" s="986">
        <f t="shared" si="13"/>
        <v>2315.8159999999998</v>
      </c>
      <c r="K35" s="986">
        <f t="shared" si="13"/>
        <v>929.90039000000002</v>
      </c>
      <c r="L35" s="986">
        <f t="shared" si="13"/>
        <v>1084.066</v>
      </c>
      <c r="M35" s="986">
        <f t="shared" si="13"/>
        <v>1133.05394</v>
      </c>
      <c r="N35" s="986">
        <f t="shared" si="13"/>
        <v>4989.3769999999995</v>
      </c>
      <c r="O35" s="986">
        <f t="shared" si="13"/>
        <v>2345.4966799999997</v>
      </c>
      <c r="P35" s="986">
        <f t="shared" si="13"/>
        <v>1006.87754</v>
      </c>
      <c r="Q35" s="986">
        <f t="shared" si="13"/>
        <v>1731.4560100000001</v>
      </c>
      <c r="R35" s="986">
        <f t="shared" si="13"/>
        <v>1768.2561600000001</v>
      </c>
      <c r="S35" s="986">
        <f t="shared" si="13"/>
        <v>2053.7029899999998</v>
      </c>
      <c r="T35" s="986">
        <f t="shared" si="13"/>
        <v>5180.6328299999996</v>
      </c>
      <c r="U35" s="986"/>
      <c r="V35" s="986">
        <f>V41+V47+V53+V59</f>
        <v>748.96600000000001</v>
      </c>
      <c r="W35" s="986"/>
      <c r="X35" s="986">
        <f>X41+X47+X53+X59</f>
        <v>838.96600000000001</v>
      </c>
      <c r="Y35" s="986"/>
      <c r="Z35" s="986">
        <f>Z41+Z47+Z53+Z59</f>
        <v>2460.9410000000003</v>
      </c>
      <c r="AA35" s="986"/>
      <c r="AB35" s="986">
        <f>AB41+AB47+AB53+AB59</f>
        <v>784.96600000000001</v>
      </c>
      <c r="AC35" s="986"/>
      <c r="AD35" s="986">
        <f>AD41+AD47+AD53+AD59</f>
        <v>5012.7108799999996</v>
      </c>
      <c r="AE35" s="986"/>
      <c r="AF35" s="996"/>
      <c r="AG35" s="175">
        <f t="shared" si="2"/>
        <v>0</v>
      </c>
    </row>
    <row r="36" spans="1:33" x14ac:dyDescent="0.3">
      <c r="A36" s="178" t="s">
        <v>221</v>
      </c>
      <c r="B36" s="986">
        <f t="shared" si="10"/>
        <v>0</v>
      </c>
      <c r="C36" s="986">
        <f t="shared" si="10"/>
        <v>0</v>
      </c>
      <c r="D36" s="986">
        <f t="shared" si="7"/>
        <v>0</v>
      </c>
      <c r="E36" s="986">
        <f>E42+E48+E54+E60</f>
        <v>0</v>
      </c>
      <c r="F36" s="983">
        <v>0</v>
      </c>
      <c r="G36" s="983">
        <v>0</v>
      </c>
      <c r="H36" s="986">
        <f t="shared" ref="H36:P36" si="14">H42+H48+H54+H60</f>
        <v>0</v>
      </c>
      <c r="I36" s="986">
        <f t="shared" si="14"/>
        <v>0</v>
      </c>
      <c r="J36" s="986">
        <f t="shared" si="14"/>
        <v>0</v>
      </c>
      <c r="K36" s="986">
        <f t="shared" si="14"/>
        <v>0</v>
      </c>
      <c r="L36" s="986">
        <f t="shared" si="14"/>
        <v>0</v>
      </c>
      <c r="M36" s="986">
        <f t="shared" si="14"/>
        <v>0</v>
      </c>
      <c r="N36" s="986">
        <f t="shared" si="14"/>
        <v>0</v>
      </c>
      <c r="O36" s="986">
        <f t="shared" si="14"/>
        <v>0</v>
      </c>
      <c r="P36" s="986">
        <f t="shared" si="14"/>
        <v>0</v>
      </c>
      <c r="Q36" s="986">
        <v>0</v>
      </c>
      <c r="R36" s="986">
        <f>R42+R48+R54+R60</f>
        <v>0</v>
      </c>
      <c r="S36" s="986">
        <f>S42+S48+S54+S60</f>
        <v>0</v>
      </c>
      <c r="T36" s="986">
        <f>T42+T48+T54+T60</f>
        <v>0</v>
      </c>
      <c r="U36" s="986"/>
      <c r="V36" s="986">
        <f>V42+V48+V54+V60</f>
        <v>0</v>
      </c>
      <c r="W36" s="986"/>
      <c r="X36" s="986">
        <f>X42+X48+X54+X60</f>
        <v>0</v>
      </c>
      <c r="Y36" s="986"/>
      <c r="Z36" s="986">
        <f>Z42+Z48+Z54+Z60</f>
        <v>0</v>
      </c>
      <c r="AA36" s="986"/>
      <c r="AB36" s="986">
        <f>AB42+AB48+AB54+AB60</f>
        <v>0</v>
      </c>
      <c r="AC36" s="986"/>
      <c r="AD36" s="986">
        <f>AD42+AD48+AD54+AD60</f>
        <v>0</v>
      </c>
      <c r="AE36" s="986"/>
      <c r="AF36" s="996"/>
      <c r="AG36" s="175">
        <f t="shared" si="2"/>
        <v>0</v>
      </c>
    </row>
    <row r="37" spans="1:33" ht="37.5" x14ac:dyDescent="0.3">
      <c r="A37" s="190" t="s">
        <v>226</v>
      </c>
      <c r="B37" s="977">
        <f>B38</f>
        <v>166.6</v>
      </c>
      <c r="C37" s="977">
        <f>C38</f>
        <v>89.333590000000001</v>
      </c>
      <c r="D37" s="977">
        <f t="shared" si="7"/>
        <v>89.329319999999996</v>
      </c>
      <c r="E37" s="981">
        <f>E38</f>
        <v>89.329319999999996</v>
      </c>
      <c r="F37" s="983">
        <f>E37/B37*100</f>
        <v>53.61903961584634</v>
      </c>
      <c r="G37" s="983">
        <f>E37/C37*100</f>
        <v>99.99522016298684</v>
      </c>
      <c r="H37" s="977">
        <f t="shared" ref="H37:T37" si="15">H38</f>
        <v>60.98359</v>
      </c>
      <c r="I37" s="981">
        <f t="shared" si="15"/>
        <v>59.389319999999998</v>
      </c>
      <c r="J37" s="977">
        <f t="shared" si="15"/>
        <v>28.35</v>
      </c>
      <c r="K37" s="977">
        <f t="shared" si="15"/>
        <v>29.94</v>
      </c>
      <c r="L37" s="977">
        <f t="shared" si="15"/>
        <v>0</v>
      </c>
      <c r="M37" s="980">
        <f t="shared" si="15"/>
        <v>0</v>
      </c>
      <c r="N37" s="977">
        <f t="shared" si="15"/>
        <v>0</v>
      </c>
      <c r="O37" s="980">
        <f t="shared" si="15"/>
        <v>0</v>
      </c>
      <c r="P37" s="977">
        <f t="shared" si="15"/>
        <v>0</v>
      </c>
      <c r="Q37" s="980">
        <f t="shared" si="15"/>
        <v>0</v>
      </c>
      <c r="R37" s="977">
        <f t="shared" si="15"/>
        <v>0</v>
      </c>
      <c r="S37" s="980">
        <f t="shared" si="15"/>
        <v>0</v>
      </c>
      <c r="T37" s="977">
        <f t="shared" si="15"/>
        <v>77.266409999999993</v>
      </c>
      <c r="U37" s="981"/>
      <c r="V37" s="977">
        <f>V38</f>
        <v>0</v>
      </c>
      <c r="W37" s="981"/>
      <c r="X37" s="977">
        <f>X38</f>
        <v>0</v>
      </c>
      <c r="Y37" s="981"/>
      <c r="Z37" s="977">
        <f>Z38</f>
        <v>0</v>
      </c>
      <c r="AA37" s="981"/>
      <c r="AB37" s="977">
        <f>AB38</f>
        <v>0</v>
      </c>
      <c r="AC37" s="981"/>
      <c r="AD37" s="977">
        <f>AD38</f>
        <v>0</v>
      </c>
      <c r="AE37" s="982"/>
      <c r="AF37" s="195"/>
      <c r="AG37" s="175">
        <f t="shared" si="2"/>
        <v>0</v>
      </c>
    </row>
    <row r="38" spans="1:33" s="177" customFormat="1" x14ac:dyDescent="0.3">
      <c r="A38" s="196" t="s">
        <v>31</v>
      </c>
      <c r="B38" s="977">
        <f>B39+B40+B41+B42</f>
        <v>166.6</v>
      </c>
      <c r="C38" s="977">
        <f>C39+C40+C41+C42</f>
        <v>89.333590000000001</v>
      </c>
      <c r="D38" s="977">
        <f t="shared" si="7"/>
        <v>89.329319999999996</v>
      </c>
      <c r="E38" s="977">
        <f>E39+E40+E41+E42</f>
        <v>89.329319999999996</v>
      </c>
      <c r="F38" s="983">
        <f>E38/B38*100</f>
        <v>53.61903961584634</v>
      </c>
      <c r="G38" s="983">
        <f>E38/C38*100</f>
        <v>99.99522016298684</v>
      </c>
      <c r="H38" s="977">
        <f t="shared" ref="H38:T38" si="16">H39+H40+H41+H42</f>
        <v>60.98359</v>
      </c>
      <c r="I38" s="977">
        <f t="shared" si="16"/>
        <v>59.389319999999998</v>
      </c>
      <c r="J38" s="977">
        <f t="shared" si="16"/>
        <v>28.35</v>
      </c>
      <c r="K38" s="977">
        <f t="shared" si="16"/>
        <v>29.94</v>
      </c>
      <c r="L38" s="977">
        <f t="shared" si="16"/>
        <v>0</v>
      </c>
      <c r="M38" s="977">
        <f t="shared" si="16"/>
        <v>0</v>
      </c>
      <c r="N38" s="977">
        <f t="shared" si="16"/>
        <v>0</v>
      </c>
      <c r="O38" s="977">
        <f t="shared" si="16"/>
        <v>0</v>
      </c>
      <c r="P38" s="977">
        <f t="shared" si="16"/>
        <v>0</v>
      </c>
      <c r="Q38" s="977">
        <f t="shared" si="16"/>
        <v>0</v>
      </c>
      <c r="R38" s="977">
        <f t="shared" si="16"/>
        <v>0</v>
      </c>
      <c r="S38" s="977">
        <f t="shared" si="16"/>
        <v>0</v>
      </c>
      <c r="T38" s="977">
        <f t="shared" si="16"/>
        <v>77.266409999999993</v>
      </c>
      <c r="U38" s="977"/>
      <c r="V38" s="977">
        <f>V39+V40+V41+V42</f>
        <v>0</v>
      </c>
      <c r="W38" s="977"/>
      <c r="X38" s="977">
        <f>X39+X40+X41+X42</f>
        <v>0</v>
      </c>
      <c r="Y38" s="977"/>
      <c r="Z38" s="977">
        <f>Z39+Z40+Z41+Z42</f>
        <v>0</v>
      </c>
      <c r="AA38" s="977"/>
      <c r="AB38" s="977">
        <f>AB39+AB40+AB41+AB42</f>
        <v>0</v>
      </c>
      <c r="AC38" s="977"/>
      <c r="AD38" s="977">
        <f>AD39+AD40+AD41+AD42</f>
        <v>0</v>
      </c>
      <c r="AE38" s="977"/>
      <c r="AF38" s="195"/>
      <c r="AG38" s="175">
        <f t="shared" si="2"/>
        <v>0</v>
      </c>
    </row>
    <row r="39" spans="1:33" x14ac:dyDescent="0.3">
      <c r="A39" s="199" t="s">
        <v>169</v>
      </c>
      <c r="B39" s="977">
        <f>H39+J39+L39+N39+P39+R39+T39+V39+X39+Z39+AB39+AD39</f>
        <v>0</v>
      </c>
      <c r="C39" s="977">
        <f>H39</f>
        <v>0</v>
      </c>
      <c r="D39" s="977">
        <f t="shared" si="7"/>
        <v>0</v>
      </c>
      <c r="E39" s="977">
        <v>0</v>
      </c>
      <c r="F39" s="983">
        <v>0</v>
      </c>
      <c r="G39" s="983">
        <v>0</v>
      </c>
      <c r="H39" s="977">
        <v>0</v>
      </c>
      <c r="I39" s="977">
        <v>0</v>
      </c>
      <c r="J39" s="977">
        <v>0</v>
      </c>
      <c r="K39" s="977">
        <v>0</v>
      </c>
      <c r="L39" s="977">
        <v>0</v>
      </c>
      <c r="M39" s="977">
        <v>0</v>
      </c>
      <c r="N39" s="977">
        <v>0</v>
      </c>
      <c r="O39" s="977">
        <v>0</v>
      </c>
      <c r="P39" s="977">
        <v>0</v>
      </c>
      <c r="Q39" s="977">
        <v>0</v>
      </c>
      <c r="R39" s="977">
        <v>0</v>
      </c>
      <c r="S39" s="977">
        <v>0</v>
      </c>
      <c r="T39" s="977">
        <v>0</v>
      </c>
      <c r="U39" s="977"/>
      <c r="V39" s="977">
        <v>0</v>
      </c>
      <c r="W39" s="977"/>
      <c r="X39" s="977">
        <v>0</v>
      </c>
      <c r="Y39" s="977"/>
      <c r="Z39" s="977">
        <v>0</v>
      </c>
      <c r="AA39" s="977"/>
      <c r="AB39" s="977">
        <v>0</v>
      </c>
      <c r="AC39" s="977"/>
      <c r="AD39" s="977">
        <v>0</v>
      </c>
      <c r="AE39" s="977"/>
      <c r="AF39" s="195"/>
      <c r="AG39" s="175">
        <f t="shared" si="2"/>
        <v>0</v>
      </c>
    </row>
    <row r="40" spans="1:33" x14ac:dyDescent="0.3">
      <c r="A40" s="199" t="s">
        <v>32</v>
      </c>
      <c r="B40" s="977">
        <f>H40+J40+L40+N40+P40+R40+T40+V40+X40+Z40+AB40+AD40</f>
        <v>0</v>
      </c>
      <c r="C40" s="977">
        <f>H40</f>
        <v>0</v>
      </c>
      <c r="D40" s="977">
        <f t="shared" si="7"/>
        <v>0</v>
      </c>
      <c r="E40" s="977">
        <v>0</v>
      </c>
      <c r="F40" s="983">
        <v>0</v>
      </c>
      <c r="G40" s="983">
        <v>0</v>
      </c>
      <c r="H40" s="977">
        <v>0</v>
      </c>
      <c r="I40" s="977">
        <v>0</v>
      </c>
      <c r="J40" s="977">
        <v>0</v>
      </c>
      <c r="K40" s="977">
        <v>0</v>
      </c>
      <c r="L40" s="977">
        <v>0</v>
      </c>
      <c r="M40" s="977">
        <v>0</v>
      </c>
      <c r="N40" s="977">
        <v>0</v>
      </c>
      <c r="O40" s="977">
        <v>0</v>
      </c>
      <c r="P40" s="977">
        <v>0</v>
      </c>
      <c r="Q40" s="977">
        <v>0</v>
      </c>
      <c r="R40" s="977">
        <v>0</v>
      </c>
      <c r="S40" s="977">
        <v>0</v>
      </c>
      <c r="T40" s="977">
        <v>0</v>
      </c>
      <c r="U40" s="977"/>
      <c r="V40" s="977">
        <v>0</v>
      </c>
      <c r="W40" s="977"/>
      <c r="X40" s="977">
        <v>0</v>
      </c>
      <c r="Y40" s="977"/>
      <c r="Z40" s="977">
        <v>0</v>
      </c>
      <c r="AA40" s="977"/>
      <c r="AB40" s="977">
        <v>0</v>
      </c>
      <c r="AC40" s="977"/>
      <c r="AD40" s="977">
        <v>0</v>
      </c>
      <c r="AE40" s="977"/>
      <c r="AF40" s="195"/>
      <c r="AG40" s="175">
        <f t="shared" si="2"/>
        <v>0</v>
      </c>
    </row>
    <row r="41" spans="1:33" x14ac:dyDescent="0.3">
      <c r="A41" s="199" t="s">
        <v>33</v>
      </c>
      <c r="B41" s="977">
        <f>H41+J41+L41+N41+P41+R41+T41+V41+X41+Z41+AB41+AD41</f>
        <v>166.6</v>
      </c>
      <c r="C41" s="978">
        <f>H41+J41+L41+N41+P41+R41</f>
        <v>89.333590000000001</v>
      </c>
      <c r="D41" s="978">
        <f t="shared" si="7"/>
        <v>89.329319999999996</v>
      </c>
      <c r="E41" s="981">
        <f>I41+K41+M41+O41+Q41+S41</f>
        <v>89.329319999999996</v>
      </c>
      <c r="F41" s="983">
        <f>E41/B41*100</f>
        <v>53.61903961584634</v>
      </c>
      <c r="G41" s="983">
        <f>E41/C41*100</f>
        <v>99.99522016298684</v>
      </c>
      <c r="H41" s="977">
        <v>60.98359</v>
      </c>
      <c r="I41" s="977">
        <v>59.389319999999998</v>
      </c>
      <c r="J41" s="977">
        <v>28.35</v>
      </c>
      <c r="K41" s="977">
        <v>29.94</v>
      </c>
      <c r="L41" s="977">
        <v>0</v>
      </c>
      <c r="M41" s="977">
        <v>0</v>
      </c>
      <c r="N41" s="977">
        <v>0</v>
      </c>
      <c r="O41" s="977">
        <v>0</v>
      </c>
      <c r="P41" s="977">
        <v>0</v>
      </c>
      <c r="Q41" s="977">
        <v>0</v>
      </c>
      <c r="R41" s="977">
        <v>0</v>
      </c>
      <c r="S41" s="977">
        <v>0</v>
      </c>
      <c r="T41" s="977">
        <v>77.266409999999993</v>
      </c>
      <c r="U41" s="977"/>
      <c r="V41" s="977">
        <v>0</v>
      </c>
      <c r="W41" s="977"/>
      <c r="X41" s="977">
        <v>0</v>
      </c>
      <c r="Y41" s="977"/>
      <c r="Z41" s="977">
        <v>0</v>
      </c>
      <c r="AA41" s="977"/>
      <c r="AB41" s="977">
        <v>0</v>
      </c>
      <c r="AC41" s="977"/>
      <c r="AD41" s="977">
        <v>0</v>
      </c>
      <c r="AE41" s="977"/>
      <c r="AF41" s="195"/>
      <c r="AG41" s="175">
        <f t="shared" si="2"/>
        <v>0</v>
      </c>
    </row>
    <row r="42" spans="1:33" x14ac:dyDescent="0.3">
      <c r="A42" s="199" t="s">
        <v>221</v>
      </c>
      <c r="B42" s="977">
        <f>H42+J42+L42+N42+P42+R42+T42+V42+X42+Z42+AB42+AD42</f>
        <v>0</v>
      </c>
      <c r="C42" s="977">
        <f>H42</f>
        <v>0</v>
      </c>
      <c r="D42" s="977">
        <f t="shared" si="7"/>
        <v>0</v>
      </c>
      <c r="E42" s="977">
        <v>0</v>
      </c>
      <c r="F42" s="983">
        <v>0</v>
      </c>
      <c r="G42" s="983">
        <v>0</v>
      </c>
      <c r="H42" s="977">
        <v>0</v>
      </c>
      <c r="I42" s="977">
        <v>0</v>
      </c>
      <c r="J42" s="977">
        <v>0</v>
      </c>
      <c r="K42" s="977">
        <v>0</v>
      </c>
      <c r="L42" s="977">
        <v>0</v>
      </c>
      <c r="M42" s="977">
        <v>0</v>
      </c>
      <c r="N42" s="977">
        <v>0</v>
      </c>
      <c r="O42" s="977">
        <v>0</v>
      </c>
      <c r="P42" s="977">
        <v>0</v>
      </c>
      <c r="Q42" s="977">
        <v>0</v>
      </c>
      <c r="R42" s="977">
        <v>0</v>
      </c>
      <c r="S42" s="977">
        <v>0</v>
      </c>
      <c r="T42" s="977">
        <v>0</v>
      </c>
      <c r="U42" s="977"/>
      <c r="V42" s="977">
        <v>0</v>
      </c>
      <c r="W42" s="977"/>
      <c r="X42" s="977">
        <v>0</v>
      </c>
      <c r="Y42" s="977"/>
      <c r="Z42" s="977">
        <v>0</v>
      </c>
      <c r="AA42" s="977"/>
      <c r="AB42" s="977">
        <v>0</v>
      </c>
      <c r="AC42" s="977"/>
      <c r="AD42" s="977">
        <v>0</v>
      </c>
      <c r="AE42" s="977"/>
      <c r="AF42" s="195"/>
      <c r="AG42" s="175">
        <f t="shared" si="2"/>
        <v>0</v>
      </c>
    </row>
    <row r="43" spans="1:33" ht="56.25" x14ac:dyDescent="0.3">
      <c r="A43" s="200" t="s">
        <v>227</v>
      </c>
      <c r="B43" s="977">
        <f>B44</f>
        <v>1799.6000000000001</v>
      </c>
      <c r="C43" s="977">
        <f>C44</f>
        <v>1470.596</v>
      </c>
      <c r="D43" s="977">
        <f t="shared" si="7"/>
        <v>1215.8235599999998</v>
      </c>
      <c r="E43" s="981">
        <f t="shared" ref="E43:T43" si="17">E44</f>
        <v>1215.8235599999998</v>
      </c>
      <c r="F43" s="983">
        <f t="shared" si="17"/>
        <v>67.560766837074894</v>
      </c>
      <c r="G43" s="983">
        <f t="shared" si="17"/>
        <v>82.675565553013868</v>
      </c>
      <c r="H43" s="977">
        <f t="shared" si="17"/>
        <v>341.666</v>
      </c>
      <c r="I43" s="981">
        <f t="shared" si="17"/>
        <v>320.78701999999998</v>
      </c>
      <c r="J43" s="977">
        <f t="shared" si="17"/>
        <v>75.465999999999994</v>
      </c>
      <c r="K43" s="977">
        <f t="shared" si="17"/>
        <v>89.850470000000001</v>
      </c>
      <c r="L43" s="977">
        <f t="shared" si="17"/>
        <v>287.96600000000001</v>
      </c>
      <c r="M43" s="980">
        <f t="shared" si="17"/>
        <v>181.53813</v>
      </c>
      <c r="N43" s="977">
        <f t="shared" si="17"/>
        <v>217.05199999999999</v>
      </c>
      <c r="O43" s="980">
        <f t="shared" si="17"/>
        <v>315.71589</v>
      </c>
      <c r="P43" s="977">
        <f t="shared" si="17"/>
        <v>171.68</v>
      </c>
      <c r="Q43" s="980">
        <f t="shared" si="17"/>
        <v>109.69092000000001</v>
      </c>
      <c r="R43" s="977">
        <f t="shared" si="17"/>
        <v>376.76600000000002</v>
      </c>
      <c r="S43" s="980">
        <f t="shared" si="17"/>
        <v>198.24113</v>
      </c>
      <c r="T43" s="977">
        <f t="shared" si="17"/>
        <v>49.066000000000003</v>
      </c>
      <c r="U43" s="981"/>
      <c r="V43" s="977">
        <f>V44</f>
        <v>49.066000000000003</v>
      </c>
      <c r="W43" s="981"/>
      <c r="X43" s="977">
        <f>X44</f>
        <v>89.066000000000003</v>
      </c>
      <c r="Y43" s="981"/>
      <c r="Z43" s="977">
        <f>Z44</f>
        <v>43.665999999999997</v>
      </c>
      <c r="AA43" s="981"/>
      <c r="AB43" s="977">
        <f>AB44</f>
        <v>63.066000000000003</v>
      </c>
      <c r="AC43" s="981"/>
      <c r="AD43" s="977">
        <f>AD44</f>
        <v>35.073999999999998</v>
      </c>
      <c r="AE43" s="982"/>
      <c r="AF43" s="195"/>
      <c r="AG43" s="175">
        <f t="shared" si="2"/>
        <v>0</v>
      </c>
    </row>
    <row r="44" spans="1:33" s="177" customFormat="1" x14ac:dyDescent="0.3">
      <c r="A44" s="196" t="s">
        <v>31</v>
      </c>
      <c r="B44" s="977">
        <f>B45+B46+B47+B48</f>
        <v>1799.6000000000001</v>
      </c>
      <c r="C44" s="977">
        <f>C45+C46+C47+C48</f>
        <v>1470.596</v>
      </c>
      <c r="D44" s="977">
        <f t="shared" si="7"/>
        <v>1215.8235599999998</v>
      </c>
      <c r="E44" s="977">
        <f>E45+E46+E47+E48</f>
        <v>1215.8235599999998</v>
      </c>
      <c r="F44" s="983">
        <f>F45+F46+F47+F48</f>
        <v>67.560766837074894</v>
      </c>
      <c r="G44" s="983">
        <f>E44/C44*100</f>
        <v>82.675565553013868</v>
      </c>
      <c r="H44" s="977">
        <f t="shared" ref="H44:T44" si="18">H45+H46+H47+H48</f>
        <v>341.666</v>
      </c>
      <c r="I44" s="977">
        <f t="shared" si="18"/>
        <v>320.78701999999998</v>
      </c>
      <c r="J44" s="977">
        <f t="shared" si="18"/>
        <v>75.465999999999994</v>
      </c>
      <c r="K44" s="977">
        <f t="shared" si="18"/>
        <v>89.850470000000001</v>
      </c>
      <c r="L44" s="977">
        <f t="shared" si="18"/>
        <v>287.96600000000001</v>
      </c>
      <c r="M44" s="977">
        <f t="shared" si="18"/>
        <v>181.53813</v>
      </c>
      <c r="N44" s="977">
        <f t="shared" si="18"/>
        <v>217.05199999999999</v>
      </c>
      <c r="O44" s="977">
        <f t="shared" si="18"/>
        <v>315.71589</v>
      </c>
      <c r="P44" s="977">
        <f t="shared" si="18"/>
        <v>171.68</v>
      </c>
      <c r="Q44" s="977">
        <f t="shared" si="18"/>
        <v>109.69092000000001</v>
      </c>
      <c r="R44" s="977">
        <f t="shared" si="18"/>
        <v>376.76600000000002</v>
      </c>
      <c r="S44" s="977">
        <f t="shared" si="18"/>
        <v>198.24113</v>
      </c>
      <c r="T44" s="977">
        <f t="shared" si="18"/>
        <v>49.066000000000003</v>
      </c>
      <c r="U44" s="977"/>
      <c r="V44" s="977">
        <f>V45+V46+V47+V48</f>
        <v>49.066000000000003</v>
      </c>
      <c r="W44" s="977"/>
      <c r="X44" s="977">
        <f>X45+X46+X47+X48</f>
        <v>89.066000000000003</v>
      </c>
      <c r="Y44" s="977"/>
      <c r="Z44" s="977">
        <f>Z45+Z46+Z47+Z48</f>
        <v>43.665999999999997</v>
      </c>
      <c r="AA44" s="977"/>
      <c r="AB44" s="977">
        <f>AB45+AB46+AB47+AB48</f>
        <v>63.066000000000003</v>
      </c>
      <c r="AC44" s="977"/>
      <c r="AD44" s="977">
        <f>AD45+AD46+AD47+AD48</f>
        <v>35.073999999999998</v>
      </c>
      <c r="AE44" s="977"/>
      <c r="AF44" s="195"/>
      <c r="AG44" s="175">
        <f t="shared" si="2"/>
        <v>0</v>
      </c>
    </row>
    <row r="45" spans="1:33" x14ac:dyDescent="0.3">
      <c r="A45" s="199" t="s">
        <v>169</v>
      </c>
      <c r="B45" s="977">
        <f>H45+J45+L45+N45+P45+R45+T45+V45+X45+Z45+AB45+AD45</f>
        <v>0</v>
      </c>
      <c r="C45" s="977">
        <f>H45</f>
        <v>0</v>
      </c>
      <c r="D45" s="977">
        <f t="shared" si="7"/>
        <v>0</v>
      </c>
      <c r="E45" s="977">
        <v>0</v>
      </c>
      <c r="F45" s="983">
        <v>0</v>
      </c>
      <c r="G45" s="983">
        <v>0</v>
      </c>
      <c r="H45" s="977">
        <v>0</v>
      </c>
      <c r="I45" s="977">
        <v>0</v>
      </c>
      <c r="J45" s="977">
        <v>0</v>
      </c>
      <c r="K45" s="977">
        <v>0</v>
      </c>
      <c r="L45" s="977">
        <v>0</v>
      </c>
      <c r="M45" s="977">
        <v>0</v>
      </c>
      <c r="N45" s="977">
        <v>0</v>
      </c>
      <c r="O45" s="977">
        <v>0</v>
      </c>
      <c r="P45" s="977">
        <v>0</v>
      </c>
      <c r="Q45" s="977">
        <v>0</v>
      </c>
      <c r="R45" s="977">
        <v>0</v>
      </c>
      <c r="S45" s="977">
        <v>0</v>
      </c>
      <c r="T45" s="977">
        <v>0</v>
      </c>
      <c r="U45" s="977"/>
      <c r="V45" s="977">
        <v>0</v>
      </c>
      <c r="W45" s="977"/>
      <c r="X45" s="977">
        <v>0</v>
      </c>
      <c r="Y45" s="977"/>
      <c r="Z45" s="977">
        <v>0</v>
      </c>
      <c r="AA45" s="977"/>
      <c r="AB45" s="977">
        <v>0</v>
      </c>
      <c r="AC45" s="977"/>
      <c r="AD45" s="977">
        <v>0</v>
      </c>
      <c r="AE45" s="977"/>
      <c r="AF45" s="195"/>
      <c r="AG45" s="175">
        <f t="shared" si="2"/>
        <v>0</v>
      </c>
    </row>
    <row r="46" spans="1:33" x14ac:dyDescent="0.3">
      <c r="A46" s="199" t="s">
        <v>32</v>
      </c>
      <c r="B46" s="977">
        <f>H46+J46+L46+N46+P46+R46+T46+V46+X46+Z46+AB46+AD46</f>
        <v>0</v>
      </c>
      <c r="C46" s="977">
        <f>H46</f>
        <v>0</v>
      </c>
      <c r="D46" s="977">
        <f t="shared" si="7"/>
        <v>0</v>
      </c>
      <c r="E46" s="977">
        <v>0</v>
      </c>
      <c r="F46" s="983">
        <v>0</v>
      </c>
      <c r="G46" s="983">
        <v>0</v>
      </c>
      <c r="H46" s="977">
        <v>0</v>
      </c>
      <c r="I46" s="977">
        <v>0</v>
      </c>
      <c r="J46" s="977">
        <v>0</v>
      </c>
      <c r="K46" s="977">
        <v>0</v>
      </c>
      <c r="L46" s="977">
        <v>0</v>
      </c>
      <c r="M46" s="977">
        <v>0</v>
      </c>
      <c r="N46" s="977">
        <v>0</v>
      </c>
      <c r="O46" s="977">
        <v>0</v>
      </c>
      <c r="P46" s="977">
        <v>0</v>
      </c>
      <c r="Q46" s="977">
        <v>0</v>
      </c>
      <c r="R46" s="977">
        <v>0</v>
      </c>
      <c r="S46" s="977">
        <v>0</v>
      </c>
      <c r="T46" s="977">
        <v>0</v>
      </c>
      <c r="U46" s="977"/>
      <c r="V46" s="977">
        <v>0</v>
      </c>
      <c r="W46" s="977"/>
      <c r="X46" s="977">
        <v>0</v>
      </c>
      <c r="Y46" s="977"/>
      <c r="Z46" s="977">
        <v>0</v>
      </c>
      <c r="AA46" s="977"/>
      <c r="AB46" s="977">
        <v>0</v>
      </c>
      <c r="AC46" s="977"/>
      <c r="AD46" s="977">
        <v>0</v>
      </c>
      <c r="AE46" s="977"/>
      <c r="AF46" s="195"/>
      <c r="AG46" s="175">
        <f t="shared" si="2"/>
        <v>0</v>
      </c>
    </row>
    <row r="47" spans="1:33" x14ac:dyDescent="0.3">
      <c r="A47" s="199" t="s">
        <v>33</v>
      </c>
      <c r="B47" s="977">
        <f>H47+J47+L47+N47+P47+R47+T47+V47+X47+Z47+AB47+AD47</f>
        <v>1799.6000000000001</v>
      </c>
      <c r="C47" s="978">
        <f>H47+J47+L47+N47+P47+R47</f>
        <v>1470.596</v>
      </c>
      <c r="D47" s="978">
        <f t="shared" si="7"/>
        <v>1215.8235599999998</v>
      </c>
      <c r="E47" s="981">
        <f>I47+K47+M47+O47+Q47+S47</f>
        <v>1215.8235599999998</v>
      </c>
      <c r="F47" s="983">
        <f>E47/B47*100</f>
        <v>67.560766837074894</v>
      </c>
      <c r="G47" s="983">
        <f>E47/C47*100</f>
        <v>82.675565553013868</v>
      </c>
      <c r="H47" s="977">
        <v>341.666</v>
      </c>
      <c r="I47" s="977">
        <v>320.78701999999998</v>
      </c>
      <c r="J47" s="977">
        <v>75.465999999999994</v>
      </c>
      <c r="K47" s="977">
        <v>89.850470000000001</v>
      </c>
      <c r="L47" s="977">
        <v>287.96600000000001</v>
      </c>
      <c r="M47" s="977">
        <v>181.53813</v>
      </c>
      <c r="N47" s="977">
        <v>217.05199999999999</v>
      </c>
      <c r="O47" s="977">
        <v>315.71589</v>
      </c>
      <c r="P47" s="977">
        <v>171.68</v>
      </c>
      <c r="Q47" s="977">
        <v>109.69092000000001</v>
      </c>
      <c r="R47" s="977">
        <v>376.76600000000002</v>
      </c>
      <c r="S47" s="977">
        <v>198.24113</v>
      </c>
      <c r="T47" s="977">
        <v>49.066000000000003</v>
      </c>
      <c r="U47" s="977"/>
      <c r="V47" s="977">
        <v>49.066000000000003</v>
      </c>
      <c r="W47" s="977"/>
      <c r="X47" s="977">
        <v>89.066000000000003</v>
      </c>
      <c r="Y47" s="977"/>
      <c r="Z47" s="977">
        <v>43.665999999999997</v>
      </c>
      <c r="AA47" s="977"/>
      <c r="AB47" s="977">
        <v>63.066000000000003</v>
      </c>
      <c r="AC47" s="977"/>
      <c r="AD47" s="977">
        <v>35.073999999999998</v>
      </c>
      <c r="AE47" s="977"/>
      <c r="AF47" s="195"/>
      <c r="AG47" s="175">
        <f t="shared" si="2"/>
        <v>0</v>
      </c>
    </row>
    <row r="48" spans="1:33" x14ac:dyDescent="0.3">
      <c r="A48" s="199" t="s">
        <v>221</v>
      </c>
      <c r="B48" s="977">
        <f>H48+J48+L48+N48+P48+R48+T48+V48+X48+Z48+AB48+AD48</f>
        <v>0</v>
      </c>
      <c r="C48" s="977">
        <f>H48</f>
        <v>0</v>
      </c>
      <c r="D48" s="977">
        <f t="shared" si="7"/>
        <v>0</v>
      </c>
      <c r="E48" s="977">
        <v>0</v>
      </c>
      <c r="F48" s="983">
        <v>0</v>
      </c>
      <c r="G48" s="983">
        <v>0</v>
      </c>
      <c r="H48" s="977">
        <v>0</v>
      </c>
      <c r="I48" s="977">
        <v>0</v>
      </c>
      <c r="J48" s="977">
        <v>0</v>
      </c>
      <c r="K48" s="977">
        <v>0</v>
      </c>
      <c r="L48" s="977">
        <v>0</v>
      </c>
      <c r="M48" s="977">
        <v>0</v>
      </c>
      <c r="N48" s="977">
        <v>0</v>
      </c>
      <c r="O48" s="977">
        <v>0</v>
      </c>
      <c r="P48" s="977">
        <v>0</v>
      </c>
      <c r="Q48" s="977">
        <v>0</v>
      </c>
      <c r="R48" s="977">
        <v>0</v>
      </c>
      <c r="S48" s="977">
        <v>0</v>
      </c>
      <c r="T48" s="977">
        <v>0</v>
      </c>
      <c r="U48" s="977"/>
      <c r="V48" s="977">
        <v>0</v>
      </c>
      <c r="W48" s="977"/>
      <c r="X48" s="977">
        <v>0</v>
      </c>
      <c r="Y48" s="977"/>
      <c r="Z48" s="977">
        <v>0</v>
      </c>
      <c r="AA48" s="977"/>
      <c r="AB48" s="977">
        <v>0</v>
      </c>
      <c r="AC48" s="977"/>
      <c r="AD48" s="977">
        <v>0</v>
      </c>
      <c r="AE48" s="977"/>
      <c r="AF48" s="195"/>
      <c r="AG48" s="175">
        <f t="shared" si="2"/>
        <v>0</v>
      </c>
    </row>
    <row r="49" spans="1:33" ht="56.25" x14ac:dyDescent="0.3">
      <c r="A49" s="200" t="s">
        <v>228</v>
      </c>
      <c r="B49" s="977">
        <f>B50</f>
        <v>25206.100000000002</v>
      </c>
      <c r="C49" s="977">
        <f>C50</f>
        <v>10712.087699999998</v>
      </c>
      <c r="D49" s="977">
        <f t="shared" si="7"/>
        <v>7399.9330399999999</v>
      </c>
      <c r="E49" s="981">
        <f t="shared" ref="E49:T49" si="19">E50</f>
        <v>7399.9330399999999</v>
      </c>
      <c r="F49" s="983">
        <f t="shared" si="19"/>
        <v>29.35770722166459</v>
      </c>
      <c r="G49" s="983">
        <f t="shared" si="19"/>
        <v>69.080213374279992</v>
      </c>
      <c r="H49" s="977">
        <f t="shared" si="19"/>
        <v>2223.1750000000002</v>
      </c>
      <c r="I49" s="981">
        <f t="shared" si="19"/>
        <v>1317.3331599999999</v>
      </c>
      <c r="J49" s="977">
        <f t="shared" si="19"/>
        <v>1586.7</v>
      </c>
      <c r="K49" s="977">
        <f t="shared" si="19"/>
        <v>691.572</v>
      </c>
      <c r="L49" s="977">
        <f t="shared" si="19"/>
        <v>708.6</v>
      </c>
      <c r="M49" s="980">
        <f t="shared" si="19"/>
        <v>777.43100000000004</v>
      </c>
      <c r="N49" s="977">
        <f t="shared" si="19"/>
        <v>4043.8249999999998</v>
      </c>
      <c r="O49" s="980">
        <f t="shared" si="19"/>
        <v>1620.8085699999999</v>
      </c>
      <c r="P49" s="977">
        <f t="shared" si="19"/>
        <v>802.19754</v>
      </c>
      <c r="Q49" s="980">
        <f t="shared" si="19"/>
        <v>1461.58015</v>
      </c>
      <c r="R49" s="977">
        <f t="shared" si="19"/>
        <v>1347.59016</v>
      </c>
      <c r="S49" s="980">
        <f t="shared" si="19"/>
        <v>1531.2081599999999</v>
      </c>
      <c r="T49" s="977">
        <f t="shared" si="19"/>
        <v>5054.3004199999996</v>
      </c>
      <c r="U49" s="981"/>
      <c r="V49" s="977">
        <f>V50</f>
        <v>699.9</v>
      </c>
      <c r="W49" s="981"/>
      <c r="X49" s="977">
        <f>X50</f>
        <v>699.9</v>
      </c>
      <c r="Y49" s="981"/>
      <c r="Z49" s="977">
        <f>Z50</f>
        <v>2417.2750000000001</v>
      </c>
      <c r="AA49" s="981"/>
      <c r="AB49" s="977">
        <f>AB50</f>
        <v>699.9</v>
      </c>
      <c r="AC49" s="981"/>
      <c r="AD49" s="977">
        <f>AD50</f>
        <v>4922.7368800000004</v>
      </c>
      <c r="AE49" s="982"/>
      <c r="AF49" s="201"/>
      <c r="AG49" s="175">
        <f t="shared" si="2"/>
        <v>0</v>
      </c>
    </row>
    <row r="50" spans="1:33" s="177" customFormat="1" x14ac:dyDescent="0.3">
      <c r="A50" s="196" t="s">
        <v>31</v>
      </c>
      <c r="B50" s="977">
        <f>B51+B52+B53+B54</f>
        <v>25206.100000000002</v>
      </c>
      <c r="C50" s="977">
        <f>C51+C52+C53+C54</f>
        <v>10712.087699999998</v>
      </c>
      <c r="D50" s="977">
        <f t="shared" si="7"/>
        <v>7399.9330399999999</v>
      </c>
      <c r="E50" s="977">
        <f>E51+E52+E53+E54</f>
        <v>7399.9330399999999</v>
      </c>
      <c r="F50" s="983">
        <f>F51+F52+F53+F54</f>
        <v>29.35770722166459</v>
      </c>
      <c r="G50" s="983">
        <f>E50/C50*100</f>
        <v>69.080213374279992</v>
      </c>
      <c r="H50" s="977">
        <f t="shared" ref="H50:T50" si="20">H51+H52+H53+H54</f>
        <v>2223.1750000000002</v>
      </c>
      <c r="I50" s="977">
        <f t="shared" si="20"/>
        <v>1317.3331599999999</v>
      </c>
      <c r="J50" s="977">
        <f t="shared" si="20"/>
        <v>1586.7</v>
      </c>
      <c r="K50" s="977">
        <f t="shared" si="20"/>
        <v>691.572</v>
      </c>
      <c r="L50" s="977">
        <f t="shared" si="20"/>
        <v>708.6</v>
      </c>
      <c r="M50" s="977">
        <f t="shared" si="20"/>
        <v>777.43100000000004</v>
      </c>
      <c r="N50" s="977">
        <f t="shared" si="20"/>
        <v>4043.8249999999998</v>
      </c>
      <c r="O50" s="977">
        <f t="shared" si="20"/>
        <v>1620.8085699999999</v>
      </c>
      <c r="P50" s="977">
        <f t="shared" si="20"/>
        <v>802.19754</v>
      </c>
      <c r="Q50" s="977">
        <f t="shared" si="20"/>
        <v>1461.58015</v>
      </c>
      <c r="R50" s="977">
        <f t="shared" si="20"/>
        <v>1347.59016</v>
      </c>
      <c r="S50" s="977">
        <f t="shared" si="20"/>
        <v>1531.2081599999999</v>
      </c>
      <c r="T50" s="977">
        <f t="shared" si="20"/>
        <v>5054.3004199999996</v>
      </c>
      <c r="U50" s="977"/>
      <c r="V50" s="977">
        <f>V51+V52+V53+V54</f>
        <v>699.9</v>
      </c>
      <c r="W50" s="977"/>
      <c r="X50" s="977">
        <f>X51+X52+X53+X54</f>
        <v>699.9</v>
      </c>
      <c r="Y50" s="977"/>
      <c r="Z50" s="977">
        <f>Z51+Z52+Z53+Z54</f>
        <v>2417.2750000000001</v>
      </c>
      <c r="AA50" s="977"/>
      <c r="AB50" s="977">
        <f>AB51+AB52+AB53+AB54</f>
        <v>699.9</v>
      </c>
      <c r="AC50" s="977"/>
      <c r="AD50" s="977">
        <f>AD51+AD52+AD53+AD54</f>
        <v>4922.7368800000004</v>
      </c>
      <c r="AE50" s="977"/>
      <c r="AF50" s="201"/>
      <c r="AG50" s="175">
        <f t="shared" si="2"/>
        <v>0</v>
      </c>
    </row>
    <row r="51" spans="1:33" x14ac:dyDescent="0.3">
      <c r="A51" s="199" t="s">
        <v>169</v>
      </c>
      <c r="B51" s="977">
        <f>H51+J51+L51+N51+P51+R51+T51+V51+X51+Z51+AB51+AD51</f>
        <v>0</v>
      </c>
      <c r="C51" s="977">
        <f>H51</f>
        <v>0</v>
      </c>
      <c r="D51" s="977">
        <f t="shared" si="7"/>
        <v>0</v>
      </c>
      <c r="E51" s="977">
        <v>0</v>
      </c>
      <c r="F51" s="983">
        <v>0</v>
      </c>
      <c r="G51" s="983">
        <v>0</v>
      </c>
      <c r="H51" s="977">
        <v>0</v>
      </c>
      <c r="I51" s="977">
        <v>0</v>
      </c>
      <c r="J51" s="977">
        <v>0</v>
      </c>
      <c r="K51" s="977">
        <v>0</v>
      </c>
      <c r="L51" s="977">
        <v>0</v>
      </c>
      <c r="M51" s="977">
        <v>0</v>
      </c>
      <c r="N51" s="977">
        <v>0</v>
      </c>
      <c r="O51" s="977">
        <v>0</v>
      </c>
      <c r="P51" s="977">
        <v>0</v>
      </c>
      <c r="Q51" s="977">
        <v>0</v>
      </c>
      <c r="R51" s="977">
        <v>0</v>
      </c>
      <c r="S51" s="977">
        <v>0</v>
      </c>
      <c r="T51" s="977">
        <v>0</v>
      </c>
      <c r="U51" s="977"/>
      <c r="V51" s="977">
        <v>0</v>
      </c>
      <c r="W51" s="977"/>
      <c r="X51" s="977">
        <v>0</v>
      </c>
      <c r="Y51" s="977"/>
      <c r="Z51" s="977">
        <v>0</v>
      </c>
      <c r="AA51" s="977"/>
      <c r="AB51" s="977">
        <v>0</v>
      </c>
      <c r="AC51" s="977"/>
      <c r="AD51" s="977">
        <v>0</v>
      </c>
      <c r="AE51" s="977"/>
      <c r="AF51" s="201"/>
      <c r="AG51" s="175">
        <f t="shared" si="2"/>
        <v>0</v>
      </c>
    </row>
    <row r="52" spans="1:33" x14ac:dyDescent="0.3">
      <c r="A52" s="199" t="s">
        <v>32</v>
      </c>
      <c r="B52" s="977">
        <f>H52+J52+L52+N52+P52+R52+T52+V52+X52+Z52+AB52+AD52</f>
        <v>0</v>
      </c>
      <c r="C52" s="977">
        <f>H52</f>
        <v>0</v>
      </c>
      <c r="D52" s="977">
        <f t="shared" si="7"/>
        <v>0</v>
      </c>
      <c r="E52" s="977">
        <v>0</v>
      </c>
      <c r="F52" s="983">
        <v>0</v>
      </c>
      <c r="G52" s="983">
        <v>0</v>
      </c>
      <c r="H52" s="977">
        <v>0</v>
      </c>
      <c r="I52" s="977">
        <v>0</v>
      </c>
      <c r="J52" s="977">
        <v>0</v>
      </c>
      <c r="K52" s="977">
        <v>0</v>
      </c>
      <c r="L52" s="977">
        <v>0</v>
      </c>
      <c r="M52" s="977">
        <v>0</v>
      </c>
      <c r="N52" s="977">
        <v>0</v>
      </c>
      <c r="O52" s="977">
        <v>0</v>
      </c>
      <c r="P52" s="977">
        <v>0</v>
      </c>
      <c r="Q52" s="977">
        <v>0</v>
      </c>
      <c r="R52" s="977">
        <v>0</v>
      </c>
      <c r="S52" s="977">
        <v>0</v>
      </c>
      <c r="T52" s="977">
        <v>0</v>
      </c>
      <c r="U52" s="977"/>
      <c r="V52" s="977">
        <v>0</v>
      </c>
      <c r="W52" s="977"/>
      <c r="X52" s="977">
        <v>0</v>
      </c>
      <c r="Y52" s="977"/>
      <c r="Z52" s="977">
        <v>0</v>
      </c>
      <c r="AA52" s="977"/>
      <c r="AB52" s="977">
        <v>0</v>
      </c>
      <c r="AC52" s="977"/>
      <c r="AD52" s="977">
        <v>0</v>
      </c>
      <c r="AE52" s="977"/>
      <c r="AF52" s="201"/>
      <c r="AG52" s="175">
        <f t="shared" si="2"/>
        <v>0</v>
      </c>
    </row>
    <row r="53" spans="1:33" x14ac:dyDescent="0.3">
      <c r="A53" s="199" t="s">
        <v>33</v>
      </c>
      <c r="B53" s="988">
        <f>H53+J53+L53+N53+P53+R53+T53+V53+X53+Z53+AB53+AD53</f>
        <v>25206.100000000002</v>
      </c>
      <c r="C53" s="989">
        <f>H53+J53+L53+N53+P53+R53</f>
        <v>10712.087699999998</v>
      </c>
      <c r="D53" s="989">
        <f t="shared" si="7"/>
        <v>7399.9330399999999</v>
      </c>
      <c r="E53" s="990">
        <f>I53+K53+M53+O53+Q53+S53</f>
        <v>7399.9330399999999</v>
      </c>
      <c r="F53" s="983">
        <f>E53/B53*100</f>
        <v>29.35770722166459</v>
      </c>
      <c r="G53" s="983">
        <f>E53/C53*100</f>
        <v>69.080213374279992</v>
      </c>
      <c r="H53" s="977">
        <v>2223.1750000000002</v>
      </c>
      <c r="I53" s="977">
        <v>1317.3331599999999</v>
      </c>
      <c r="J53" s="977">
        <v>1586.7</v>
      </c>
      <c r="K53" s="977">
        <v>691.572</v>
      </c>
      <c r="L53" s="977">
        <v>708.6</v>
      </c>
      <c r="M53" s="977">
        <v>777.43100000000004</v>
      </c>
      <c r="N53" s="977">
        <v>4043.8249999999998</v>
      </c>
      <c r="O53" s="977">
        <v>1620.8085699999999</v>
      </c>
      <c r="P53" s="977">
        <v>802.19754</v>
      </c>
      <c r="Q53" s="977">
        <v>1461.58015</v>
      </c>
      <c r="R53" s="977">
        <v>1347.59016</v>
      </c>
      <c r="S53" s="977">
        <v>1531.2081599999999</v>
      </c>
      <c r="T53" s="977">
        <v>5054.3004199999996</v>
      </c>
      <c r="U53" s="977"/>
      <c r="V53" s="977">
        <v>699.9</v>
      </c>
      <c r="W53" s="977"/>
      <c r="X53" s="977">
        <v>699.9</v>
      </c>
      <c r="Y53" s="977"/>
      <c r="Z53" s="977">
        <v>2417.2750000000001</v>
      </c>
      <c r="AA53" s="977"/>
      <c r="AB53" s="977">
        <v>699.9</v>
      </c>
      <c r="AC53" s="977"/>
      <c r="AD53" s="977">
        <f>2294.43688+1136.3+1492</f>
        <v>4922.7368800000004</v>
      </c>
      <c r="AE53" s="977"/>
      <c r="AF53" s="201"/>
      <c r="AG53" s="175">
        <f t="shared" si="2"/>
        <v>0</v>
      </c>
    </row>
    <row r="54" spans="1:33" x14ac:dyDescent="0.3">
      <c r="A54" s="199" t="s">
        <v>221</v>
      </c>
      <c r="B54" s="977">
        <f>H54+J54+L54+N54+P54+R54+T54+V54+X54+Z54+AB54+AD54</f>
        <v>0</v>
      </c>
      <c r="C54" s="977">
        <f>H54</f>
        <v>0</v>
      </c>
      <c r="D54" s="977">
        <f t="shared" si="7"/>
        <v>0</v>
      </c>
      <c r="E54" s="977">
        <v>0</v>
      </c>
      <c r="F54" s="983">
        <v>0</v>
      </c>
      <c r="G54" s="983">
        <v>0</v>
      </c>
      <c r="H54" s="977">
        <v>0</v>
      </c>
      <c r="I54" s="977">
        <v>0</v>
      </c>
      <c r="J54" s="977">
        <v>0</v>
      </c>
      <c r="K54" s="977">
        <v>0</v>
      </c>
      <c r="L54" s="977">
        <v>0</v>
      </c>
      <c r="M54" s="977">
        <v>0</v>
      </c>
      <c r="N54" s="977">
        <v>0</v>
      </c>
      <c r="O54" s="977">
        <v>0</v>
      </c>
      <c r="P54" s="977">
        <v>0</v>
      </c>
      <c r="Q54" s="977">
        <v>0</v>
      </c>
      <c r="R54" s="977">
        <v>0</v>
      </c>
      <c r="S54" s="977">
        <v>0</v>
      </c>
      <c r="T54" s="977">
        <v>0</v>
      </c>
      <c r="U54" s="977"/>
      <c r="V54" s="977">
        <v>0</v>
      </c>
      <c r="W54" s="977"/>
      <c r="X54" s="977">
        <v>0</v>
      </c>
      <c r="Y54" s="977"/>
      <c r="Z54" s="977">
        <v>0</v>
      </c>
      <c r="AA54" s="977"/>
      <c r="AB54" s="977">
        <v>0</v>
      </c>
      <c r="AC54" s="977"/>
      <c r="AD54" s="977">
        <v>0</v>
      </c>
      <c r="AE54" s="977"/>
      <c r="AF54" s="201"/>
      <c r="AG54" s="175">
        <f t="shared" si="2"/>
        <v>0</v>
      </c>
    </row>
    <row r="55" spans="1:33" ht="37.5" x14ac:dyDescent="0.3">
      <c r="A55" s="200" t="s">
        <v>229</v>
      </c>
      <c r="B55" s="977">
        <f>B56</f>
        <v>2092.9</v>
      </c>
      <c r="C55" s="977">
        <f>C56</f>
        <v>1966</v>
      </c>
      <c r="D55" s="977">
        <f t="shared" si="7"/>
        <v>1305.65094</v>
      </c>
      <c r="E55" s="981">
        <f t="shared" ref="E55:T55" si="21">E56</f>
        <v>1305.65094</v>
      </c>
      <c r="F55" s="983">
        <f t="shared" si="21"/>
        <v>62.384774236705042</v>
      </c>
      <c r="G55" s="983">
        <f t="shared" si="21"/>
        <v>66.411543234994923</v>
      </c>
      <c r="H55" s="977">
        <f t="shared" si="21"/>
        <v>447.8</v>
      </c>
      <c r="I55" s="981">
        <f t="shared" si="21"/>
        <v>119.61735</v>
      </c>
      <c r="J55" s="977">
        <f t="shared" si="21"/>
        <v>625.29999999999995</v>
      </c>
      <c r="K55" s="977">
        <f t="shared" si="21"/>
        <v>118.53792</v>
      </c>
      <c r="L55" s="977">
        <f t="shared" si="21"/>
        <v>87.5</v>
      </c>
      <c r="M55" s="980">
        <f t="shared" si="21"/>
        <v>174.08481</v>
      </c>
      <c r="N55" s="977">
        <f t="shared" si="21"/>
        <v>728.5</v>
      </c>
      <c r="O55" s="980">
        <f t="shared" si="21"/>
        <v>408.97221999999999</v>
      </c>
      <c r="P55" s="977">
        <f t="shared" si="21"/>
        <v>33</v>
      </c>
      <c r="Q55" s="980">
        <f t="shared" si="21"/>
        <v>160.18494000000001</v>
      </c>
      <c r="R55" s="977">
        <f t="shared" si="21"/>
        <v>43.9</v>
      </c>
      <c r="S55" s="980">
        <f t="shared" si="21"/>
        <v>324.25369999999998</v>
      </c>
      <c r="T55" s="977">
        <f t="shared" si="21"/>
        <v>0</v>
      </c>
      <c r="U55" s="981"/>
      <c r="V55" s="977">
        <f>V56</f>
        <v>0</v>
      </c>
      <c r="W55" s="981"/>
      <c r="X55" s="977">
        <f>X56</f>
        <v>50</v>
      </c>
      <c r="Y55" s="981"/>
      <c r="Z55" s="977">
        <f>Z56</f>
        <v>0</v>
      </c>
      <c r="AA55" s="981"/>
      <c r="AB55" s="977">
        <f>AB56</f>
        <v>22</v>
      </c>
      <c r="AC55" s="981"/>
      <c r="AD55" s="977">
        <f>AD56</f>
        <v>54.9</v>
      </c>
      <c r="AE55" s="982"/>
      <c r="AF55" s="195"/>
      <c r="AG55" s="175">
        <f t="shared" si="2"/>
        <v>0</v>
      </c>
    </row>
    <row r="56" spans="1:33" s="177" customFormat="1" x14ac:dyDescent="0.3">
      <c r="A56" s="196" t="s">
        <v>31</v>
      </c>
      <c r="B56" s="977">
        <f>B57+B58+B59+B60</f>
        <v>2092.9</v>
      </c>
      <c r="C56" s="977">
        <f>C57+C58+C59+C60</f>
        <v>1966</v>
      </c>
      <c r="D56" s="977">
        <f t="shared" si="7"/>
        <v>1305.65094</v>
      </c>
      <c r="E56" s="977">
        <f>E57+E58+E59+E60</f>
        <v>1305.65094</v>
      </c>
      <c r="F56" s="983">
        <f>F57+F58+F59+F60</f>
        <v>62.384774236705042</v>
      </c>
      <c r="G56" s="983">
        <f>E56/C56*100</f>
        <v>66.411543234994923</v>
      </c>
      <c r="H56" s="977">
        <f t="shared" ref="H56:T56" si="22">H57+H58+H59+H60</f>
        <v>447.8</v>
      </c>
      <c r="I56" s="977">
        <f t="shared" si="22"/>
        <v>119.61735</v>
      </c>
      <c r="J56" s="977">
        <f t="shared" si="22"/>
        <v>625.29999999999995</v>
      </c>
      <c r="K56" s="977">
        <f t="shared" si="22"/>
        <v>118.53792</v>
      </c>
      <c r="L56" s="977">
        <f t="shared" si="22"/>
        <v>87.5</v>
      </c>
      <c r="M56" s="977">
        <f t="shared" si="22"/>
        <v>174.08481</v>
      </c>
      <c r="N56" s="977">
        <f t="shared" si="22"/>
        <v>728.5</v>
      </c>
      <c r="O56" s="977">
        <f t="shared" si="22"/>
        <v>408.97221999999999</v>
      </c>
      <c r="P56" s="977">
        <f t="shared" si="22"/>
        <v>33</v>
      </c>
      <c r="Q56" s="977">
        <f t="shared" si="22"/>
        <v>160.18494000000001</v>
      </c>
      <c r="R56" s="977">
        <f t="shared" si="22"/>
        <v>43.9</v>
      </c>
      <c r="S56" s="977">
        <f t="shared" si="22"/>
        <v>324.25369999999998</v>
      </c>
      <c r="T56" s="977">
        <f t="shared" si="22"/>
        <v>0</v>
      </c>
      <c r="U56" s="977"/>
      <c r="V56" s="977">
        <f>V57+V58+V59+V60</f>
        <v>0</v>
      </c>
      <c r="W56" s="977"/>
      <c r="X56" s="977">
        <f>X57+X58+X59+X60</f>
        <v>50</v>
      </c>
      <c r="Y56" s="977"/>
      <c r="Z56" s="977">
        <f>Z57+Z58+Z59+Z60</f>
        <v>0</v>
      </c>
      <c r="AA56" s="977"/>
      <c r="AB56" s="977">
        <f>AB57+AB58+AB59+AB60</f>
        <v>22</v>
      </c>
      <c r="AC56" s="977"/>
      <c r="AD56" s="977">
        <f>AD57+AD58+AD59+AD60</f>
        <v>54.9</v>
      </c>
      <c r="AE56" s="977"/>
      <c r="AF56" s="195"/>
      <c r="AG56" s="175">
        <f t="shared" si="2"/>
        <v>0</v>
      </c>
    </row>
    <row r="57" spans="1:33" x14ac:dyDescent="0.3">
      <c r="A57" s="199" t="s">
        <v>169</v>
      </c>
      <c r="B57" s="977">
        <f>H57+J57+L57+N57+P57+R57+T57+V57+X57+Z57+AB57+AD57</f>
        <v>0</v>
      </c>
      <c r="C57" s="977">
        <f>H57</f>
        <v>0</v>
      </c>
      <c r="D57" s="977">
        <f t="shared" si="7"/>
        <v>0</v>
      </c>
      <c r="E57" s="977">
        <v>0</v>
      </c>
      <c r="F57" s="983">
        <v>0</v>
      </c>
      <c r="G57" s="983">
        <v>0</v>
      </c>
      <c r="H57" s="977">
        <v>0</v>
      </c>
      <c r="I57" s="977">
        <v>0</v>
      </c>
      <c r="J57" s="977">
        <v>0</v>
      </c>
      <c r="K57" s="977">
        <v>0</v>
      </c>
      <c r="L57" s="977">
        <v>0</v>
      </c>
      <c r="M57" s="977">
        <v>0</v>
      </c>
      <c r="N57" s="977">
        <v>0</v>
      </c>
      <c r="O57" s="977">
        <v>0</v>
      </c>
      <c r="P57" s="977">
        <v>0</v>
      </c>
      <c r="Q57" s="977">
        <v>0</v>
      </c>
      <c r="R57" s="977">
        <v>0</v>
      </c>
      <c r="S57" s="977">
        <v>0</v>
      </c>
      <c r="T57" s="977">
        <v>0</v>
      </c>
      <c r="U57" s="977"/>
      <c r="V57" s="977">
        <v>0</v>
      </c>
      <c r="W57" s="977"/>
      <c r="X57" s="977">
        <v>0</v>
      </c>
      <c r="Y57" s="977"/>
      <c r="Z57" s="977">
        <v>0</v>
      </c>
      <c r="AA57" s="977"/>
      <c r="AB57" s="977">
        <v>0</v>
      </c>
      <c r="AC57" s="977"/>
      <c r="AD57" s="977">
        <v>0</v>
      </c>
      <c r="AE57" s="977"/>
      <c r="AF57" s="195"/>
      <c r="AG57" s="175">
        <f t="shared" si="2"/>
        <v>0</v>
      </c>
    </row>
    <row r="58" spans="1:33" x14ac:dyDescent="0.3">
      <c r="A58" s="199" t="s">
        <v>32</v>
      </c>
      <c r="B58" s="977">
        <f>H58+J58+L58+N58+P58+R58+T58+V58+X58+Z58+AB58+AD58</f>
        <v>0</v>
      </c>
      <c r="C58" s="977">
        <f>H58</f>
        <v>0</v>
      </c>
      <c r="D58" s="977">
        <f t="shared" si="7"/>
        <v>0</v>
      </c>
      <c r="E58" s="977">
        <v>0</v>
      </c>
      <c r="F58" s="983">
        <v>0</v>
      </c>
      <c r="G58" s="983">
        <v>0</v>
      </c>
      <c r="H58" s="977">
        <v>0</v>
      </c>
      <c r="I58" s="977">
        <v>0</v>
      </c>
      <c r="J58" s="977">
        <v>0</v>
      </c>
      <c r="K58" s="977">
        <v>0</v>
      </c>
      <c r="L58" s="977">
        <v>0</v>
      </c>
      <c r="M58" s="977">
        <v>0</v>
      </c>
      <c r="N58" s="977">
        <v>0</v>
      </c>
      <c r="O58" s="977">
        <v>0</v>
      </c>
      <c r="P58" s="977">
        <v>0</v>
      </c>
      <c r="Q58" s="977">
        <v>0</v>
      </c>
      <c r="R58" s="977">
        <v>0</v>
      </c>
      <c r="S58" s="977">
        <v>0</v>
      </c>
      <c r="T58" s="977">
        <v>0</v>
      </c>
      <c r="U58" s="977"/>
      <c r="V58" s="977">
        <v>0</v>
      </c>
      <c r="W58" s="977"/>
      <c r="X58" s="977">
        <v>0</v>
      </c>
      <c r="Y58" s="977"/>
      <c r="Z58" s="977">
        <v>0</v>
      </c>
      <c r="AA58" s="977"/>
      <c r="AB58" s="977">
        <v>0</v>
      </c>
      <c r="AC58" s="977"/>
      <c r="AD58" s="977">
        <v>0</v>
      </c>
      <c r="AE58" s="977"/>
      <c r="AF58" s="195"/>
      <c r="AG58" s="175">
        <f t="shared" si="2"/>
        <v>0</v>
      </c>
    </row>
    <row r="59" spans="1:33" x14ac:dyDescent="0.3">
      <c r="A59" s="199" t="s">
        <v>33</v>
      </c>
      <c r="B59" s="977">
        <f>H59+J59+L59+N59+P59+R59+T59+V59+X59+Z59+AB59+AD59</f>
        <v>2092.9</v>
      </c>
      <c r="C59" s="978">
        <f>H59+J59+L59+N59+P59+R59</f>
        <v>1966</v>
      </c>
      <c r="D59" s="978">
        <f t="shared" si="7"/>
        <v>1305.65094</v>
      </c>
      <c r="E59" s="981">
        <f>I59+K59+M59+O59+Q59+S59</f>
        <v>1305.65094</v>
      </c>
      <c r="F59" s="983">
        <f>E59/B59*100</f>
        <v>62.384774236705042</v>
      </c>
      <c r="G59" s="983">
        <f>E59/C59*100</f>
        <v>66.411543234994923</v>
      </c>
      <c r="H59" s="977">
        <v>447.8</v>
      </c>
      <c r="I59" s="977">
        <v>119.61735</v>
      </c>
      <c r="J59" s="977">
        <v>625.29999999999995</v>
      </c>
      <c r="K59" s="977">
        <v>118.53792</v>
      </c>
      <c r="L59" s="977">
        <v>87.5</v>
      </c>
      <c r="M59" s="977">
        <v>174.08481</v>
      </c>
      <c r="N59" s="977">
        <v>728.5</v>
      </c>
      <c r="O59" s="977">
        <v>408.97221999999999</v>
      </c>
      <c r="P59" s="977">
        <v>33</v>
      </c>
      <c r="Q59" s="977">
        <v>160.18494000000001</v>
      </c>
      <c r="R59" s="977">
        <v>43.9</v>
      </c>
      <c r="S59" s="977">
        <v>324.25369999999998</v>
      </c>
      <c r="T59" s="977">
        <v>0</v>
      </c>
      <c r="U59" s="977"/>
      <c r="V59" s="977">
        <v>0</v>
      </c>
      <c r="W59" s="977"/>
      <c r="X59" s="977">
        <v>50</v>
      </c>
      <c r="Y59" s="977"/>
      <c r="Z59" s="977">
        <v>0</v>
      </c>
      <c r="AA59" s="977"/>
      <c r="AB59" s="977">
        <v>22</v>
      </c>
      <c r="AC59" s="977"/>
      <c r="AD59" s="977">
        <v>54.9</v>
      </c>
      <c r="AE59" s="977"/>
      <c r="AF59" s="195"/>
      <c r="AG59" s="175">
        <f t="shared" si="2"/>
        <v>0</v>
      </c>
    </row>
    <row r="60" spans="1:33" x14ac:dyDescent="0.3">
      <c r="A60" s="199" t="s">
        <v>221</v>
      </c>
      <c r="B60" s="977">
        <f>H60+J60+L60+N60+P60+R60+T60+V60+X60+Z60+AB60+AD60</f>
        <v>0</v>
      </c>
      <c r="C60" s="977">
        <f>H60</f>
        <v>0</v>
      </c>
      <c r="D60" s="977">
        <f t="shared" si="7"/>
        <v>0</v>
      </c>
      <c r="E60" s="977">
        <v>0</v>
      </c>
      <c r="F60" s="983">
        <v>0</v>
      </c>
      <c r="G60" s="983">
        <v>0</v>
      </c>
      <c r="H60" s="977">
        <v>0</v>
      </c>
      <c r="I60" s="977">
        <v>0</v>
      </c>
      <c r="J60" s="977">
        <v>0</v>
      </c>
      <c r="K60" s="977">
        <v>0</v>
      </c>
      <c r="L60" s="977">
        <v>0</v>
      </c>
      <c r="M60" s="977">
        <v>0</v>
      </c>
      <c r="N60" s="977">
        <v>0</v>
      </c>
      <c r="O60" s="977">
        <v>0</v>
      </c>
      <c r="P60" s="977">
        <v>0</v>
      </c>
      <c r="Q60" s="977">
        <v>0</v>
      </c>
      <c r="R60" s="977">
        <v>0</v>
      </c>
      <c r="S60" s="977">
        <v>0</v>
      </c>
      <c r="T60" s="977">
        <v>0</v>
      </c>
      <c r="U60" s="977"/>
      <c r="V60" s="977">
        <v>0</v>
      </c>
      <c r="W60" s="977"/>
      <c r="X60" s="977">
        <v>0</v>
      </c>
      <c r="Y60" s="977"/>
      <c r="Z60" s="977">
        <v>0</v>
      </c>
      <c r="AA60" s="977"/>
      <c r="AB60" s="977">
        <v>0</v>
      </c>
      <c r="AC60" s="977"/>
      <c r="AD60" s="977">
        <v>0</v>
      </c>
      <c r="AE60" s="977"/>
      <c r="AF60" s="195"/>
      <c r="AG60" s="175">
        <f t="shared" si="2"/>
        <v>0</v>
      </c>
    </row>
    <row r="61" spans="1:33" s="177" customFormat="1" ht="108" x14ac:dyDescent="0.3">
      <c r="A61" s="202" t="s">
        <v>230</v>
      </c>
      <c r="B61" s="977">
        <f>B62</f>
        <v>765.6</v>
      </c>
      <c r="C61" s="977">
        <f>C62</f>
        <v>565.4</v>
      </c>
      <c r="D61" s="977">
        <f t="shared" si="7"/>
        <v>542.96</v>
      </c>
      <c r="E61" s="981">
        <f>E62</f>
        <v>542.96</v>
      </c>
      <c r="F61" s="983">
        <v>0</v>
      </c>
      <c r="G61" s="983">
        <v>0</v>
      </c>
      <c r="H61" s="977">
        <f t="shared" ref="H61:T61" si="23">H62</f>
        <v>227.4</v>
      </c>
      <c r="I61" s="981">
        <f t="shared" si="23"/>
        <v>0</v>
      </c>
      <c r="J61" s="977">
        <f t="shared" si="23"/>
        <v>5.4749999999999996</v>
      </c>
      <c r="K61" s="977">
        <f t="shared" si="23"/>
        <v>0</v>
      </c>
      <c r="L61" s="977">
        <f t="shared" si="23"/>
        <v>95.2</v>
      </c>
      <c r="M61" s="980">
        <f t="shared" si="23"/>
        <v>232.875</v>
      </c>
      <c r="N61" s="977">
        <f t="shared" si="23"/>
        <v>0</v>
      </c>
      <c r="O61" s="980">
        <f t="shared" si="23"/>
        <v>0</v>
      </c>
      <c r="P61" s="977">
        <f t="shared" si="23"/>
        <v>237.32499999999999</v>
      </c>
      <c r="Q61" s="980">
        <f t="shared" si="23"/>
        <v>310.08499999999998</v>
      </c>
      <c r="R61" s="977">
        <f t="shared" si="23"/>
        <v>0</v>
      </c>
      <c r="S61" s="980">
        <f t="shared" si="23"/>
        <v>0</v>
      </c>
      <c r="T61" s="977">
        <f t="shared" si="23"/>
        <v>0</v>
      </c>
      <c r="U61" s="981"/>
      <c r="V61" s="977">
        <f>V62</f>
        <v>198.90048999999999</v>
      </c>
      <c r="W61" s="981"/>
      <c r="X61" s="977">
        <f>X62</f>
        <v>1.2995099999999999</v>
      </c>
      <c r="Y61" s="981"/>
      <c r="Z61" s="977">
        <f>Z62</f>
        <v>0</v>
      </c>
      <c r="AA61" s="981"/>
      <c r="AB61" s="977">
        <f>AB62</f>
        <v>0</v>
      </c>
      <c r="AC61" s="981"/>
      <c r="AD61" s="977">
        <f>AD62</f>
        <v>0</v>
      </c>
      <c r="AE61" s="982"/>
      <c r="AF61" s="991" t="s">
        <v>655</v>
      </c>
      <c r="AG61" s="175">
        <f t="shared" si="2"/>
        <v>0</v>
      </c>
    </row>
    <row r="62" spans="1:33" s="177" customFormat="1" x14ac:dyDescent="0.3">
      <c r="A62" s="187" t="s">
        <v>31</v>
      </c>
      <c r="B62" s="977">
        <f>B63+B64+B65+B66</f>
        <v>765.6</v>
      </c>
      <c r="C62" s="977">
        <f>C63+C64+C65+C66</f>
        <v>565.4</v>
      </c>
      <c r="D62" s="977">
        <f t="shared" si="7"/>
        <v>542.96</v>
      </c>
      <c r="E62" s="977">
        <f>E63+E64+E65+E66</f>
        <v>542.96</v>
      </c>
      <c r="F62" s="983">
        <f>F63+F64+F65+F66</f>
        <v>70.919540229885058</v>
      </c>
      <c r="G62" s="983">
        <f>E62/C62*100</f>
        <v>96.031128404669275</v>
      </c>
      <c r="H62" s="977">
        <f t="shared" ref="H62:T62" si="24">H63+H64+H65+H66</f>
        <v>227.4</v>
      </c>
      <c r="I62" s="977">
        <f t="shared" si="24"/>
        <v>0</v>
      </c>
      <c r="J62" s="977">
        <f t="shared" si="24"/>
        <v>5.4749999999999996</v>
      </c>
      <c r="K62" s="977">
        <f t="shared" si="24"/>
        <v>0</v>
      </c>
      <c r="L62" s="977">
        <f t="shared" si="24"/>
        <v>95.2</v>
      </c>
      <c r="M62" s="977">
        <f t="shared" si="24"/>
        <v>232.875</v>
      </c>
      <c r="N62" s="977">
        <f t="shared" si="24"/>
        <v>0</v>
      </c>
      <c r="O62" s="977">
        <f t="shared" si="24"/>
        <v>0</v>
      </c>
      <c r="P62" s="977">
        <f t="shared" si="24"/>
        <v>237.32499999999999</v>
      </c>
      <c r="Q62" s="977">
        <f t="shared" si="24"/>
        <v>310.08499999999998</v>
      </c>
      <c r="R62" s="977">
        <f t="shared" si="24"/>
        <v>0</v>
      </c>
      <c r="S62" s="977">
        <f t="shared" si="24"/>
        <v>0</v>
      </c>
      <c r="T62" s="977">
        <f t="shared" si="24"/>
        <v>0</v>
      </c>
      <c r="U62" s="977"/>
      <c r="V62" s="977">
        <f>V63+V64+V65+V66</f>
        <v>198.90048999999999</v>
      </c>
      <c r="W62" s="977"/>
      <c r="X62" s="977">
        <f>X63+X64+X65+X66</f>
        <v>1.2995099999999999</v>
      </c>
      <c r="Y62" s="977"/>
      <c r="Z62" s="977">
        <f>Z63+Z64+Z65+Z66</f>
        <v>0</v>
      </c>
      <c r="AA62" s="977"/>
      <c r="AB62" s="977">
        <f>AB63+AB64+AB65+AB66</f>
        <v>0</v>
      </c>
      <c r="AC62" s="977"/>
      <c r="AD62" s="977">
        <f>AD63+AD64+AD65+AD66</f>
        <v>0</v>
      </c>
      <c r="AE62" s="977"/>
      <c r="AF62" s="992"/>
      <c r="AG62" s="175">
        <f t="shared" si="2"/>
        <v>0</v>
      </c>
    </row>
    <row r="63" spans="1:33" x14ac:dyDescent="0.3">
      <c r="A63" s="178" t="s">
        <v>169</v>
      </c>
      <c r="B63" s="977">
        <f>H63+J63+L63+N63+P63+R63+T63+V63+X63+Z63+AB63+AD63</f>
        <v>0</v>
      </c>
      <c r="C63" s="977">
        <f>H63</f>
        <v>0</v>
      </c>
      <c r="D63" s="977">
        <f t="shared" si="7"/>
        <v>0</v>
      </c>
      <c r="E63" s="977">
        <v>0</v>
      </c>
      <c r="F63" s="983">
        <v>0</v>
      </c>
      <c r="G63" s="983">
        <v>0</v>
      </c>
      <c r="H63" s="977">
        <v>0</v>
      </c>
      <c r="I63" s="977">
        <v>0</v>
      </c>
      <c r="J63" s="977">
        <v>0</v>
      </c>
      <c r="K63" s="977">
        <v>0</v>
      </c>
      <c r="L63" s="977">
        <v>0</v>
      </c>
      <c r="M63" s="977">
        <v>0</v>
      </c>
      <c r="N63" s="977">
        <v>0</v>
      </c>
      <c r="O63" s="977">
        <v>0</v>
      </c>
      <c r="P63" s="977">
        <v>0</v>
      </c>
      <c r="Q63" s="977">
        <v>0</v>
      </c>
      <c r="R63" s="977">
        <v>0</v>
      </c>
      <c r="S63" s="977">
        <v>0</v>
      </c>
      <c r="T63" s="977">
        <v>0</v>
      </c>
      <c r="U63" s="977"/>
      <c r="V63" s="977">
        <v>0</v>
      </c>
      <c r="W63" s="977"/>
      <c r="X63" s="977">
        <v>0</v>
      </c>
      <c r="Y63" s="977"/>
      <c r="Z63" s="977">
        <v>0</v>
      </c>
      <c r="AA63" s="977"/>
      <c r="AB63" s="977">
        <v>0</v>
      </c>
      <c r="AC63" s="977"/>
      <c r="AD63" s="977">
        <v>0</v>
      </c>
      <c r="AE63" s="977"/>
      <c r="AF63" s="992"/>
      <c r="AG63" s="175">
        <f t="shared" si="2"/>
        <v>0</v>
      </c>
    </row>
    <row r="64" spans="1:33" x14ac:dyDescent="0.3">
      <c r="A64" s="178" t="s">
        <v>32</v>
      </c>
      <c r="B64" s="977">
        <f>H64+J64+L64+N64+P64+R64+T64+V64+X64+Z64+AB64+AD64</f>
        <v>0</v>
      </c>
      <c r="C64" s="977">
        <f>H64</f>
        <v>0</v>
      </c>
      <c r="D64" s="977">
        <f t="shared" si="7"/>
        <v>0</v>
      </c>
      <c r="E64" s="977">
        <v>0</v>
      </c>
      <c r="F64" s="983">
        <v>0</v>
      </c>
      <c r="G64" s="983">
        <v>0</v>
      </c>
      <c r="H64" s="977">
        <v>0</v>
      </c>
      <c r="I64" s="977">
        <v>0</v>
      </c>
      <c r="J64" s="977">
        <v>0</v>
      </c>
      <c r="K64" s="977">
        <v>0</v>
      </c>
      <c r="L64" s="977">
        <v>0</v>
      </c>
      <c r="M64" s="977">
        <v>0</v>
      </c>
      <c r="N64" s="977">
        <v>0</v>
      </c>
      <c r="O64" s="977">
        <v>0</v>
      </c>
      <c r="P64" s="977">
        <v>0</v>
      </c>
      <c r="Q64" s="977">
        <v>0</v>
      </c>
      <c r="R64" s="977">
        <v>0</v>
      </c>
      <c r="S64" s="977">
        <v>0</v>
      </c>
      <c r="T64" s="977">
        <v>0</v>
      </c>
      <c r="U64" s="977"/>
      <c r="V64" s="977">
        <v>0</v>
      </c>
      <c r="W64" s="977"/>
      <c r="X64" s="977">
        <v>0</v>
      </c>
      <c r="Y64" s="977"/>
      <c r="Z64" s="977">
        <v>0</v>
      </c>
      <c r="AA64" s="977"/>
      <c r="AB64" s="977">
        <v>0</v>
      </c>
      <c r="AC64" s="977"/>
      <c r="AD64" s="977">
        <v>0</v>
      </c>
      <c r="AE64" s="977"/>
      <c r="AF64" s="992"/>
      <c r="AG64" s="175">
        <f t="shared" si="2"/>
        <v>0</v>
      </c>
    </row>
    <row r="65" spans="1:33" x14ac:dyDescent="0.3">
      <c r="A65" s="178" t="s">
        <v>33</v>
      </c>
      <c r="B65" s="977">
        <f>H65+J65+L65+N65+P65+R65+T65+V65+X65+Z65+AB65+AD65</f>
        <v>765.6</v>
      </c>
      <c r="C65" s="978">
        <f>H65+J65+L65+N65+P65+R65</f>
        <v>565.4</v>
      </c>
      <c r="D65" s="978">
        <f t="shared" si="7"/>
        <v>542.96</v>
      </c>
      <c r="E65" s="981">
        <f>I65+K65+M65+O65+Q65+S65</f>
        <v>542.96</v>
      </c>
      <c r="F65" s="983">
        <f>E65/B65*100</f>
        <v>70.919540229885058</v>
      </c>
      <c r="G65" s="983">
        <f>E65/C65*100</f>
        <v>96.031128404669275</v>
      </c>
      <c r="H65" s="977">
        <v>227.4</v>
      </c>
      <c r="I65" s="977">
        <v>0</v>
      </c>
      <c r="J65" s="977">
        <v>5.4749999999999996</v>
      </c>
      <c r="K65" s="977">
        <v>0</v>
      </c>
      <c r="L65" s="977">
        <v>95.2</v>
      </c>
      <c r="M65" s="977">
        <v>232.875</v>
      </c>
      <c r="N65" s="977">
        <v>0</v>
      </c>
      <c r="O65" s="977">
        <v>0</v>
      </c>
      <c r="P65" s="977">
        <v>237.32499999999999</v>
      </c>
      <c r="Q65" s="977">
        <v>310.08499999999998</v>
      </c>
      <c r="R65" s="977">
        <v>0</v>
      </c>
      <c r="S65" s="977">
        <v>0</v>
      </c>
      <c r="T65" s="977">
        <v>0</v>
      </c>
      <c r="U65" s="977"/>
      <c r="V65" s="977">
        <v>198.90048999999999</v>
      </c>
      <c r="W65" s="977"/>
      <c r="X65" s="977">
        <v>1.2995099999999999</v>
      </c>
      <c r="Y65" s="977"/>
      <c r="Z65" s="977">
        <v>0</v>
      </c>
      <c r="AA65" s="977"/>
      <c r="AB65" s="977">
        <v>0</v>
      </c>
      <c r="AC65" s="977"/>
      <c r="AD65" s="977">
        <v>0</v>
      </c>
      <c r="AE65" s="977"/>
      <c r="AF65" s="992"/>
      <c r="AG65" s="175">
        <f t="shared" si="2"/>
        <v>0</v>
      </c>
    </row>
    <row r="66" spans="1:33" x14ac:dyDescent="0.3">
      <c r="A66" s="178" t="s">
        <v>221</v>
      </c>
      <c r="B66" s="977">
        <f>H66+J66+L66+N66+P66+R66+T66+V66+X66+Z66+AB66+AD66</f>
        <v>0</v>
      </c>
      <c r="C66" s="977">
        <f>H66</f>
        <v>0</v>
      </c>
      <c r="D66" s="977">
        <f t="shared" si="7"/>
        <v>0</v>
      </c>
      <c r="E66" s="977">
        <v>0</v>
      </c>
      <c r="F66" s="983">
        <v>0</v>
      </c>
      <c r="G66" s="983">
        <v>0</v>
      </c>
      <c r="H66" s="977">
        <v>0</v>
      </c>
      <c r="I66" s="977">
        <v>0</v>
      </c>
      <c r="J66" s="977">
        <v>0</v>
      </c>
      <c r="K66" s="977">
        <v>0</v>
      </c>
      <c r="L66" s="977">
        <v>0</v>
      </c>
      <c r="M66" s="977">
        <v>0</v>
      </c>
      <c r="N66" s="977">
        <v>0</v>
      </c>
      <c r="O66" s="977">
        <v>0</v>
      </c>
      <c r="P66" s="977">
        <v>0</v>
      </c>
      <c r="Q66" s="977">
        <v>0</v>
      </c>
      <c r="R66" s="977">
        <v>0</v>
      </c>
      <c r="S66" s="977">
        <v>0</v>
      </c>
      <c r="T66" s="977">
        <v>0</v>
      </c>
      <c r="U66" s="977"/>
      <c r="V66" s="977">
        <v>0</v>
      </c>
      <c r="W66" s="977"/>
      <c r="X66" s="977">
        <v>0</v>
      </c>
      <c r="Y66" s="977"/>
      <c r="Z66" s="977">
        <v>0</v>
      </c>
      <c r="AA66" s="977"/>
      <c r="AB66" s="977">
        <v>0</v>
      </c>
      <c r="AC66" s="977"/>
      <c r="AD66" s="977">
        <v>0</v>
      </c>
      <c r="AE66" s="977"/>
      <c r="AF66" s="993"/>
      <c r="AG66" s="175">
        <f t="shared" si="2"/>
        <v>0</v>
      </c>
    </row>
    <row r="67" spans="1:33" s="177" customFormat="1" ht="75" x14ac:dyDescent="0.3">
      <c r="A67" s="202" t="s">
        <v>231</v>
      </c>
      <c r="B67" s="977">
        <f>B68</f>
        <v>121243.95095</v>
      </c>
      <c r="C67" s="977">
        <f>C68</f>
        <v>64957.436950000003</v>
      </c>
      <c r="D67" s="977">
        <f t="shared" si="7"/>
        <v>58273.118439999998</v>
      </c>
      <c r="E67" s="977">
        <f>E68</f>
        <v>58273.118439999998</v>
      </c>
      <c r="F67" s="983">
        <f>E67/B67*100</f>
        <v>48.06270167163337</v>
      </c>
      <c r="G67" s="983">
        <f>E67/C67*100</f>
        <v>89.709694803467755</v>
      </c>
      <c r="H67" s="977">
        <f t="shared" ref="H67:T67" si="25">H68</f>
        <v>15363.626</v>
      </c>
      <c r="I67" s="977">
        <f t="shared" si="25"/>
        <v>8722.1401499999993</v>
      </c>
      <c r="J67" s="977">
        <f t="shared" si="25"/>
        <v>10231.241</v>
      </c>
      <c r="K67" s="977">
        <f t="shared" si="25"/>
        <v>10924.62283</v>
      </c>
      <c r="L67" s="977">
        <f t="shared" si="25"/>
        <v>8299.1039999999994</v>
      </c>
      <c r="M67" s="977">
        <f t="shared" si="25"/>
        <v>9483.1396499999992</v>
      </c>
      <c r="N67" s="977">
        <f t="shared" si="25"/>
        <v>11763.312</v>
      </c>
      <c r="O67" s="977">
        <f t="shared" si="25"/>
        <v>9406.4896000000008</v>
      </c>
      <c r="P67" s="977">
        <f t="shared" si="25"/>
        <v>10195.34895</v>
      </c>
      <c r="Q67" s="977">
        <f t="shared" si="25"/>
        <v>9459.5364799999988</v>
      </c>
      <c r="R67" s="977">
        <f t="shared" si="25"/>
        <v>9104.8050000000003</v>
      </c>
      <c r="S67" s="977">
        <f t="shared" si="25"/>
        <v>10277.18973</v>
      </c>
      <c r="T67" s="977">
        <f t="shared" si="25"/>
        <v>11671.434999999999</v>
      </c>
      <c r="U67" s="977"/>
      <c r="V67" s="977">
        <f>V68</f>
        <v>8930.23</v>
      </c>
      <c r="W67" s="977"/>
      <c r="X67" s="977">
        <f>X68</f>
        <v>8082.0829999999996</v>
      </c>
      <c r="Y67" s="977"/>
      <c r="Z67" s="977">
        <f>Z68</f>
        <v>11257.168</v>
      </c>
      <c r="AA67" s="977"/>
      <c r="AB67" s="977">
        <f>AB68</f>
        <v>9021.9249999999993</v>
      </c>
      <c r="AC67" s="977"/>
      <c r="AD67" s="977">
        <f>AD68</f>
        <v>7323.6729999999998</v>
      </c>
      <c r="AE67" s="977"/>
      <c r="AF67" s="203"/>
      <c r="AG67" s="175">
        <f t="shared" si="2"/>
        <v>0</v>
      </c>
    </row>
    <row r="68" spans="1:33" s="177" customFormat="1" x14ac:dyDescent="0.3">
      <c r="A68" s="187" t="s">
        <v>31</v>
      </c>
      <c r="B68" s="977">
        <f>B69+B70+B71+B72</f>
        <v>121243.95095</v>
      </c>
      <c r="C68" s="977">
        <f>C69+C70+C71+C72</f>
        <v>64957.436950000003</v>
      </c>
      <c r="D68" s="977">
        <f t="shared" si="7"/>
        <v>58273.118439999998</v>
      </c>
      <c r="E68" s="977">
        <f>E69+E70+E71+E72</f>
        <v>58273.118439999998</v>
      </c>
      <c r="F68" s="983">
        <f>E68/B68*100</f>
        <v>48.06270167163337</v>
      </c>
      <c r="G68" s="983">
        <f>E68/C68*100</f>
        <v>89.709694803467755</v>
      </c>
      <c r="H68" s="977">
        <f t="shared" ref="H68:T68" si="26">H69+H70+H71+H72</f>
        <v>15363.626</v>
      </c>
      <c r="I68" s="977">
        <f t="shared" si="26"/>
        <v>8722.1401499999993</v>
      </c>
      <c r="J68" s="977">
        <f t="shared" si="26"/>
        <v>10231.241</v>
      </c>
      <c r="K68" s="977">
        <f t="shared" si="26"/>
        <v>10924.62283</v>
      </c>
      <c r="L68" s="977">
        <f t="shared" si="26"/>
        <v>8299.1039999999994</v>
      </c>
      <c r="M68" s="977">
        <f t="shared" si="26"/>
        <v>9483.1396499999992</v>
      </c>
      <c r="N68" s="977">
        <f t="shared" si="26"/>
        <v>11763.312</v>
      </c>
      <c r="O68" s="977">
        <f t="shared" si="26"/>
        <v>9406.4896000000008</v>
      </c>
      <c r="P68" s="977">
        <f t="shared" si="26"/>
        <v>10195.34895</v>
      </c>
      <c r="Q68" s="977">
        <f t="shared" si="26"/>
        <v>9459.5364799999988</v>
      </c>
      <c r="R68" s="977">
        <f t="shared" si="26"/>
        <v>9104.8050000000003</v>
      </c>
      <c r="S68" s="977">
        <f t="shared" si="26"/>
        <v>10277.18973</v>
      </c>
      <c r="T68" s="977">
        <f t="shared" si="26"/>
        <v>11671.434999999999</v>
      </c>
      <c r="U68" s="977"/>
      <c r="V68" s="977">
        <f>V69+V70+V71+V72</f>
        <v>8930.23</v>
      </c>
      <c r="W68" s="977"/>
      <c r="X68" s="977">
        <f>X69+X70+X71+X72</f>
        <v>8082.0829999999996</v>
      </c>
      <c r="Y68" s="977"/>
      <c r="Z68" s="977">
        <f>Z69+Z70+Z71+Z72</f>
        <v>11257.168</v>
      </c>
      <c r="AA68" s="977"/>
      <c r="AB68" s="977">
        <f>AB69+AB70+AB71+AB72</f>
        <v>9021.9249999999993</v>
      </c>
      <c r="AC68" s="977"/>
      <c r="AD68" s="977">
        <f>AD69+AD70+AD71+AD72</f>
        <v>7323.6729999999998</v>
      </c>
      <c r="AE68" s="977"/>
      <c r="AF68" s="203"/>
      <c r="AG68" s="175">
        <f t="shared" si="2"/>
        <v>0</v>
      </c>
    </row>
    <row r="69" spans="1:33" x14ac:dyDescent="0.3">
      <c r="A69" s="178" t="s">
        <v>169</v>
      </c>
      <c r="B69" s="977">
        <f>H69+J69+L69+N69+P69+R69+T69+V69+X69+Z69+AB69+AD69</f>
        <v>0</v>
      </c>
      <c r="C69" s="977">
        <f>H69</f>
        <v>0</v>
      </c>
      <c r="D69" s="977">
        <f t="shared" si="7"/>
        <v>0</v>
      </c>
      <c r="E69" s="977">
        <v>0</v>
      </c>
      <c r="F69" s="983">
        <v>0</v>
      </c>
      <c r="G69" s="983">
        <v>0</v>
      </c>
      <c r="H69" s="977">
        <v>0</v>
      </c>
      <c r="I69" s="977">
        <v>0</v>
      </c>
      <c r="J69" s="977">
        <v>0</v>
      </c>
      <c r="K69" s="977">
        <v>0</v>
      </c>
      <c r="L69" s="977">
        <v>0</v>
      </c>
      <c r="M69" s="977">
        <v>0</v>
      </c>
      <c r="N69" s="977">
        <v>0</v>
      </c>
      <c r="O69" s="977">
        <v>0</v>
      </c>
      <c r="P69" s="977">
        <v>0</v>
      </c>
      <c r="Q69" s="977">
        <v>0</v>
      </c>
      <c r="R69" s="977">
        <v>0</v>
      </c>
      <c r="S69" s="977">
        <v>0</v>
      </c>
      <c r="T69" s="977">
        <v>0</v>
      </c>
      <c r="U69" s="977"/>
      <c r="V69" s="977">
        <v>0</v>
      </c>
      <c r="W69" s="977"/>
      <c r="X69" s="977">
        <v>0</v>
      </c>
      <c r="Y69" s="977"/>
      <c r="Z69" s="977">
        <v>0</v>
      </c>
      <c r="AA69" s="977"/>
      <c r="AB69" s="977">
        <v>0</v>
      </c>
      <c r="AC69" s="977"/>
      <c r="AD69" s="977">
        <v>0</v>
      </c>
      <c r="AE69" s="977"/>
      <c r="AF69" s="204"/>
      <c r="AG69" s="175">
        <f t="shared" si="2"/>
        <v>0</v>
      </c>
    </row>
    <row r="70" spans="1:33" x14ac:dyDescent="0.3">
      <c r="A70" s="178" t="s">
        <v>32</v>
      </c>
      <c r="B70" s="977">
        <f>H70+J70+L70+N70+P70+R70+T70+V70+X70+Z70+AB70+AD70</f>
        <v>793.15094999999997</v>
      </c>
      <c r="C70" s="977">
        <f>H70+J70+L70+N70+P70+R70</f>
        <v>793.15094999999997</v>
      </c>
      <c r="D70" s="977">
        <f>I70+K70+M70+O70+Q70</f>
        <v>793.15094999999997</v>
      </c>
      <c r="E70" s="977">
        <f>I70+K70+M70+O70+Q706+Q70+S70</f>
        <v>793.15094999999997</v>
      </c>
      <c r="F70" s="983">
        <f>E70/B70*100</f>
        <v>100</v>
      </c>
      <c r="G70" s="983">
        <f>E70/C70*100</f>
        <v>100</v>
      </c>
      <c r="H70" s="977">
        <v>0</v>
      </c>
      <c r="I70" s="977">
        <v>0</v>
      </c>
      <c r="J70" s="977">
        <v>0</v>
      </c>
      <c r="K70" s="977">
        <v>0</v>
      </c>
      <c r="L70" s="977">
        <v>0</v>
      </c>
      <c r="M70" s="977">
        <v>0</v>
      </c>
      <c r="N70" s="977">
        <v>0</v>
      </c>
      <c r="O70" s="977">
        <v>0</v>
      </c>
      <c r="P70" s="977">
        <v>793.15094999999997</v>
      </c>
      <c r="Q70" s="977">
        <v>793.15094999999997</v>
      </c>
      <c r="R70" s="977">
        <v>0</v>
      </c>
      <c r="S70" s="977">
        <v>0</v>
      </c>
      <c r="T70" s="977">
        <v>0</v>
      </c>
      <c r="U70" s="977"/>
      <c r="V70" s="977">
        <v>0</v>
      </c>
      <c r="W70" s="977"/>
      <c r="X70" s="977">
        <v>0</v>
      </c>
      <c r="Y70" s="977"/>
      <c r="Z70" s="977">
        <v>0</v>
      </c>
      <c r="AA70" s="977"/>
      <c r="AB70" s="977">
        <v>0</v>
      </c>
      <c r="AC70" s="977"/>
      <c r="AD70" s="977">
        <v>0</v>
      </c>
      <c r="AE70" s="977"/>
      <c r="AF70" s="204"/>
      <c r="AG70" s="175">
        <f t="shared" si="2"/>
        <v>0</v>
      </c>
    </row>
    <row r="71" spans="1:33" x14ac:dyDescent="0.3">
      <c r="A71" s="178" t="s">
        <v>33</v>
      </c>
      <c r="B71" s="977">
        <f>H71+J71+L71+N71+P71+R71+T71+V71+X71+Z71+AB71+AD71</f>
        <v>120450.8</v>
      </c>
      <c r="C71" s="978">
        <f>H71+J71+L71+N71+P71+R71</f>
        <v>64164.286</v>
      </c>
      <c r="D71" s="978">
        <f>E71</f>
        <v>57479.967489999995</v>
      </c>
      <c r="E71" s="981">
        <f>I71+K71+M71+O71+Q71+S71</f>
        <v>57479.967489999995</v>
      </c>
      <c r="F71" s="983">
        <f>E71/B71*100</f>
        <v>47.720702137304187</v>
      </c>
      <c r="G71" s="983">
        <f>E71/C71*100</f>
        <v>89.582493741144404</v>
      </c>
      <c r="H71" s="977">
        <v>15363.626</v>
      </c>
      <c r="I71" s="977">
        <v>8722.1401499999993</v>
      </c>
      <c r="J71" s="977">
        <v>10231.241</v>
      </c>
      <c r="K71" s="977">
        <v>10924.62283</v>
      </c>
      <c r="L71" s="977">
        <v>8299.1039999999994</v>
      </c>
      <c r="M71" s="977">
        <v>9483.1396499999992</v>
      </c>
      <c r="N71" s="977">
        <v>11763.312</v>
      </c>
      <c r="O71" s="977">
        <v>9406.4896000000008</v>
      </c>
      <c r="P71" s="977">
        <v>9402.1980000000003</v>
      </c>
      <c r="Q71" s="977">
        <v>8666.3855299999996</v>
      </c>
      <c r="R71" s="977">
        <v>9104.8050000000003</v>
      </c>
      <c r="S71" s="977">
        <v>10277.18973</v>
      </c>
      <c r="T71" s="977">
        <v>11671.434999999999</v>
      </c>
      <c r="U71" s="977"/>
      <c r="V71" s="977">
        <v>8930.23</v>
      </c>
      <c r="W71" s="977"/>
      <c r="X71" s="977">
        <v>8082.0829999999996</v>
      </c>
      <c r="Y71" s="977"/>
      <c r="Z71" s="977">
        <v>11257.168</v>
      </c>
      <c r="AA71" s="977"/>
      <c r="AB71" s="977">
        <v>9021.9249999999993</v>
      </c>
      <c r="AC71" s="977"/>
      <c r="AD71" s="977">
        <v>7323.6729999999998</v>
      </c>
      <c r="AE71" s="977"/>
      <c r="AF71" s="204"/>
      <c r="AG71" s="175">
        <f t="shared" si="2"/>
        <v>0</v>
      </c>
    </row>
    <row r="72" spans="1:33" x14ac:dyDescent="0.3">
      <c r="A72" s="178" t="s">
        <v>221</v>
      </c>
      <c r="B72" s="977">
        <f>H72+J72+L72+N72+P72+R72+T72+V72+X72+Z72+AB72+AD72</f>
        <v>0</v>
      </c>
      <c r="C72" s="977">
        <f>H72</f>
        <v>0</v>
      </c>
      <c r="D72" s="977">
        <f>E72</f>
        <v>0</v>
      </c>
      <c r="E72" s="977">
        <v>0</v>
      </c>
      <c r="F72" s="983">
        <v>0</v>
      </c>
      <c r="G72" s="983">
        <v>0</v>
      </c>
      <c r="H72" s="977">
        <v>0</v>
      </c>
      <c r="I72" s="977">
        <v>0</v>
      </c>
      <c r="J72" s="977">
        <v>0</v>
      </c>
      <c r="K72" s="977">
        <v>0</v>
      </c>
      <c r="L72" s="977">
        <v>0</v>
      </c>
      <c r="M72" s="977">
        <v>0</v>
      </c>
      <c r="N72" s="977">
        <v>0</v>
      </c>
      <c r="O72" s="977">
        <v>0</v>
      </c>
      <c r="P72" s="977">
        <v>0</v>
      </c>
      <c r="Q72" s="977">
        <v>0</v>
      </c>
      <c r="R72" s="977">
        <v>0</v>
      </c>
      <c r="S72" s="977">
        <v>0</v>
      </c>
      <c r="T72" s="977">
        <v>0</v>
      </c>
      <c r="U72" s="977"/>
      <c r="V72" s="977">
        <v>0</v>
      </c>
      <c r="W72" s="977"/>
      <c r="X72" s="977">
        <v>0</v>
      </c>
      <c r="Y72" s="977"/>
      <c r="Z72" s="977">
        <v>0</v>
      </c>
      <c r="AA72" s="977"/>
      <c r="AB72" s="977">
        <v>0</v>
      </c>
      <c r="AC72" s="977"/>
      <c r="AD72" s="977">
        <v>0</v>
      </c>
      <c r="AE72" s="977"/>
      <c r="AF72" s="204"/>
      <c r="AG72" s="175">
        <f t="shared" si="2"/>
        <v>0</v>
      </c>
    </row>
    <row r="73" spans="1:33" s="177" customFormat="1" ht="56.25" x14ac:dyDescent="0.3">
      <c r="A73" s="205" t="s">
        <v>232</v>
      </c>
      <c r="B73" s="977">
        <f>B74</f>
        <v>8892.5</v>
      </c>
      <c r="C73" s="977">
        <f>C74</f>
        <v>4257.9400000000005</v>
      </c>
      <c r="D73" s="977">
        <f>D74</f>
        <v>4205.0310600000003</v>
      </c>
      <c r="E73" s="977">
        <f>E74</f>
        <v>4205.0310600000003</v>
      </c>
      <c r="F73" s="983">
        <f>E73/B73*100</f>
        <v>47.287388923249935</v>
      </c>
      <c r="G73" s="983">
        <f>E73/C73*100</f>
        <v>98.757405224122451</v>
      </c>
      <c r="H73" s="977">
        <f t="shared" ref="H73:T73" si="27">H74</f>
        <v>688.42100000000005</v>
      </c>
      <c r="I73" s="977">
        <f t="shared" si="27"/>
        <v>586.09262000000001</v>
      </c>
      <c r="J73" s="977">
        <f t="shared" si="27"/>
        <v>1073.856</v>
      </c>
      <c r="K73" s="977">
        <f t="shared" si="27"/>
        <v>981.59352000000001</v>
      </c>
      <c r="L73" s="977">
        <f t="shared" si="27"/>
        <v>454.34500000000003</v>
      </c>
      <c r="M73" s="977">
        <f t="shared" si="27"/>
        <v>633.97266999999999</v>
      </c>
      <c r="N73" s="977">
        <f t="shared" si="27"/>
        <v>765.00800000000004</v>
      </c>
      <c r="O73" s="977">
        <f t="shared" si="27"/>
        <v>508.28328999999997</v>
      </c>
      <c r="P73" s="977">
        <f t="shared" si="27"/>
        <v>852.87800000000004</v>
      </c>
      <c r="Q73" s="977">
        <f t="shared" si="27"/>
        <v>780.76721999999995</v>
      </c>
      <c r="R73" s="977">
        <f t="shared" si="27"/>
        <v>423.43199999999996</v>
      </c>
      <c r="S73" s="977">
        <f t="shared" si="27"/>
        <v>714.32174000000009</v>
      </c>
      <c r="T73" s="977">
        <f t="shared" si="27"/>
        <v>732.11599999999999</v>
      </c>
      <c r="U73" s="977"/>
      <c r="V73" s="977">
        <f>V74</f>
        <v>806.75699999999995</v>
      </c>
      <c r="W73" s="977"/>
      <c r="X73" s="977">
        <f>X74</f>
        <v>584.42000000000007</v>
      </c>
      <c r="Y73" s="977"/>
      <c r="Z73" s="977">
        <f>Z74</f>
        <v>978.37</v>
      </c>
      <c r="AA73" s="977"/>
      <c r="AB73" s="977">
        <f>AB74</f>
        <v>676.66200000000003</v>
      </c>
      <c r="AC73" s="977"/>
      <c r="AD73" s="977">
        <f>AD74</f>
        <v>856.23500000000001</v>
      </c>
      <c r="AE73" s="977"/>
      <c r="AF73" s="174"/>
      <c r="AG73" s="175">
        <f t="shared" si="2"/>
        <v>0</v>
      </c>
    </row>
    <row r="74" spans="1:33" s="177" customFormat="1" x14ac:dyDescent="0.3">
      <c r="A74" s="187" t="s">
        <v>31</v>
      </c>
      <c r="B74" s="977">
        <f>B75+B76+B77+B78</f>
        <v>8892.5</v>
      </c>
      <c r="C74" s="977">
        <f>C75+C76+C77+C78</f>
        <v>4257.9400000000005</v>
      </c>
      <c r="D74" s="977">
        <f>D75+D76+D77+D78</f>
        <v>4205.0310600000003</v>
      </c>
      <c r="E74" s="977">
        <f>E75+E76+E77+E78</f>
        <v>4205.0310600000003</v>
      </c>
      <c r="F74" s="983">
        <f>E74/B74*100</f>
        <v>47.287388923249935</v>
      </c>
      <c r="G74" s="983">
        <f>E74/C74*100</f>
        <v>98.757405224122451</v>
      </c>
      <c r="H74" s="977">
        <f t="shared" ref="H74:T74" si="28">H75+H76+H77+H78</f>
        <v>688.42100000000005</v>
      </c>
      <c r="I74" s="977">
        <f t="shared" si="28"/>
        <v>586.09262000000001</v>
      </c>
      <c r="J74" s="977">
        <f t="shared" si="28"/>
        <v>1073.856</v>
      </c>
      <c r="K74" s="977">
        <f t="shared" si="28"/>
        <v>981.59352000000001</v>
      </c>
      <c r="L74" s="977">
        <f t="shared" si="28"/>
        <v>454.34500000000003</v>
      </c>
      <c r="M74" s="977">
        <f t="shared" si="28"/>
        <v>633.97266999999999</v>
      </c>
      <c r="N74" s="977">
        <f t="shared" si="28"/>
        <v>765.00800000000004</v>
      </c>
      <c r="O74" s="977">
        <f t="shared" si="28"/>
        <v>508.28328999999997</v>
      </c>
      <c r="P74" s="977">
        <f t="shared" si="28"/>
        <v>852.87800000000004</v>
      </c>
      <c r="Q74" s="977">
        <f t="shared" si="28"/>
        <v>780.76721999999995</v>
      </c>
      <c r="R74" s="977">
        <f t="shared" si="28"/>
        <v>423.43199999999996</v>
      </c>
      <c r="S74" s="977">
        <f t="shared" si="28"/>
        <v>714.32174000000009</v>
      </c>
      <c r="T74" s="977">
        <f t="shared" si="28"/>
        <v>732.11599999999999</v>
      </c>
      <c r="U74" s="977"/>
      <c r="V74" s="977">
        <f>V75+V76+V77+V78</f>
        <v>806.75699999999995</v>
      </c>
      <c r="W74" s="977"/>
      <c r="X74" s="977">
        <f>X75+X76+X77+X78</f>
        <v>584.42000000000007</v>
      </c>
      <c r="Y74" s="977"/>
      <c r="Z74" s="977">
        <f>Z75+Z76+Z77+Z78</f>
        <v>978.37</v>
      </c>
      <c r="AA74" s="977"/>
      <c r="AB74" s="977">
        <f>AB75+AB76+AB77+AB78</f>
        <v>676.66200000000003</v>
      </c>
      <c r="AC74" s="977"/>
      <c r="AD74" s="977">
        <f>AD75+AD76+AD77+AD78</f>
        <v>856.23500000000001</v>
      </c>
      <c r="AE74" s="977"/>
      <c r="AF74" s="174"/>
      <c r="AG74" s="175">
        <f t="shared" si="2"/>
        <v>0</v>
      </c>
    </row>
    <row r="75" spans="1:33" x14ac:dyDescent="0.3">
      <c r="A75" s="178" t="s">
        <v>169</v>
      </c>
      <c r="B75" s="977">
        <f>H75+J75+L75+N75+P75+R75+T75+V75+X75+Z75+AB75+AD75</f>
        <v>6100.7000000000007</v>
      </c>
      <c r="C75" s="978">
        <f>H75+J75+L75+N75+P75+R75</f>
        <v>3007.94</v>
      </c>
      <c r="D75" s="978">
        <f>E75</f>
        <v>3007.9400000000005</v>
      </c>
      <c r="E75" s="981">
        <f>I75+K75+M75+O75+Q75+S75</f>
        <v>3007.9400000000005</v>
      </c>
      <c r="F75" s="983">
        <f>E75/B75*100</f>
        <v>49.304833871522938</v>
      </c>
      <c r="G75" s="983">
        <f>E75/C75*100</f>
        <v>100.00000000000003</v>
      </c>
      <c r="H75" s="977">
        <v>438.42099999999999</v>
      </c>
      <c r="I75" s="977">
        <v>415.91363999999999</v>
      </c>
      <c r="J75" s="977">
        <v>873.85599999999999</v>
      </c>
      <c r="K75" s="977">
        <f>579.75136+2+260.09835+14.1</f>
        <v>855.94970999999998</v>
      </c>
      <c r="L75" s="977">
        <v>155.80000000000001</v>
      </c>
      <c r="M75" s="977">
        <v>196.17665</v>
      </c>
      <c r="N75" s="977">
        <v>565.00800000000004</v>
      </c>
      <c r="O75" s="977">
        <v>335.28814</v>
      </c>
      <c r="P75" s="977">
        <v>652.87800000000004</v>
      </c>
      <c r="Q75" s="977">
        <v>780.76721999999995</v>
      </c>
      <c r="R75" s="977">
        <v>321.97699999999998</v>
      </c>
      <c r="S75" s="977">
        <v>423.84464000000003</v>
      </c>
      <c r="T75" s="977">
        <v>532.11599999999999</v>
      </c>
      <c r="U75" s="977"/>
      <c r="V75" s="977">
        <v>606.75699999999995</v>
      </c>
      <c r="W75" s="977"/>
      <c r="X75" s="977">
        <v>384.42</v>
      </c>
      <c r="Y75" s="977"/>
      <c r="Z75" s="977">
        <v>568.47</v>
      </c>
      <c r="AA75" s="977"/>
      <c r="AB75" s="977">
        <v>476.66199999999998</v>
      </c>
      <c r="AC75" s="977"/>
      <c r="AD75" s="977">
        <v>524.33500000000004</v>
      </c>
      <c r="AE75" s="977"/>
      <c r="AF75" s="182"/>
      <c r="AG75" s="175">
        <f t="shared" si="2"/>
        <v>0</v>
      </c>
    </row>
    <row r="76" spans="1:33" x14ac:dyDescent="0.3">
      <c r="A76" s="178" t="s">
        <v>32</v>
      </c>
      <c r="B76" s="977">
        <f>H76+J76+L76+N76+P76+R76+T76+V76+X76+Z76+AB76+AD76</f>
        <v>2791.8</v>
      </c>
      <c r="C76" s="978">
        <f>H76+J76+L76+N76+P76+R76</f>
        <v>1250</v>
      </c>
      <c r="D76" s="978">
        <f>E76</f>
        <v>1197.09106</v>
      </c>
      <c r="E76" s="981">
        <f>I76+K76+M76+O76+Q76+S76</f>
        <v>1197.09106</v>
      </c>
      <c r="F76" s="983">
        <f>E76/B76*100</f>
        <v>42.878825847123714</v>
      </c>
      <c r="G76" s="983">
        <f>E76/C76*100</f>
        <v>95.767284799999999</v>
      </c>
      <c r="H76" s="977">
        <v>250</v>
      </c>
      <c r="I76" s="977">
        <v>170.17898</v>
      </c>
      <c r="J76" s="977">
        <v>200</v>
      </c>
      <c r="K76" s="977">
        <v>125.64381</v>
      </c>
      <c r="L76" s="977">
        <v>298.54500000000002</v>
      </c>
      <c r="M76" s="977">
        <v>437.79602</v>
      </c>
      <c r="N76" s="977">
        <v>200</v>
      </c>
      <c r="O76" s="977">
        <v>172.99515</v>
      </c>
      <c r="P76" s="977">
        <v>200</v>
      </c>
      <c r="Q76" s="977">
        <v>0</v>
      </c>
      <c r="R76" s="977">
        <v>101.455</v>
      </c>
      <c r="S76" s="977">
        <v>290.47710000000001</v>
      </c>
      <c r="T76" s="977">
        <v>200</v>
      </c>
      <c r="U76" s="977"/>
      <c r="V76" s="977">
        <v>200</v>
      </c>
      <c r="W76" s="977"/>
      <c r="X76" s="977">
        <v>200</v>
      </c>
      <c r="Y76" s="977"/>
      <c r="Z76" s="977">
        <v>409.9</v>
      </c>
      <c r="AA76" s="977"/>
      <c r="AB76" s="977">
        <v>200</v>
      </c>
      <c r="AC76" s="977"/>
      <c r="AD76" s="977">
        <v>331.9</v>
      </c>
      <c r="AE76" s="977"/>
      <c r="AF76" s="182"/>
      <c r="AG76" s="175">
        <f t="shared" ref="AG76:AG88" si="29">AD76+AB76+Z76+X76+V76+T76+R76+P76+N76+L76+J76+H76-B76</f>
        <v>0</v>
      </c>
    </row>
    <row r="77" spans="1:33" x14ac:dyDescent="0.3">
      <c r="A77" s="178" t="s">
        <v>33</v>
      </c>
      <c r="B77" s="977">
        <f>H77+J77+L77+N77+P77+R77+T77+V77+X77+Z77+AB77+AD77</f>
        <v>0</v>
      </c>
      <c r="C77" s="977">
        <f>H77</f>
        <v>0</v>
      </c>
      <c r="D77" s="977">
        <v>0</v>
      </c>
      <c r="E77" s="977">
        <v>0</v>
      </c>
      <c r="F77" s="983">
        <v>0</v>
      </c>
      <c r="G77" s="983">
        <v>0</v>
      </c>
      <c r="H77" s="977">
        <v>0</v>
      </c>
      <c r="I77" s="977">
        <v>0</v>
      </c>
      <c r="J77" s="977">
        <v>0</v>
      </c>
      <c r="K77" s="977">
        <v>0</v>
      </c>
      <c r="L77" s="977">
        <v>0</v>
      </c>
      <c r="M77" s="977">
        <v>0</v>
      </c>
      <c r="N77" s="977">
        <v>0</v>
      </c>
      <c r="O77" s="977">
        <v>0</v>
      </c>
      <c r="P77" s="977">
        <v>0</v>
      </c>
      <c r="Q77" s="977">
        <v>0</v>
      </c>
      <c r="R77" s="977">
        <v>0</v>
      </c>
      <c r="S77" s="977">
        <v>0</v>
      </c>
      <c r="T77" s="977">
        <v>0</v>
      </c>
      <c r="U77" s="977"/>
      <c r="V77" s="977">
        <v>0</v>
      </c>
      <c r="W77" s="977"/>
      <c r="X77" s="977">
        <v>0</v>
      </c>
      <c r="Y77" s="977"/>
      <c r="Z77" s="977">
        <v>0</v>
      </c>
      <c r="AA77" s="977"/>
      <c r="AB77" s="977">
        <v>0</v>
      </c>
      <c r="AC77" s="977"/>
      <c r="AD77" s="977">
        <v>0</v>
      </c>
      <c r="AE77" s="977"/>
      <c r="AF77" s="182"/>
      <c r="AG77" s="175">
        <f t="shared" si="29"/>
        <v>0</v>
      </c>
    </row>
    <row r="78" spans="1:33" x14ac:dyDescent="0.3">
      <c r="A78" s="178" t="s">
        <v>221</v>
      </c>
      <c r="B78" s="977">
        <f>H78+J78+L78+N78+P78+R78+T78+V78+X78+Z78+AB78+AD78</f>
        <v>0</v>
      </c>
      <c r="C78" s="977">
        <f>H78</f>
        <v>0</v>
      </c>
      <c r="D78" s="977">
        <v>0</v>
      </c>
      <c r="E78" s="977">
        <v>0</v>
      </c>
      <c r="F78" s="983">
        <v>0</v>
      </c>
      <c r="G78" s="983">
        <v>0</v>
      </c>
      <c r="H78" s="977">
        <v>0</v>
      </c>
      <c r="I78" s="977">
        <v>0</v>
      </c>
      <c r="J78" s="977">
        <v>0</v>
      </c>
      <c r="K78" s="977">
        <v>0</v>
      </c>
      <c r="L78" s="977">
        <v>0</v>
      </c>
      <c r="M78" s="977">
        <v>0</v>
      </c>
      <c r="N78" s="977">
        <v>0</v>
      </c>
      <c r="O78" s="977">
        <v>0</v>
      </c>
      <c r="P78" s="977">
        <v>0</v>
      </c>
      <c r="Q78" s="977">
        <v>0</v>
      </c>
      <c r="R78" s="977">
        <v>0</v>
      </c>
      <c r="S78" s="977">
        <v>0</v>
      </c>
      <c r="T78" s="977">
        <v>0</v>
      </c>
      <c r="U78" s="977"/>
      <c r="V78" s="977">
        <v>0</v>
      </c>
      <c r="W78" s="977"/>
      <c r="X78" s="977">
        <v>0</v>
      </c>
      <c r="Y78" s="977"/>
      <c r="Z78" s="977">
        <v>0</v>
      </c>
      <c r="AA78" s="977"/>
      <c r="AB78" s="977">
        <v>0</v>
      </c>
      <c r="AC78" s="977"/>
      <c r="AD78" s="977">
        <v>0</v>
      </c>
      <c r="AE78" s="977"/>
      <c r="AF78" s="182"/>
      <c r="AG78" s="175">
        <f t="shared" si="29"/>
        <v>0</v>
      </c>
    </row>
    <row r="79" spans="1:33" s="177" customFormat="1" x14ac:dyDescent="0.3">
      <c r="A79" s="148" t="s">
        <v>233</v>
      </c>
      <c r="B79" s="206">
        <f>B80+B81+B82+B83</f>
        <v>160529.75095000002</v>
      </c>
      <c r="C79" s="206">
        <f>C80+C81+C82+C83</f>
        <v>83365.643290000007</v>
      </c>
      <c r="D79" s="206">
        <f>D80+D81+D82+D83</f>
        <v>72238.695409999986</v>
      </c>
      <c r="E79" s="206">
        <f>E80+E81+E82+E83</f>
        <v>72238.695409999986</v>
      </c>
      <c r="F79" s="206">
        <f>E79/B79*100</f>
        <v>45.000191542376513</v>
      </c>
      <c r="G79" s="206">
        <f>E79/C79*100</f>
        <v>86.652837498904375</v>
      </c>
      <c r="H79" s="206">
        <f t="shared" ref="H79:AE79" si="30">H80+H81+H82+H83</f>
        <v>19353.07159</v>
      </c>
      <c r="I79" s="206">
        <f t="shared" si="30"/>
        <v>11125.359619999999</v>
      </c>
      <c r="J79" s="206">
        <f t="shared" si="30"/>
        <v>13626.387999999999</v>
      </c>
      <c r="K79" s="206">
        <f t="shared" si="30"/>
        <v>12836.116740000001</v>
      </c>
      <c r="L79" s="206">
        <f t="shared" si="30"/>
        <v>10072.715</v>
      </c>
      <c r="M79" s="206">
        <f t="shared" si="30"/>
        <v>11483.041259999998</v>
      </c>
      <c r="N79" s="206">
        <f t="shared" si="30"/>
        <v>17517.697</v>
      </c>
      <c r="O79" s="206">
        <f t="shared" si="30"/>
        <v>12260.26957</v>
      </c>
      <c r="P79" s="206">
        <f t="shared" si="30"/>
        <v>12292.42949</v>
      </c>
      <c r="Q79" s="206">
        <f t="shared" si="30"/>
        <v>12281.844709999998</v>
      </c>
      <c r="R79" s="206">
        <f t="shared" si="30"/>
        <v>11296.493160000002</v>
      </c>
      <c r="S79" s="206">
        <f t="shared" si="30"/>
        <v>13045.214459999999</v>
      </c>
      <c r="T79" s="206">
        <f t="shared" si="30"/>
        <v>17584.183830000002</v>
      </c>
      <c r="U79" s="206">
        <f t="shared" si="30"/>
        <v>0</v>
      </c>
      <c r="V79" s="206">
        <f t="shared" si="30"/>
        <v>10684.85349</v>
      </c>
      <c r="W79" s="206">
        <f t="shared" si="30"/>
        <v>0</v>
      </c>
      <c r="X79" s="206">
        <f t="shared" si="30"/>
        <v>9506.7685099999999</v>
      </c>
      <c r="Y79" s="206">
        <f t="shared" si="30"/>
        <v>0</v>
      </c>
      <c r="Z79" s="206">
        <f t="shared" si="30"/>
        <v>14696.479000000001</v>
      </c>
      <c r="AA79" s="206">
        <f t="shared" si="30"/>
        <v>0</v>
      </c>
      <c r="AB79" s="206">
        <f t="shared" si="30"/>
        <v>10706.053</v>
      </c>
      <c r="AC79" s="206">
        <f t="shared" si="30"/>
        <v>0</v>
      </c>
      <c r="AD79" s="206">
        <f t="shared" si="30"/>
        <v>13192.61888</v>
      </c>
      <c r="AE79" s="206">
        <f t="shared" si="30"/>
        <v>0</v>
      </c>
      <c r="AF79" s="207"/>
      <c r="AG79" s="175">
        <f t="shared" si="29"/>
        <v>0</v>
      </c>
    </row>
    <row r="80" spans="1:33" s="177" customFormat="1" x14ac:dyDescent="0.3">
      <c r="A80" s="150" t="s">
        <v>169</v>
      </c>
      <c r="B80" s="208">
        <f>B75+B69+B63+B33+B27+B21+B13</f>
        <v>6100.7000000000007</v>
      </c>
      <c r="C80" s="208">
        <f t="shared" ref="C80:E81" si="31">C75</f>
        <v>3007.94</v>
      </c>
      <c r="D80" s="208">
        <f t="shared" si="31"/>
        <v>3007.9400000000005</v>
      </c>
      <c r="E80" s="208">
        <f t="shared" si="31"/>
        <v>3007.9400000000005</v>
      </c>
      <c r="F80" s="208">
        <f>E80/B80*100</f>
        <v>49.304833871522938</v>
      </c>
      <c r="G80" s="208">
        <f>E80/C80*100</f>
        <v>100.00000000000003</v>
      </c>
      <c r="H80" s="208">
        <f t="shared" ref="H80:AE83" si="32">H75+H69+H63+H33+H27+H21+H13</f>
        <v>438.42099999999999</v>
      </c>
      <c r="I80" s="208">
        <f t="shared" si="32"/>
        <v>415.91363999999999</v>
      </c>
      <c r="J80" s="208">
        <f t="shared" si="32"/>
        <v>873.85599999999999</v>
      </c>
      <c r="K80" s="208">
        <f t="shared" si="32"/>
        <v>855.94970999999998</v>
      </c>
      <c r="L80" s="208">
        <f t="shared" si="32"/>
        <v>155.80000000000001</v>
      </c>
      <c r="M80" s="208">
        <f t="shared" si="32"/>
        <v>196.17665</v>
      </c>
      <c r="N80" s="208">
        <f t="shared" si="32"/>
        <v>565.00800000000004</v>
      </c>
      <c r="O80" s="208">
        <f t="shared" si="32"/>
        <v>335.28814</v>
      </c>
      <c r="P80" s="208">
        <f t="shared" si="32"/>
        <v>652.87800000000004</v>
      </c>
      <c r="Q80" s="208">
        <f t="shared" si="32"/>
        <v>780.76721999999995</v>
      </c>
      <c r="R80" s="208">
        <f t="shared" si="32"/>
        <v>321.97699999999998</v>
      </c>
      <c r="S80" s="208">
        <f t="shared" si="32"/>
        <v>423.84464000000003</v>
      </c>
      <c r="T80" s="208">
        <f t="shared" si="32"/>
        <v>532.11599999999999</v>
      </c>
      <c r="U80" s="208">
        <f t="shared" si="32"/>
        <v>0</v>
      </c>
      <c r="V80" s="208">
        <f t="shared" si="32"/>
        <v>606.75699999999995</v>
      </c>
      <c r="W80" s="208">
        <f t="shared" si="32"/>
        <v>0</v>
      </c>
      <c r="X80" s="208">
        <f t="shared" si="32"/>
        <v>384.42</v>
      </c>
      <c r="Y80" s="208">
        <f t="shared" si="32"/>
        <v>0</v>
      </c>
      <c r="Z80" s="208">
        <f t="shared" si="32"/>
        <v>568.47</v>
      </c>
      <c r="AA80" s="208">
        <f t="shared" si="32"/>
        <v>0</v>
      </c>
      <c r="AB80" s="208">
        <f t="shared" si="32"/>
        <v>476.66199999999998</v>
      </c>
      <c r="AC80" s="208">
        <f t="shared" si="32"/>
        <v>0</v>
      </c>
      <c r="AD80" s="208">
        <f t="shared" si="32"/>
        <v>524.33500000000004</v>
      </c>
      <c r="AE80" s="208">
        <f t="shared" si="32"/>
        <v>0</v>
      </c>
      <c r="AF80" s="209"/>
      <c r="AG80" s="175">
        <f>AD80+AB80+Z80+X80+V80+T80+R80+P80+N80+L80+J80+H80-B80</f>
        <v>0</v>
      </c>
    </row>
    <row r="81" spans="1:33" s="177" customFormat="1" x14ac:dyDescent="0.3">
      <c r="A81" s="150" t="s">
        <v>32</v>
      </c>
      <c r="B81" s="208">
        <f>B76+B70+B64+B34+B28+B22+B14</f>
        <v>3584.9509500000004</v>
      </c>
      <c r="C81" s="208">
        <f>C76</f>
        <v>1250</v>
      </c>
      <c r="D81" s="208">
        <f t="shared" si="31"/>
        <v>1197.09106</v>
      </c>
      <c r="E81" s="208">
        <f t="shared" si="31"/>
        <v>1197.09106</v>
      </c>
      <c r="F81" s="208">
        <f>E81/B81*100</f>
        <v>33.392118238047296</v>
      </c>
      <c r="G81" s="208">
        <f>E81/C81*100</f>
        <v>95.767284799999999</v>
      </c>
      <c r="H81" s="208">
        <f t="shared" si="32"/>
        <v>250</v>
      </c>
      <c r="I81" s="208">
        <f t="shared" si="32"/>
        <v>170.17898</v>
      </c>
      <c r="J81" s="208">
        <f t="shared" si="32"/>
        <v>200</v>
      </c>
      <c r="K81" s="208">
        <f t="shared" si="32"/>
        <v>125.64381</v>
      </c>
      <c r="L81" s="208">
        <f t="shared" si="32"/>
        <v>298.54500000000002</v>
      </c>
      <c r="M81" s="208">
        <f t="shared" si="32"/>
        <v>437.79602</v>
      </c>
      <c r="N81" s="208">
        <f t="shared" si="32"/>
        <v>200</v>
      </c>
      <c r="O81" s="208">
        <f t="shared" si="32"/>
        <v>172.99515</v>
      </c>
      <c r="P81" s="208">
        <f t="shared" si="32"/>
        <v>993.15094999999997</v>
      </c>
      <c r="Q81" s="208">
        <f t="shared" si="32"/>
        <v>793.15094999999997</v>
      </c>
      <c r="R81" s="208">
        <f t="shared" si="32"/>
        <v>101.455</v>
      </c>
      <c r="S81" s="208">
        <f t="shared" si="32"/>
        <v>290.47710000000001</v>
      </c>
      <c r="T81" s="208">
        <f t="shared" si="32"/>
        <v>200</v>
      </c>
      <c r="U81" s="208">
        <f t="shared" si="32"/>
        <v>0</v>
      </c>
      <c r="V81" s="208">
        <f t="shared" si="32"/>
        <v>200</v>
      </c>
      <c r="W81" s="208">
        <f t="shared" si="32"/>
        <v>0</v>
      </c>
      <c r="X81" s="208">
        <f t="shared" si="32"/>
        <v>200</v>
      </c>
      <c r="Y81" s="208">
        <f t="shared" si="32"/>
        <v>0</v>
      </c>
      <c r="Z81" s="208">
        <f t="shared" si="32"/>
        <v>409.9</v>
      </c>
      <c r="AA81" s="208">
        <f t="shared" si="32"/>
        <v>0</v>
      </c>
      <c r="AB81" s="208">
        <f t="shared" si="32"/>
        <v>200</v>
      </c>
      <c r="AC81" s="208">
        <f t="shared" si="32"/>
        <v>0</v>
      </c>
      <c r="AD81" s="208">
        <f t="shared" si="32"/>
        <v>331.9</v>
      </c>
      <c r="AE81" s="208">
        <f t="shared" si="32"/>
        <v>0</v>
      </c>
      <c r="AF81" s="210"/>
      <c r="AG81" s="175">
        <f t="shared" si="29"/>
        <v>0</v>
      </c>
    </row>
    <row r="82" spans="1:33" s="177" customFormat="1" x14ac:dyDescent="0.3">
      <c r="A82" s="150" t="s">
        <v>33</v>
      </c>
      <c r="B82" s="208">
        <f>B77+B71+B65+B35+B29+B23+B15</f>
        <v>150844.1</v>
      </c>
      <c r="C82" s="208">
        <f t="shared" ref="C82:E83" si="33">C15+C23+C29+C35+C65+C71+C77</f>
        <v>79107.703290000005</v>
      </c>
      <c r="D82" s="208">
        <f t="shared" si="33"/>
        <v>68033.664349999992</v>
      </c>
      <c r="E82" s="208">
        <f t="shared" si="33"/>
        <v>68033.664349999992</v>
      </c>
      <c r="F82" s="208">
        <f>E82/B82*100</f>
        <v>45.101972400644101</v>
      </c>
      <c r="G82" s="208">
        <f>E82/C82*100</f>
        <v>86.00131405736326</v>
      </c>
      <c r="H82" s="208">
        <f t="shared" si="32"/>
        <v>18664.650590000001</v>
      </c>
      <c r="I82" s="208">
        <f t="shared" si="32"/>
        <v>10539.267</v>
      </c>
      <c r="J82" s="208">
        <f t="shared" si="32"/>
        <v>12552.531999999999</v>
      </c>
      <c r="K82" s="208">
        <f t="shared" si="32"/>
        <v>11854.523220000001</v>
      </c>
      <c r="L82" s="208">
        <f t="shared" si="32"/>
        <v>9618.3700000000008</v>
      </c>
      <c r="M82" s="208">
        <f t="shared" si="32"/>
        <v>10849.068589999999</v>
      </c>
      <c r="N82" s="208">
        <f t="shared" si="32"/>
        <v>16752.688999999998</v>
      </c>
      <c r="O82" s="208">
        <f t="shared" si="32"/>
        <v>11751.986280000001</v>
      </c>
      <c r="P82" s="208">
        <f t="shared" si="32"/>
        <v>10646.400540000001</v>
      </c>
      <c r="Q82" s="208">
        <f t="shared" si="32"/>
        <v>10707.926539999999</v>
      </c>
      <c r="R82" s="208">
        <f t="shared" si="32"/>
        <v>10873.061160000001</v>
      </c>
      <c r="S82" s="208">
        <f t="shared" si="32"/>
        <v>12330.89272</v>
      </c>
      <c r="T82" s="208">
        <f t="shared" si="32"/>
        <v>16852.06783</v>
      </c>
      <c r="U82" s="208">
        <f t="shared" si="32"/>
        <v>0</v>
      </c>
      <c r="V82" s="208">
        <f t="shared" si="32"/>
        <v>9878.0964899999999</v>
      </c>
      <c r="W82" s="208">
        <f t="shared" si="32"/>
        <v>0</v>
      </c>
      <c r="X82" s="208">
        <f t="shared" si="32"/>
        <v>8922.3485099999998</v>
      </c>
      <c r="Y82" s="208">
        <f t="shared" si="32"/>
        <v>0</v>
      </c>
      <c r="Z82" s="208">
        <f t="shared" si="32"/>
        <v>13718.109</v>
      </c>
      <c r="AA82" s="208">
        <f t="shared" si="32"/>
        <v>0</v>
      </c>
      <c r="AB82" s="208">
        <f t="shared" si="32"/>
        <v>10029.391</v>
      </c>
      <c r="AC82" s="208">
        <f t="shared" si="32"/>
        <v>0</v>
      </c>
      <c r="AD82" s="208">
        <f t="shared" si="32"/>
        <v>12336.383879999999</v>
      </c>
      <c r="AE82" s="208">
        <f t="shared" si="32"/>
        <v>0</v>
      </c>
      <c r="AF82" s="210"/>
      <c r="AG82" s="175">
        <f t="shared" si="29"/>
        <v>0</v>
      </c>
    </row>
    <row r="83" spans="1:33" s="177" customFormat="1" x14ac:dyDescent="0.3">
      <c r="A83" s="152" t="s">
        <v>221</v>
      </c>
      <c r="B83" s="208">
        <f>B78+B72+B66+B36+B30+B24+B16</f>
        <v>0</v>
      </c>
      <c r="C83" s="208">
        <f t="shared" si="33"/>
        <v>0</v>
      </c>
      <c r="D83" s="208">
        <f t="shared" si="33"/>
        <v>0</v>
      </c>
      <c r="E83" s="208">
        <f t="shared" si="33"/>
        <v>0</v>
      </c>
      <c r="F83" s="208">
        <v>0</v>
      </c>
      <c r="G83" s="208">
        <v>0</v>
      </c>
      <c r="H83" s="208">
        <f t="shared" si="32"/>
        <v>0</v>
      </c>
      <c r="I83" s="208">
        <f t="shared" si="32"/>
        <v>0</v>
      </c>
      <c r="J83" s="208">
        <f t="shared" si="32"/>
        <v>0</v>
      </c>
      <c r="K83" s="208">
        <f t="shared" si="32"/>
        <v>0</v>
      </c>
      <c r="L83" s="208">
        <f t="shared" si="32"/>
        <v>0</v>
      </c>
      <c r="M83" s="208">
        <f t="shared" si="32"/>
        <v>0</v>
      </c>
      <c r="N83" s="208">
        <f t="shared" si="32"/>
        <v>0</v>
      </c>
      <c r="O83" s="208">
        <f t="shared" si="32"/>
        <v>0</v>
      </c>
      <c r="P83" s="208">
        <f t="shared" si="32"/>
        <v>0</v>
      </c>
      <c r="Q83" s="208">
        <f t="shared" si="32"/>
        <v>0</v>
      </c>
      <c r="R83" s="208">
        <f t="shared" si="32"/>
        <v>0</v>
      </c>
      <c r="S83" s="208">
        <f t="shared" si="32"/>
        <v>0</v>
      </c>
      <c r="T83" s="208">
        <f t="shared" si="32"/>
        <v>0</v>
      </c>
      <c r="U83" s="208">
        <f t="shared" si="32"/>
        <v>0</v>
      </c>
      <c r="V83" s="208">
        <f t="shared" si="32"/>
        <v>0</v>
      </c>
      <c r="W83" s="208">
        <f t="shared" si="32"/>
        <v>0</v>
      </c>
      <c r="X83" s="208">
        <f t="shared" si="32"/>
        <v>0</v>
      </c>
      <c r="Y83" s="208">
        <f t="shared" si="32"/>
        <v>0</v>
      </c>
      <c r="Z83" s="208">
        <f t="shared" si="32"/>
        <v>0</v>
      </c>
      <c r="AA83" s="208">
        <f t="shared" si="32"/>
        <v>0</v>
      </c>
      <c r="AB83" s="208">
        <f t="shared" si="32"/>
        <v>0</v>
      </c>
      <c r="AC83" s="208">
        <f t="shared" si="32"/>
        <v>0</v>
      </c>
      <c r="AD83" s="208">
        <f t="shared" si="32"/>
        <v>0</v>
      </c>
      <c r="AE83" s="208">
        <f t="shared" si="32"/>
        <v>0</v>
      </c>
      <c r="AF83" s="210"/>
      <c r="AG83" s="175">
        <f t="shared" si="29"/>
        <v>0</v>
      </c>
    </row>
    <row r="84" spans="1:33" s="177" customFormat="1" ht="37.5" x14ac:dyDescent="0.3">
      <c r="A84" s="148" t="s">
        <v>64</v>
      </c>
      <c r="B84" s="206">
        <f>B85+B86+B87+B88</f>
        <v>160529.75095000002</v>
      </c>
      <c r="C84" s="206">
        <f>C85+C86+C87+C88</f>
        <v>84158.794240000003</v>
      </c>
      <c r="D84" s="206">
        <f>D85+D86+D87+D88</f>
        <v>73031.846359999996</v>
      </c>
      <c r="E84" s="206">
        <f>E85+E86+E87+E88</f>
        <v>73031.846359999996</v>
      </c>
      <c r="F84" s="206">
        <f>E84/B84*100</f>
        <v>45.494275003732568</v>
      </c>
      <c r="G84" s="206">
        <f>E84/C84*100</f>
        <v>86.778627259952529</v>
      </c>
      <c r="H84" s="206">
        <f t="shared" ref="H84:AE84" si="34">H85+H86+H87+H88</f>
        <v>19353.07159</v>
      </c>
      <c r="I84" s="206">
        <f t="shared" si="34"/>
        <v>11125.359619999999</v>
      </c>
      <c r="J84" s="206">
        <f t="shared" si="34"/>
        <v>13626.387999999999</v>
      </c>
      <c r="K84" s="206">
        <f t="shared" si="34"/>
        <v>12836.116740000001</v>
      </c>
      <c r="L84" s="206">
        <f t="shared" si="34"/>
        <v>10072.714999999998</v>
      </c>
      <c r="M84" s="206">
        <f t="shared" si="34"/>
        <v>11483.041259999998</v>
      </c>
      <c r="N84" s="206">
        <f t="shared" si="34"/>
        <v>17517.697</v>
      </c>
      <c r="O84" s="206">
        <f t="shared" si="34"/>
        <v>12260.26957</v>
      </c>
      <c r="P84" s="206">
        <f t="shared" si="34"/>
        <v>12292.42949</v>
      </c>
      <c r="Q84" s="206">
        <f t="shared" si="34"/>
        <v>12281.844710000001</v>
      </c>
      <c r="R84" s="206">
        <f t="shared" si="34"/>
        <v>11296.493160000002</v>
      </c>
      <c r="S84" s="206">
        <f t="shared" si="34"/>
        <v>13045.214459999999</v>
      </c>
      <c r="T84" s="206">
        <f t="shared" si="34"/>
        <v>17584.183830000002</v>
      </c>
      <c r="U84" s="206">
        <f t="shared" si="34"/>
        <v>0</v>
      </c>
      <c r="V84" s="206">
        <f t="shared" si="34"/>
        <v>10684.85349</v>
      </c>
      <c r="W84" s="206">
        <f t="shared" si="34"/>
        <v>0</v>
      </c>
      <c r="X84" s="206">
        <f t="shared" si="34"/>
        <v>9506.7685099999999</v>
      </c>
      <c r="Y84" s="206">
        <f t="shared" si="34"/>
        <v>0</v>
      </c>
      <c r="Z84" s="206">
        <f t="shared" si="34"/>
        <v>14696.479000000001</v>
      </c>
      <c r="AA84" s="206">
        <f t="shared" si="34"/>
        <v>0</v>
      </c>
      <c r="AB84" s="206">
        <f t="shared" si="34"/>
        <v>10706.053</v>
      </c>
      <c r="AC84" s="206">
        <f t="shared" si="34"/>
        <v>0</v>
      </c>
      <c r="AD84" s="206">
        <f t="shared" si="34"/>
        <v>13192.61888</v>
      </c>
      <c r="AE84" s="206">
        <f t="shared" si="34"/>
        <v>0</v>
      </c>
      <c r="AF84" s="207"/>
      <c r="AG84" s="175">
        <f t="shared" si="29"/>
        <v>0</v>
      </c>
    </row>
    <row r="85" spans="1:33" s="177" customFormat="1" x14ac:dyDescent="0.3">
      <c r="A85" s="150" t="s">
        <v>169</v>
      </c>
      <c r="B85" s="208">
        <f t="shared" ref="B85:E88" si="35">B13+B21+B27+B33+B63+B69+B75</f>
        <v>6100.7000000000007</v>
      </c>
      <c r="C85" s="208">
        <f t="shared" si="35"/>
        <v>3007.94</v>
      </c>
      <c r="D85" s="208">
        <f t="shared" si="35"/>
        <v>3007.9400000000005</v>
      </c>
      <c r="E85" s="208">
        <f t="shared" si="35"/>
        <v>3007.9400000000005</v>
      </c>
      <c r="F85" s="208">
        <f>E85/B85*100</f>
        <v>49.304833871522938</v>
      </c>
      <c r="G85" s="208">
        <f>E85/C85*100</f>
        <v>100.00000000000003</v>
      </c>
      <c r="H85" s="208">
        <f t="shared" ref="H85:AE88" si="36">H13+H21+H27+H33+H63+H69+H75</f>
        <v>438.42099999999999</v>
      </c>
      <c r="I85" s="208">
        <f t="shared" si="36"/>
        <v>415.91363999999999</v>
      </c>
      <c r="J85" s="208">
        <f t="shared" si="36"/>
        <v>873.85599999999999</v>
      </c>
      <c r="K85" s="208">
        <f t="shared" si="36"/>
        <v>855.94970999999998</v>
      </c>
      <c r="L85" s="208">
        <f t="shared" si="36"/>
        <v>155.80000000000001</v>
      </c>
      <c r="M85" s="208">
        <f t="shared" si="36"/>
        <v>196.17665</v>
      </c>
      <c r="N85" s="208">
        <f t="shared" si="36"/>
        <v>565.00800000000004</v>
      </c>
      <c r="O85" s="208">
        <f t="shared" si="36"/>
        <v>335.28814</v>
      </c>
      <c r="P85" s="208">
        <f t="shared" si="36"/>
        <v>652.87800000000004</v>
      </c>
      <c r="Q85" s="208">
        <f t="shared" si="36"/>
        <v>780.76721999999995</v>
      </c>
      <c r="R85" s="208">
        <f t="shared" si="36"/>
        <v>321.97699999999998</v>
      </c>
      <c r="S85" s="208">
        <f t="shared" si="36"/>
        <v>423.84464000000003</v>
      </c>
      <c r="T85" s="208">
        <f t="shared" si="36"/>
        <v>532.11599999999999</v>
      </c>
      <c r="U85" s="208">
        <f t="shared" si="36"/>
        <v>0</v>
      </c>
      <c r="V85" s="208">
        <f t="shared" si="36"/>
        <v>606.75699999999995</v>
      </c>
      <c r="W85" s="208">
        <f t="shared" si="36"/>
        <v>0</v>
      </c>
      <c r="X85" s="208">
        <f t="shared" si="36"/>
        <v>384.42</v>
      </c>
      <c r="Y85" s="208">
        <f t="shared" si="36"/>
        <v>0</v>
      </c>
      <c r="Z85" s="208">
        <f t="shared" si="36"/>
        <v>568.47</v>
      </c>
      <c r="AA85" s="208">
        <f t="shared" si="36"/>
        <v>0</v>
      </c>
      <c r="AB85" s="208">
        <f t="shared" si="36"/>
        <v>476.66199999999998</v>
      </c>
      <c r="AC85" s="208">
        <f t="shared" si="36"/>
        <v>0</v>
      </c>
      <c r="AD85" s="208">
        <f t="shared" si="36"/>
        <v>524.33500000000004</v>
      </c>
      <c r="AE85" s="208">
        <f t="shared" si="36"/>
        <v>0</v>
      </c>
      <c r="AF85" s="209"/>
      <c r="AG85" s="175">
        <f t="shared" si="29"/>
        <v>0</v>
      </c>
    </row>
    <row r="86" spans="1:33" s="177" customFormat="1" x14ac:dyDescent="0.3">
      <c r="A86" s="150" t="s">
        <v>32</v>
      </c>
      <c r="B86" s="208">
        <f t="shared" si="35"/>
        <v>3584.9509500000004</v>
      </c>
      <c r="C86" s="208">
        <f t="shared" si="35"/>
        <v>2043.15095</v>
      </c>
      <c r="D86" s="208">
        <f t="shared" si="35"/>
        <v>1990.2420099999999</v>
      </c>
      <c r="E86" s="208">
        <f t="shared" si="35"/>
        <v>1990.2420099999999</v>
      </c>
      <c r="F86" s="208">
        <f>E86/B86*100</f>
        <v>55.516575756775687</v>
      </c>
      <c r="G86" s="208">
        <f>E86/C86*100</f>
        <v>97.410424325231574</v>
      </c>
      <c r="H86" s="208">
        <f t="shared" si="36"/>
        <v>250</v>
      </c>
      <c r="I86" s="208">
        <f t="shared" si="36"/>
        <v>170.17898</v>
      </c>
      <c r="J86" s="208">
        <f t="shared" si="36"/>
        <v>200</v>
      </c>
      <c r="K86" s="208">
        <f t="shared" si="36"/>
        <v>125.64381</v>
      </c>
      <c r="L86" s="208">
        <f t="shared" si="36"/>
        <v>298.54500000000002</v>
      </c>
      <c r="M86" s="208">
        <f t="shared" si="36"/>
        <v>437.79602</v>
      </c>
      <c r="N86" s="208">
        <f t="shared" si="36"/>
        <v>200</v>
      </c>
      <c r="O86" s="208">
        <f t="shared" si="36"/>
        <v>172.99515</v>
      </c>
      <c r="P86" s="208">
        <f t="shared" si="36"/>
        <v>993.15094999999997</v>
      </c>
      <c r="Q86" s="208">
        <f t="shared" si="36"/>
        <v>793.15094999999997</v>
      </c>
      <c r="R86" s="208">
        <f t="shared" si="36"/>
        <v>101.455</v>
      </c>
      <c r="S86" s="208">
        <f t="shared" si="36"/>
        <v>290.47710000000001</v>
      </c>
      <c r="T86" s="208">
        <f t="shared" si="36"/>
        <v>200</v>
      </c>
      <c r="U86" s="208">
        <f t="shared" si="36"/>
        <v>0</v>
      </c>
      <c r="V86" s="208">
        <f t="shared" si="36"/>
        <v>200</v>
      </c>
      <c r="W86" s="208">
        <f t="shared" si="36"/>
        <v>0</v>
      </c>
      <c r="X86" s="208">
        <f t="shared" si="36"/>
        <v>200</v>
      </c>
      <c r="Y86" s="208">
        <f t="shared" si="36"/>
        <v>0</v>
      </c>
      <c r="Z86" s="208">
        <f t="shared" si="36"/>
        <v>409.9</v>
      </c>
      <c r="AA86" s="208">
        <f t="shared" si="36"/>
        <v>0</v>
      </c>
      <c r="AB86" s="208">
        <f t="shared" si="36"/>
        <v>200</v>
      </c>
      <c r="AC86" s="208">
        <f t="shared" si="36"/>
        <v>0</v>
      </c>
      <c r="AD86" s="208">
        <f t="shared" si="36"/>
        <v>331.9</v>
      </c>
      <c r="AE86" s="208">
        <f t="shared" si="36"/>
        <v>0</v>
      </c>
      <c r="AF86" s="210"/>
      <c r="AG86" s="175">
        <f t="shared" si="29"/>
        <v>0</v>
      </c>
    </row>
    <row r="87" spans="1:33" s="177" customFormat="1" x14ac:dyDescent="0.3">
      <c r="A87" s="150" t="s">
        <v>33</v>
      </c>
      <c r="B87" s="208">
        <f t="shared" si="35"/>
        <v>150844.1</v>
      </c>
      <c r="C87" s="208">
        <f t="shared" si="35"/>
        <v>79107.703290000005</v>
      </c>
      <c r="D87" s="208">
        <f t="shared" si="35"/>
        <v>68033.664349999992</v>
      </c>
      <c r="E87" s="208">
        <f t="shared" si="35"/>
        <v>68033.664349999992</v>
      </c>
      <c r="F87" s="208">
        <f>E87/B87*100</f>
        <v>45.101972400644101</v>
      </c>
      <c r="G87" s="208">
        <f>E87/C87*100</f>
        <v>86.00131405736326</v>
      </c>
      <c r="H87" s="208">
        <f t="shared" si="36"/>
        <v>18664.650590000001</v>
      </c>
      <c r="I87" s="208">
        <f t="shared" si="36"/>
        <v>10539.267</v>
      </c>
      <c r="J87" s="208">
        <f t="shared" si="36"/>
        <v>12552.531999999999</v>
      </c>
      <c r="K87" s="208">
        <f t="shared" si="36"/>
        <v>11854.523220000001</v>
      </c>
      <c r="L87" s="208">
        <f t="shared" si="36"/>
        <v>9618.369999999999</v>
      </c>
      <c r="M87" s="208">
        <f t="shared" si="36"/>
        <v>10849.068589999999</v>
      </c>
      <c r="N87" s="208">
        <f t="shared" si="36"/>
        <v>16752.688999999998</v>
      </c>
      <c r="O87" s="208">
        <f t="shared" si="36"/>
        <v>11751.986280000001</v>
      </c>
      <c r="P87" s="208">
        <f t="shared" si="36"/>
        <v>10646.400540000001</v>
      </c>
      <c r="Q87" s="208">
        <f t="shared" si="36"/>
        <v>10707.92654</v>
      </c>
      <c r="R87" s="208">
        <f t="shared" si="36"/>
        <v>10873.061160000001</v>
      </c>
      <c r="S87" s="208">
        <f t="shared" si="36"/>
        <v>12330.89272</v>
      </c>
      <c r="T87" s="208">
        <f t="shared" si="36"/>
        <v>16852.06783</v>
      </c>
      <c r="U87" s="208">
        <f t="shared" si="36"/>
        <v>0</v>
      </c>
      <c r="V87" s="208">
        <f t="shared" si="36"/>
        <v>9878.0964899999999</v>
      </c>
      <c r="W87" s="208">
        <f t="shared" si="36"/>
        <v>0</v>
      </c>
      <c r="X87" s="208">
        <f t="shared" si="36"/>
        <v>8922.3485099999998</v>
      </c>
      <c r="Y87" s="208">
        <f t="shared" si="36"/>
        <v>0</v>
      </c>
      <c r="Z87" s="208">
        <f t="shared" si="36"/>
        <v>13718.109</v>
      </c>
      <c r="AA87" s="208">
        <f t="shared" si="36"/>
        <v>0</v>
      </c>
      <c r="AB87" s="208">
        <f t="shared" si="36"/>
        <v>10029.391</v>
      </c>
      <c r="AC87" s="208">
        <f t="shared" si="36"/>
        <v>0</v>
      </c>
      <c r="AD87" s="208">
        <f t="shared" si="36"/>
        <v>12336.383879999999</v>
      </c>
      <c r="AE87" s="208">
        <f t="shared" si="36"/>
        <v>0</v>
      </c>
      <c r="AF87" s="210"/>
      <c r="AG87" s="175">
        <f t="shared" si="29"/>
        <v>0</v>
      </c>
    </row>
    <row r="88" spans="1:33" s="177" customFormat="1" x14ac:dyDescent="0.3">
      <c r="A88" s="152" t="s">
        <v>221</v>
      </c>
      <c r="B88" s="208">
        <f t="shared" si="35"/>
        <v>0</v>
      </c>
      <c r="C88" s="208">
        <f t="shared" si="35"/>
        <v>0</v>
      </c>
      <c r="D88" s="208">
        <f t="shared" si="35"/>
        <v>0</v>
      </c>
      <c r="E88" s="208">
        <f t="shared" si="35"/>
        <v>0</v>
      </c>
      <c r="F88" s="208">
        <v>0</v>
      </c>
      <c r="G88" s="208">
        <v>0</v>
      </c>
      <c r="H88" s="208">
        <f t="shared" si="36"/>
        <v>0</v>
      </c>
      <c r="I88" s="208">
        <f t="shared" si="36"/>
        <v>0</v>
      </c>
      <c r="J88" s="208">
        <f t="shared" si="36"/>
        <v>0</v>
      </c>
      <c r="K88" s="208">
        <f t="shared" si="36"/>
        <v>0</v>
      </c>
      <c r="L88" s="208">
        <f t="shared" si="36"/>
        <v>0</v>
      </c>
      <c r="M88" s="208">
        <f t="shared" si="36"/>
        <v>0</v>
      </c>
      <c r="N88" s="208">
        <f t="shared" si="36"/>
        <v>0</v>
      </c>
      <c r="O88" s="208">
        <f t="shared" si="36"/>
        <v>0</v>
      </c>
      <c r="P88" s="208">
        <f t="shared" si="36"/>
        <v>0</v>
      </c>
      <c r="Q88" s="208">
        <f t="shared" si="36"/>
        <v>0</v>
      </c>
      <c r="R88" s="208">
        <f t="shared" si="36"/>
        <v>0</v>
      </c>
      <c r="S88" s="208">
        <f t="shared" si="36"/>
        <v>0</v>
      </c>
      <c r="T88" s="208">
        <f t="shared" si="36"/>
        <v>0</v>
      </c>
      <c r="U88" s="208">
        <f t="shared" si="36"/>
        <v>0</v>
      </c>
      <c r="V88" s="208">
        <f t="shared" si="36"/>
        <v>0</v>
      </c>
      <c r="W88" s="208">
        <f t="shared" si="36"/>
        <v>0</v>
      </c>
      <c r="X88" s="208">
        <f t="shared" si="36"/>
        <v>0</v>
      </c>
      <c r="Y88" s="208">
        <f t="shared" si="36"/>
        <v>0</v>
      </c>
      <c r="Z88" s="208">
        <f t="shared" si="36"/>
        <v>0</v>
      </c>
      <c r="AA88" s="208">
        <f t="shared" si="36"/>
        <v>0</v>
      </c>
      <c r="AB88" s="208">
        <f t="shared" si="36"/>
        <v>0</v>
      </c>
      <c r="AC88" s="208">
        <f t="shared" si="36"/>
        <v>0</v>
      </c>
      <c r="AD88" s="208">
        <f t="shared" si="36"/>
        <v>0</v>
      </c>
      <c r="AE88" s="208">
        <f t="shared" si="36"/>
        <v>0</v>
      </c>
      <c r="AF88" s="210"/>
      <c r="AG88" s="175">
        <f t="shared" si="29"/>
        <v>0</v>
      </c>
    </row>
    <row r="89" spans="1:33" s="159" customFormat="1" x14ac:dyDescent="0.3">
      <c r="B89" s="175">
        <f>B79-B11-B19-B25-B31-B61-B67-B73</f>
        <v>0</v>
      </c>
      <c r="C89" s="175">
        <f t="shared" ref="C89:AD89" si="37">C79-C11-C19-C25-C31-C61-C67-C73</f>
        <v>-793.15094999999383</v>
      </c>
      <c r="D89" s="175">
        <f t="shared" si="37"/>
        <v>-793.15095000000929</v>
      </c>
      <c r="E89" s="175">
        <f t="shared" si="37"/>
        <v>-793.15095000000929</v>
      </c>
      <c r="F89" s="175">
        <f t="shared" si="37"/>
        <v>-84.556864526858575</v>
      </c>
      <c r="G89" s="175">
        <f>G79-G11-G19-G25-G31-G61-G67-G73</f>
        <v>-172.12417054537991</v>
      </c>
      <c r="H89" s="175">
        <f t="shared" si="37"/>
        <v>0</v>
      </c>
      <c r="I89" s="175">
        <f t="shared" si="37"/>
        <v>0</v>
      </c>
      <c r="J89" s="175">
        <f t="shared" si="37"/>
        <v>0</v>
      </c>
      <c r="K89" s="175">
        <f t="shared" si="37"/>
        <v>0</v>
      </c>
      <c r="L89" s="175">
        <f t="shared" si="37"/>
        <v>-6.8212102632969618E-13</v>
      </c>
      <c r="M89" s="175">
        <f t="shared" si="37"/>
        <v>0</v>
      </c>
      <c r="N89" s="175">
        <f t="shared" si="37"/>
        <v>0</v>
      </c>
      <c r="O89" s="175">
        <f t="shared" si="37"/>
        <v>-5.6843418860808015E-13</v>
      </c>
      <c r="P89" s="175">
        <f t="shared" si="37"/>
        <v>0</v>
      </c>
      <c r="Q89" s="175">
        <f t="shared" si="37"/>
        <v>0</v>
      </c>
      <c r="R89" s="175">
        <f t="shared" si="37"/>
        <v>7.3896444519050419E-13</v>
      </c>
      <c r="S89" s="175">
        <f t="shared" si="37"/>
        <v>0</v>
      </c>
      <c r="T89" s="175">
        <f t="shared" si="37"/>
        <v>3.637978807091713E-12</v>
      </c>
      <c r="U89" s="175">
        <f t="shared" si="37"/>
        <v>0</v>
      </c>
      <c r="V89" s="175">
        <f t="shared" si="37"/>
        <v>0</v>
      </c>
      <c r="W89" s="175">
        <f t="shared" si="37"/>
        <v>0</v>
      </c>
      <c r="X89" s="175">
        <f t="shared" si="37"/>
        <v>-9.0949470177292824E-13</v>
      </c>
      <c r="Y89" s="175">
        <f t="shared" si="37"/>
        <v>0</v>
      </c>
      <c r="Z89" s="175">
        <f t="shared" si="37"/>
        <v>0</v>
      </c>
      <c r="AA89" s="175">
        <f t="shared" si="37"/>
        <v>0</v>
      </c>
      <c r="AB89" s="175">
        <f t="shared" si="37"/>
        <v>0</v>
      </c>
      <c r="AC89" s="175">
        <f t="shared" si="37"/>
        <v>0</v>
      </c>
      <c r="AD89" s="175">
        <f t="shared" si="37"/>
        <v>0</v>
      </c>
    </row>
    <row r="90" spans="1:33" s="159" customFormat="1" x14ac:dyDescent="0.3">
      <c r="B90" s="175">
        <f>B79-'[1]19 "Муницип. служба"'!$C$10</f>
        <v>2454.7509500000451</v>
      </c>
    </row>
    <row r="91" spans="1:33" x14ac:dyDescent="0.3">
      <c r="B91" s="155">
        <f>B13+B21+B27+B39+B45+B51+B57+B63+B69+B75-B80</f>
        <v>0</v>
      </c>
      <c r="C91" s="155">
        <f t="shared" ref="C91:AE94" si="38">C13+C21+C27+C39+C45+C51+C57+C63+C69+C75-C80</f>
        <v>0</v>
      </c>
      <c r="D91" s="155">
        <f t="shared" si="38"/>
        <v>0</v>
      </c>
      <c r="E91" s="155">
        <f t="shared" si="38"/>
        <v>0</v>
      </c>
      <c r="F91" s="155">
        <f t="shared" si="38"/>
        <v>0</v>
      </c>
      <c r="G91" s="155">
        <f t="shared" si="38"/>
        <v>0</v>
      </c>
      <c r="H91" s="155">
        <f t="shared" si="38"/>
        <v>0</v>
      </c>
      <c r="I91" s="155">
        <f t="shared" si="38"/>
        <v>0</v>
      </c>
      <c r="J91" s="155">
        <f t="shared" si="38"/>
        <v>0</v>
      </c>
      <c r="K91" s="155">
        <f t="shared" si="38"/>
        <v>0</v>
      </c>
      <c r="L91" s="155">
        <f t="shared" si="38"/>
        <v>0</v>
      </c>
      <c r="M91" s="155">
        <f t="shared" si="38"/>
        <v>0</v>
      </c>
      <c r="N91" s="155">
        <f t="shared" si="38"/>
        <v>0</v>
      </c>
      <c r="O91" s="155">
        <f t="shared" si="38"/>
        <v>0</v>
      </c>
      <c r="P91" s="155">
        <f t="shared" si="38"/>
        <v>0</v>
      </c>
      <c r="Q91" s="155">
        <f t="shared" si="38"/>
        <v>0</v>
      </c>
      <c r="R91" s="155">
        <f t="shared" si="38"/>
        <v>0</v>
      </c>
      <c r="S91" s="155">
        <f t="shared" si="38"/>
        <v>0</v>
      </c>
      <c r="T91" s="155">
        <f t="shared" si="38"/>
        <v>0</v>
      </c>
      <c r="U91" s="155">
        <f t="shared" si="38"/>
        <v>0</v>
      </c>
      <c r="V91" s="155">
        <f t="shared" si="38"/>
        <v>0</v>
      </c>
      <c r="W91" s="155">
        <f t="shared" si="38"/>
        <v>0</v>
      </c>
      <c r="X91" s="155">
        <f t="shared" si="38"/>
        <v>0</v>
      </c>
      <c r="Y91" s="155">
        <f t="shared" si="38"/>
        <v>0</v>
      </c>
      <c r="Z91" s="155">
        <f t="shared" si="38"/>
        <v>0</v>
      </c>
      <c r="AA91" s="155">
        <f t="shared" si="38"/>
        <v>0</v>
      </c>
      <c r="AB91" s="155">
        <f t="shared" si="38"/>
        <v>0</v>
      </c>
      <c r="AC91" s="155">
        <f t="shared" si="38"/>
        <v>0</v>
      </c>
      <c r="AD91" s="155">
        <f t="shared" si="38"/>
        <v>0</v>
      </c>
      <c r="AE91" s="155">
        <f t="shared" si="38"/>
        <v>0</v>
      </c>
    </row>
    <row r="92" spans="1:33" x14ac:dyDescent="0.3">
      <c r="B92" s="155">
        <f>B14+B22+B28+B40+B46+B52+B58+B64+B70+B76-B81</f>
        <v>0</v>
      </c>
      <c r="C92" s="155">
        <f t="shared" ref="C92:Q92" si="39">C14+C22+C28+C40+C46+C52+C58+C64+C70+C76-C81</f>
        <v>793.15094999999997</v>
      </c>
      <c r="D92" s="155">
        <f t="shared" si="39"/>
        <v>793.15094999999997</v>
      </c>
      <c r="E92" s="155">
        <f t="shared" si="39"/>
        <v>793.15094999999997</v>
      </c>
      <c r="F92" s="155">
        <f t="shared" si="39"/>
        <v>109.48670760907643</v>
      </c>
      <c r="G92" s="155">
        <f t="shared" si="39"/>
        <v>100</v>
      </c>
      <c r="H92" s="155">
        <f t="shared" si="39"/>
        <v>0</v>
      </c>
      <c r="I92" s="155">
        <f t="shared" si="39"/>
        <v>0</v>
      </c>
      <c r="J92" s="155">
        <f t="shared" si="39"/>
        <v>0</v>
      </c>
      <c r="K92" s="155">
        <f t="shared" si="39"/>
        <v>0</v>
      </c>
      <c r="L92" s="155">
        <f t="shared" si="39"/>
        <v>0</v>
      </c>
      <c r="M92" s="155">
        <f t="shared" si="39"/>
        <v>0</v>
      </c>
      <c r="N92" s="155">
        <f t="shared" si="39"/>
        <v>0</v>
      </c>
      <c r="O92" s="155">
        <f t="shared" si="39"/>
        <v>0</v>
      </c>
      <c r="P92" s="155">
        <f t="shared" si="39"/>
        <v>0</v>
      </c>
      <c r="Q92" s="155">
        <f t="shared" si="39"/>
        <v>0</v>
      </c>
      <c r="R92" s="155">
        <f t="shared" si="38"/>
        <v>0</v>
      </c>
      <c r="S92" s="155">
        <f t="shared" si="38"/>
        <v>0</v>
      </c>
      <c r="T92" s="155">
        <f t="shared" si="38"/>
        <v>0</v>
      </c>
      <c r="U92" s="155">
        <f t="shared" si="38"/>
        <v>0</v>
      </c>
      <c r="V92" s="155">
        <f t="shared" si="38"/>
        <v>0</v>
      </c>
      <c r="W92" s="155">
        <f t="shared" si="38"/>
        <v>0</v>
      </c>
      <c r="X92" s="155">
        <f t="shared" si="38"/>
        <v>0</v>
      </c>
      <c r="Y92" s="155">
        <f t="shared" si="38"/>
        <v>0</v>
      </c>
      <c r="Z92" s="155">
        <f t="shared" si="38"/>
        <v>0</v>
      </c>
      <c r="AA92" s="155">
        <f t="shared" si="38"/>
        <v>0</v>
      </c>
      <c r="AB92" s="155">
        <f t="shared" si="38"/>
        <v>0</v>
      </c>
      <c r="AC92" s="155">
        <f t="shared" si="38"/>
        <v>0</v>
      </c>
      <c r="AD92" s="155">
        <f t="shared" si="38"/>
        <v>0</v>
      </c>
      <c r="AE92" s="155">
        <f t="shared" si="38"/>
        <v>0</v>
      </c>
    </row>
    <row r="93" spans="1:33" x14ac:dyDescent="0.3">
      <c r="B93" s="155">
        <f>B15+B23+B29+B41+B47+B53+B59+B65+B71+B77-B82</f>
        <v>0</v>
      </c>
      <c r="C93" s="155">
        <f t="shared" si="38"/>
        <v>0</v>
      </c>
      <c r="D93" s="155">
        <f t="shared" si="38"/>
        <v>0</v>
      </c>
      <c r="E93" s="155">
        <f t="shared" si="38"/>
        <v>0</v>
      </c>
      <c r="F93" s="155">
        <f t="shared" si="38"/>
        <v>286.46055787783604</v>
      </c>
      <c r="G93" s="155">
        <f>G15+G23+G29+G41+G47+G53+G59+G65+G71+G77-G82</f>
        <v>417.77485041372597</v>
      </c>
      <c r="H93" s="155">
        <f t="shared" si="38"/>
        <v>0</v>
      </c>
      <c r="I93" s="155">
        <f t="shared" si="38"/>
        <v>0</v>
      </c>
      <c r="J93" s="155">
        <f t="shared" si="38"/>
        <v>0</v>
      </c>
      <c r="K93" s="155">
        <f t="shared" si="38"/>
        <v>0</v>
      </c>
      <c r="L93" s="155">
        <f t="shared" si="38"/>
        <v>0</v>
      </c>
      <c r="M93" s="155">
        <f t="shared" si="38"/>
        <v>0</v>
      </c>
      <c r="N93" s="155">
        <f t="shared" si="38"/>
        <v>0</v>
      </c>
      <c r="O93" s="155">
        <f t="shared" si="38"/>
        <v>0</v>
      </c>
      <c r="P93" s="155">
        <f t="shared" si="38"/>
        <v>0</v>
      </c>
      <c r="Q93" s="155">
        <f t="shared" si="38"/>
        <v>0</v>
      </c>
      <c r="R93" s="155">
        <f t="shared" si="38"/>
        <v>0</v>
      </c>
      <c r="S93" s="155">
        <f t="shared" si="38"/>
        <v>0</v>
      </c>
      <c r="T93" s="155">
        <f t="shared" si="38"/>
        <v>0</v>
      </c>
      <c r="U93" s="155">
        <f t="shared" si="38"/>
        <v>0</v>
      </c>
      <c r="V93" s="155">
        <f t="shared" si="38"/>
        <v>0</v>
      </c>
      <c r="W93" s="155">
        <f t="shared" si="38"/>
        <v>0</v>
      </c>
      <c r="X93" s="155">
        <f t="shared" si="38"/>
        <v>0</v>
      </c>
      <c r="Y93" s="155">
        <f t="shared" si="38"/>
        <v>0</v>
      </c>
      <c r="Z93" s="155">
        <f t="shared" si="38"/>
        <v>0</v>
      </c>
      <c r="AA93" s="155">
        <f t="shared" si="38"/>
        <v>0</v>
      </c>
      <c r="AB93" s="155">
        <f t="shared" si="38"/>
        <v>0</v>
      </c>
      <c r="AC93" s="155">
        <f t="shared" si="38"/>
        <v>0</v>
      </c>
      <c r="AD93" s="155">
        <f t="shared" si="38"/>
        <v>0</v>
      </c>
      <c r="AE93" s="155">
        <f t="shared" si="38"/>
        <v>0</v>
      </c>
    </row>
    <row r="94" spans="1:33" x14ac:dyDescent="0.3">
      <c r="B94" s="155">
        <f>B16+B24+B30+B42+B48+B54+B60+B66+B72+B78-B83</f>
        <v>0</v>
      </c>
      <c r="C94" s="155">
        <f t="shared" si="38"/>
        <v>0</v>
      </c>
      <c r="D94" s="155">
        <f t="shared" si="38"/>
        <v>0</v>
      </c>
      <c r="E94" s="155">
        <f t="shared" si="38"/>
        <v>0</v>
      </c>
      <c r="F94" s="155">
        <f t="shared" si="38"/>
        <v>0</v>
      </c>
      <c r="G94" s="155">
        <f t="shared" si="38"/>
        <v>0</v>
      </c>
      <c r="H94" s="155">
        <f t="shared" si="38"/>
        <v>0</v>
      </c>
      <c r="I94" s="155">
        <f t="shared" si="38"/>
        <v>0</v>
      </c>
      <c r="J94" s="155">
        <f t="shared" si="38"/>
        <v>0</v>
      </c>
      <c r="K94" s="155">
        <f t="shared" si="38"/>
        <v>0</v>
      </c>
      <c r="L94" s="155">
        <f t="shared" si="38"/>
        <v>0</v>
      </c>
      <c r="M94" s="155">
        <f t="shared" si="38"/>
        <v>0</v>
      </c>
      <c r="N94" s="155">
        <f t="shared" si="38"/>
        <v>0</v>
      </c>
      <c r="O94" s="155">
        <f t="shared" si="38"/>
        <v>0</v>
      </c>
      <c r="P94" s="155">
        <f t="shared" si="38"/>
        <v>0</v>
      </c>
      <c r="Q94" s="155">
        <f t="shared" si="38"/>
        <v>0</v>
      </c>
      <c r="R94" s="155">
        <f t="shared" si="38"/>
        <v>0</v>
      </c>
      <c r="S94" s="155">
        <f t="shared" si="38"/>
        <v>0</v>
      </c>
      <c r="T94" s="155">
        <f t="shared" si="38"/>
        <v>0</v>
      </c>
      <c r="U94" s="155">
        <f t="shared" si="38"/>
        <v>0</v>
      </c>
      <c r="V94" s="155">
        <f t="shared" si="38"/>
        <v>0</v>
      </c>
      <c r="W94" s="155">
        <f t="shared" si="38"/>
        <v>0</v>
      </c>
      <c r="X94" s="155">
        <f t="shared" si="38"/>
        <v>0</v>
      </c>
      <c r="Y94" s="155">
        <f t="shared" si="38"/>
        <v>0</v>
      </c>
      <c r="Z94" s="155">
        <f t="shared" si="38"/>
        <v>0</v>
      </c>
      <c r="AA94" s="155">
        <f t="shared" si="38"/>
        <v>0</v>
      </c>
      <c r="AB94" s="155">
        <f t="shared" si="38"/>
        <v>0</v>
      </c>
      <c r="AC94" s="155">
        <f t="shared" si="38"/>
        <v>0</v>
      </c>
      <c r="AD94" s="155">
        <f t="shared" si="38"/>
        <v>0</v>
      </c>
      <c r="AE94" s="155">
        <f t="shared" si="38"/>
        <v>0</v>
      </c>
    </row>
    <row r="143" spans="6:7" x14ac:dyDescent="0.3">
      <c r="F143" s="10">
        <v>0</v>
      </c>
      <c r="G143" s="10" t="e">
        <f>E143/C143*100</f>
        <v>#DIV/0!</v>
      </c>
    </row>
    <row r="146" spans="6:7" x14ac:dyDescent="0.3">
      <c r="F146" s="10">
        <v>0</v>
      </c>
      <c r="G146" s="10">
        <v>0</v>
      </c>
    </row>
  </sheetData>
  <customSheetViews>
    <customSheetView guid="{7C130984-112A-4861-AA43-E2940708E3DC}" scale="70" state="hidden">
      <pane xSplit="2" ySplit="10" topLeftCell="C11" activePane="bottomRight" state="frozen"/>
      <selection pane="bottomRight" activeCell="A49" sqref="A49"/>
      <pageMargins left="0.7" right="0.7" top="0.75" bottom="0.75" header="0.3" footer="0.3"/>
      <pageSetup paperSize="9" orientation="portrait" r:id="rId1"/>
    </customSheetView>
    <customSheetView guid="{4F41B9CC-959D-442C-80B0-1F0DB2C76D27}" scale="70">
      <pane xSplit="2" ySplit="9" topLeftCell="C11" activePane="bottomRight" state="frozen"/>
      <selection pane="bottomRight" activeCell="A49" sqref="A49"/>
      <pageMargins left="0.7" right="0.7" top="0.75" bottom="0.75" header="0.3" footer="0.3"/>
      <pageSetup paperSize="9" orientation="portrait" r:id="rId2"/>
    </customSheetView>
    <customSheetView guid="{391AB76E-B386-49C1-800F-016A48AA1A46}" scale="70">
      <pane xSplit="2" ySplit="10" topLeftCell="C11" activePane="bottomRight" state="frozen"/>
      <selection pane="bottomRight" activeCell="A49" sqref="A49"/>
      <pageMargins left="0.7" right="0.7" top="0.75" bottom="0.75" header="0.3" footer="0.3"/>
      <pageSetup paperSize="9" orientation="portrait" r:id="rId3"/>
    </customSheetView>
    <customSheetView guid="{D01FA037-9AEC-4167-ADB8-2F327C01ECE6}" scale="70">
      <pane xSplit="2" ySplit="10" topLeftCell="C11" activePane="bottomRight" state="frozen"/>
      <selection pane="bottomRight" activeCell="A49" sqref="A49"/>
      <pageMargins left="0.7" right="0.7" top="0.75" bottom="0.75" header="0.3" footer="0.3"/>
      <pageSetup paperSize="9" orientation="portrait" r:id="rId4"/>
    </customSheetView>
    <customSheetView guid="{6A602CB8-B24C-4ED4-B378-B27354BE0A1A}" scale="70">
      <pane xSplit="2" ySplit="10" topLeftCell="C11" activePane="bottomRight" state="frozen"/>
      <selection pane="bottomRight" activeCell="A49" sqref="A49"/>
      <pageMargins left="0.7" right="0.7" top="0.75" bottom="0.75" header="0.3" footer="0.3"/>
      <pageSetup paperSize="9" orientation="portrait" r:id="rId5"/>
    </customSheetView>
    <customSheetView guid="{DAA8A688-7558-4B5B-8DBD-E2629BD9E9A8}" scale="70">
      <pane xSplit="2" ySplit="10" topLeftCell="C11" activePane="bottomRight" state="frozen"/>
      <selection pane="bottomRight" activeCell="A49" sqref="A49"/>
      <pageMargins left="0.7" right="0.7" top="0.75" bottom="0.75" header="0.3" footer="0.3"/>
      <pageSetup paperSize="9" orientation="portrait" r:id="rId6"/>
    </customSheetView>
    <customSheetView guid="{0C2B9C2A-7B94-41EF-A2E6-F8AC9A67DE25}" scale="70">
      <pane xSplit="2" ySplit="10" topLeftCell="C11" activePane="bottomRight" state="frozen"/>
      <selection pane="bottomRight" activeCell="A49" sqref="A49"/>
      <pageMargins left="0.7" right="0.7" top="0.75" bottom="0.75" header="0.3" footer="0.3"/>
      <pageSetup paperSize="9" orientation="portrait" r:id="rId7"/>
    </customSheetView>
    <customSheetView guid="{87218168-6C8E-4D5B-A5E5-DCCC26803AA3}" scale="70">
      <pane xSplit="2" ySplit="10" topLeftCell="C11" activePane="bottomRight" state="frozen"/>
      <selection pane="bottomRight" activeCell="A49" sqref="A49"/>
      <pageMargins left="0.7" right="0.7" top="0.75" bottom="0.75" header="0.3" footer="0.3"/>
      <pageSetup paperSize="9" orientation="portrait" r:id="rId8"/>
    </customSheetView>
    <customSheetView guid="{533DC55B-6AD4-4674-9488-685EF2039F3E}" scale="70">
      <pane xSplit="2" ySplit="10" topLeftCell="C38" activePane="bottomRight" state="frozen"/>
      <selection pane="bottomRight" activeCell="A49" sqref="A49"/>
      <pageMargins left="0.7" right="0.7" top="0.75" bottom="0.75" header="0.3" footer="0.3"/>
      <pageSetup paperSize="9" orientation="portrait" r:id="rId9"/>
    </customSheetView>
    <customSheetView guid="{69DABE6F-6182-4403-A4A2-969F10F1C13A}" scale="70">
      <pane xSplit="2" ySplit="10" topLeftCell="C38" activePane="bottomRight" state="frozen"/>
      <selection pane="bottomRight" activeCell="A49" sqref="A49"/>
      <pageMargins left="0.7" right="0.7" top="0.75" bottom="0.75" header="0.3" footer="0.3"/>
      <pageSetup paperSize="9" orientation="portrait" r:id="rId10"/>
    </customSheetView>
    <customSheetView guid="{84867370-1F3E-4368-AF79-FBCE46FFFE92}" scale="70">
      <pane xSplit="2" ySplit="10" topLeftCell="C38" activePane="bottomRight" state="frozen"/>
      <selection pane="bottomRight" activeCell="A49" sqref="A49"/>
      <pageMargins left="0.7" right="0.7" top="0.75" bottom="0.75" header="0.3" footer="0.3"/>
      <pageSetup paperSize="9" orientation="portrait" r:id="rId11"/>
    </customSheetView>
    <customSheetView guid="{47B983AB-FE5F-4725-860C-A2F29420596D}" scale="70">
      <pane xSplit="2" ySplit="10" topLeftCell="C38" activePane="bottomRight" state="frozen"/>
      <selection pane="bottomRight" activeCell="A49" sqref="A49"/>
      <pageMargins left="0.7" right="0.7" top="0.75" bottom="0.75" header="0.3" footer="0.3"/>
      <pageSetup paperSize="9" orientation="portrait" r:id="rId12"/>
    </customSheetView>
    <customSheetView guid="{959E901C-5DDE-42EE-AE94-AB8976B5E00B}" scale="70">
      <pane xSplit="2" ySplit="10" topLeftCell="C77" activePane="bottomRight" state="frozen"/>
      <selection pane="bottomRight" activeCell="R41" sqref="R41"/>
      <pageMargins left="0.7" right="0.7" top="0.75" bottom="0.75" header="0.3" footer="0.3"/>
      <pageSetup paperSize="9" orientation="portrait" r:id="rId13"/>
    </customSheetView>
    <customSheetView guid="{F679EF4A-C5FD-4B86-B87B-D85968E0F2CA}" scale="70">
      <pane xSplit="2" ySplit="10" topLeftCell="C77" activePane="bottomRight" state="frozen"/>
      <selection pane="bottomRight" activeCell="R41" sqref="R41"/>
      <pageMargins left="0.7" right="0.7" top="0.75" bottom="0.75" header="0.3" footer="0.3"/>
      <pageSetup paperSize="9" orientation="portrait" r:id="rId14"/>
    </customSheetView>
    <customSheetView guid="{009B3074-D8EC-4952-BF50-43CD64449612}" scale="70">
      <pane xSplit="2" ySplit="10" topLeftCell="C77" activePane="bottomRight" state="frozen"/>
      <selection pane="bottomRight" activeCell="R41" sqref="R41"/>
      <pageMargins left="0.7" right="0.7" top="0.75" bottom="0.75" header="0.3" footer="0.3"/>
      <pageSetup paperSize="9" orientation="portrait" r:id="rId15"/>
    </customSheetView>
    <customSheetView guid="{770624BF-07F3-44B6-94C3-4CC447CDD45C}" scale="70">
      <pane xSplit="2" ySplit="10" topLeftCell="C53" activePane="bottomRight" state="frozen"/>
      <selection pane="bottomRight" activeCell="K61" sqref="K61:K66"/>
      <pageMargins left="0.7" right="0.7" top="0.75" bottom="0.75" header="0.3" footer="0.3"/>
      <pageSetup paperSize="9" orientation="portrait" r:id="rId16"/>
    </customSheetView>
    <customSheetView guid="{B82BA08A-1A30-4F4D-A478-74A6BD09EA97}" scale="70">
      <pane xSplit="2" ySplit="10" topLeftCell="F11" activePane="bottomRight" state="frozen"/>
      <selection pane="bottomRight" activeCell="A4" sqref="A4:AD4"/>
      <pageMargins left="0.7" right="0.7" top="0.75" bottom="0.75" header="0.3" footer="0.3"/>
      <pageSetup paperSize="9" orientation="portrait" r:id="rId17"/>
    </customSheetView>
    <customSheetView guid="{874882D1-E741-4CCA-BF0D-E72FA60B771D}" scale="70">
      <pane xSplit="2" ySplit="10" topLeftCell="F101" activePane="bottomRight" state="frozen"/>
      <selection pane="bottomRight" activeCell="A4" sqref="A4:AD4"/>
      <pageMargins left="0.7" right="0.7" top="0.75" bottom="0.75" header="0.3" footer="0.3"/>
      <pageSetup paperSize="9" orientation="portrait" r:id="rId18"/>
    </customSheetView>
    <customSheetView guid="{C236B307-BD63-48C4-A75F-B3F3717BF55C}" scale="70">
      <pane xSplit="2" ySplit="10" topLeftCell="F101" activePane="bottomRight" state="frozen"/>
      <selection pane="bottomRight" activeCell="A4" sqref="A4:AD4"/>
      <pageMargins left="0.7" right="0.7" top="0.75" bottom="0.75" header="0.3" footer="0.3"/>
      <pageSetup paperSize="9" orientation="portrait" r:id="rId19"/>
    </customSheetView>
    <customSheetView guid="{BCD82A82-B724-4763-8580-D765356E09BA}" scale="70">
      <pane xSplit="2" ySplit="10" topLeftCell="F11" activePane="bottomRight" state="frozen"/>
      <selection pane="bottomRight" activeCell="A4" sqref="A4:AD4"/>
      <pageMargins left="0.7" right="0.7" top="0.75" bottom="0.75" header="0.3" footer="0.3"/>
      <pageSetup paperSize="9" orientation="portrait" r:id="rId20"/>
    </customSheetView>
    <customSheetView guid="{B1BF08D1-D416-4B47-ADD0-4F59132DC9E8}" scale="70">
      <pane xSplit="2" ySplit="10" topLeftCell="C77" activePane="bottomRight" state="frozen"/>
      <selection pane="bottomRight" activeCell="R41" sqref="R41"/>
      <pageMargins left="0.7" right="0.7" top="0.75" bottom="0.75" header="0.3" footer="0.3"/>
      <pageSetup paperSize="9" orientation="portrait" r:id="rId21"/>
    </customSheetView>
    <customSheetView guid="{85F4575B-DBC5-482A-9916-255D8F0BC94E}" scale="70">
      <pane xSplit="2" ySplit="10" topLeftCell="C38" activePane="bottomRight" state="frozen"/>
      <selection pane="bottomRight" activeCell="A49" sqref="A49"/>
      <pageMargins left="0.7" right="0.7" top="0.75" bottom="0.75" header="0.3" footer="0.3"/>
      <pageSetup paperSize="9" orientation="portrait" r:id="rId22"/>
    </customSheetView>
    <customSheetView guid="{74870EE6-26B9-40F7-9DC9-260EF16D8959}" scale="70">
      <pane xSplit="2" ySplit="10" topLeftCell="C38" activePane="bottomRight" state="frozen"/>
      <selection pane="bottomRight" activeCell="A49" sqref="A49"/>
      <pageMargins left="0.7" right="0.7" top="0.75" bottom="0.75" header="0.3" footer="0.3"/>
      <pageSetup paperSize="9" orientation="portrait" r:id="rId23"/>
    </customSheetView>
    <customSheetView guid="{E508E171-4ED9-4B07-84DF-DA28C60E1969}" scale="70">
      <pane xSplit="2" ySplit="10" topLeftCell="C11" activePane="bottomRight" state="frozen"/>
      <selection pane="bottomRight" activeCell="A49" sqref="A49"/>
      <pageMargins left="0.7" right="0.7" top="0.75" bottom="0.75" header="0.3" footer="0.3"/>
      <pageSetup paperSize="9" orientation="portrait" r:id="rId24"/>
    </customSheetView>
    <customSheetView guid="{4D0DFB57-2CBA-42F2-9A97-C453A6851FBA}" scale="70">
      <pane xSplit="2" ySplit="10" topLeftCell="C11" activePane="bottomRight" state="frozen"/>
      <selection pane="bottomRight" activeCell="A49" sqref="A49"/>
      <pageMargins left="0.7" right="0.7" top="0.75" bottom="0.75" header="0.3" footer="0.3"/>
      <pageSetup paperSize="9" orientation="portrait" r:id="rId25"/>
    </customSheetView>
    <customSheetView guid="{CE1CCA00-200D-4EAA-9FBE-F8EE7C5F82FE}" scale="70">
      <pane xSplit="2" ySplit="10" topLeftCell="C11" activePane="bottomRight" state="frozen"/>
      <selection pane="bottomRight" activeCell="A49" sqref="A49"/>
      <pageMargins left="0.7" right="0.7" top="0.75" bottom="0.75" header="0.3" footer="0.3"/>
      <pageSetup paperSize="9" orientation="portrait" r:id="rId26"/>
    </customSheetView>
    <customSheetView guid="{442F2C94-DD1B-4A01-8694-513D4D6F3BD9}" scale="70">
      <pane xSplit="2" ySplit="10" topLeftCell="C11" activePane="bottomRight" state="frozen"/>
      <selection pane="bottomRight" activeCell="A49" sqref="A49"/>
      <pageMargins left="0.7" right="0.7" top="0.75" bottom="0.75" header="0.3" footer="0.3"/>
      <pageSetup paperSize="9" orientation="portrait" r:id="rId27"/>
    </customSheetView>
    <customSheetView guid="{AC2D5927-4079-4C74-AF69-1BFAC505648F}" scale="70">
      <pane xSplit="2" ySplit="10" topLeftCell="C11" activePane="bottomRight" state="frozen"/>
      <selection pane="bottomRight" activeCell="A49" sqref="A49"/>
      <pageMargins left="0.7" right="0.7" top="0.75" bottom="0.75" header="0.3" footer="0.3"/>
      <pageSetup paperSize="9" orientation="portrait" r:id="rId28"/>
    </customSheetView>
    <customSheetView guid="{602C8EDB-B9EF-4C85-B0D5-0558C3A0ABAB}" scale="70">
      <pane xSplit="2" ySplit="10" topLeftCell="C11" activePane="bottomRight" state="frozen"/>
      <selection pane="bottomRight" activeCell="A49" sqref="A49"/>
      <pageMargins left="0.7" right="0.7" top="0.75" bottom="0.75" header="0.3" footer="0.3"/>
      <pageSetup paperSize="9" orientation="portrait" r:id="rId29"/>
    </customSheetView>
    <customSheetView guid="{09C3E205-981E-4A4E-BE89-8B7044192060}" scale="70">
      <pane xSplit="2" ySplit="10" topLeftCell="C11" activePane="bottomRight" state="frozen"/>
      <selection pane="bottomRight" activeCell="A49" sqref="A49"/>
      <pageMargins left="0.7" right="0.7" top="0.75" bottom="0.75" header="0.3" footer="0.3"/>
      <pageSetup paperSize="9" orientation="portrait" r:id="rId30"/>
    </customSheetView>
  </customSheetViews>
  <mergeCells count="24">
    <mergeCell ref="A17:AF17"/>
    <mergeCell ref="A18:AF18"/>
    <mergeCell ref="Z6:AA6"/>
    <mergeCell ref="AB6:AC6"/>
    <mergeCell ref="AD6:AE6"/>
    <mergeCell ref="AF6:AF7"/>
    <mergeCell ref="A9:AF9"/>
    <mergeCell ref="A10:AF10"/>
    <mergeCell ref="N6:O6"/>
    <mergeCell ref="P6:Q6"/>
    <mergeCell ref="R6:S6"/>
    <mergeCell ref="T6:U6"/>
    <mergeCell ref="V6:W6"/>
    <mergeCell ref="X6:Y6"/>
    <mergeCell ref="A6:A7"/>
    <mergeCell ref="F6:G6"/>
    <mergeCell ref="H6:I6"/>
    <mergeCell ref="J6:K6"/>
    <mergeCell ref="L6:M6"/>
    <mergeCell ref="A1:AD1"/>
    <mergeCell ref="A2:AD2"/>
    <mergeCell ref="A3:AD3"/>
    <mergeCell ref="A4:AD4"/>
    <mergeCell ref="AB5:AD5"/>
  </mergeCells>
  <hyperlinks>
    <hyperlink ref="A4:AD4" location="Оглавление!A1" display="Комплексный план (сетевой график) по реализации муниципальной программы &quot;Развитие муниципальной службы  в городе Когалыме&quot;"/>
  </hyperlinks>
  <pageMargins left="0.7" right="0.7" top="0.75" bottom="0.75" header="0.3" footer="0.3"/>
  <pageSetup paperSize="9" orientation="portrait" r:id="rId3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23</vt:i4>
      </vt:variant>
    </vt:vector>
  </HeadingPairs>
  <TitlesOfParts>
    <vt:vector size="23" baseType="lpstr">
      <vt:lpstr>Оглавление</vt:lpstr>
      <vt:lpstr>1.СЗН</vt:lpstr>
      <vt:lpstr>2.АПК</vt:lpstr>
      <vt:lpstr>3.БЖД</vt:lpstr>
      <vt:lpstr>4.УМИ</vt:lpstr>
      <vt:lpstr>5.Проф. прав.</vt:lpstr>
      <vt:lpstr>6.Экстримизм</vt:lpstr>
      <vt:lpstr>7.МП КП</vt:lpstr>
      <vt:lpstr>8.МП РМС</vt:lpstr>
      <vt:lpstr>Лист3</vt:lpstr>
      <vt:lpstr>9.МП РИГО</vt:lpstr>
      <vt:lpstr>10.МП РФКиС</vt:lpstr>
      <vt:lpstr>Лист2</vt:lpstr>
      <vt:lpstr>11.МП РО</vt:lpstr>
      <vt:lpstr>12.МП УМФ</vt:lpstr>
      <vt:lpstr>Лист1</vt:lpstr>
      <vt:lpstr>13.МП РЖС</vt:lpstr>
      <vt:lpstr>14.МП СЭР</vt:lpstr>
      <vt:lpstr>15.МП ЭБ</vt:lpstr>
      <vt:lpstr>16.МП РЖКК</vt:lpstr>
      <vt:lpstr>17.МП РТС</vt:lpstr>
      <vt:lpstr>18.МП ФКГС</vt:lpstr>
      <vt:lpstr>19.МП СОГХ</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Тихонова Лариса Анатольевна</dc:creator>
  <cp:lastModifiedBy>Тихонова Лариса Анатольевна</cp:lastModifiedBy>
  <cp:lastPrinted>2024-06-04T07:28:30Z</cp:lastPrinted>
  <dcterms:created xsi:type="dcterms:W3CDTF">2006-09-16T00:00:00Z</dcterms:created>
  <dcterms:modified xsi:type="dcterms:W3CDTF">2024-07-17T09:51:02Z</dcterms:modified>
</cp:coreProperties>
</file>